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plucba01\1. sets de datos\3. COMISIONES\6. REUNIONES DE COMISIONES PERMANENTES (2020-2022)\"/>
    </mc:Choice>
  </mc:AlternateContent>
  <bookViews>
    <workbookView xWindow="0" yWindow="0" windowWidth="23940" windowHeight="9555"/>
  </bookViews>
  <sheets>
    <sheet name="Reuniones Comisiones" sheetId="1" r:id="rId1"/>
    <sheet name="Invitados" sheetId="2" r:id="rId2"/>
    <sheet name="Votos" sheetId="3" r:id="rId3"/>
    <sheet name="Faltantes" sheetId="4" r:id="rId4"/>
    <sheet name="AUX" sheetId="5" r:id="rId5"/>
    <sheet name="Leyes Tratadas x Comision" sheetId="6" r:id="rId6"/>
    <sheet name="Hoja 60" sheetId="7" state="hidden" r:id="rId7"/>
    <sheet name="Invitados a reuniones cpliego" sheetId="8" state="hidden" r:id="rId8"/>
  </sheets>
  <definedNames>
    <definedName name="_xlnm._FilterDatabase" localSheetId="4" hidden="1">AUX!$A$1:$T$575</definedName>
    <definedName name="_xlnm._FilterDatabase" localSheetId="7" hidden="1">'Invitados a reuniones cpliego'!$A$1:$G$440</definedName>
    <definedName name="_xlnm._FilterDatabase" localSheetId="2" hidden="1">Votos!$A$1:$Q$324</definedName>
    <definedName name="Z_A360BA8A_42D3_4D4A_95D0_EAE4FB2FBB0C_.wvu.FilterData" localSheetId="0" hidden="1">'Reuniones Comisiones'!$A$1:$S$1272</definedName>
  </definedNames>
  <calcPr calcId="162913"/>
  <customWorkbookViews>
    <customWorkbookView name="Filtro 1" guid="{A360BA8A-42D3-4D4A-95D0-EAE4FB2FBB0C}" maximized="1" windowWidth="0" windowHeight="0" activeSheetId="0"/>
  </customWorkbookViews>
</workbook>
</file>

<file path=xl/calcChain.xml><?xml version="1.0" encoding="utf-8"?>
<calcChain xmlns="http://schemas.openxmlformats.org/spreadsheetml/2006/main">
  <c r="T1001" i="5" l="1"/>
  <c r="T1000" i="5"/>
  <c r="T999" i="5"/>
  <c r="T998" i="5"/>
  <c r="T997" i="5"/>
  <c r="T996" i="5"/>
  <c r="T995" i="5"/>
  <c r="T994" i="5"/>
  <c r="T993" i="5"/>
  <c r="T992" i="5"/>
  <c r="T991" i="5"/>
  <c r="T990" i="5"/>
  <c r="T989" i="5"/>
  <c r="T988" i="5"/>
  <c r="T987" i="5"/>
  <c r="T986" i="5"/>
  <c r="T985" i="5"/>
  <c r="T984" i="5"/>
  <c r="T983" i="5"/>
  <c r="T982" i="5"/>
  <c r="T981" i="5"/>
  <c r="T980" i="5"/>
  <c r="T979" i="5"/>
  <c r="T978" i="5"/>
  <c r="T977" i="5"/>
  <c r="T976" i="5"/>
  <c r="T975" i="5"/>
  <c r="T974" i="5"/>
  <c r="T973" i="5"/>
  <c r="T972" i="5"/>
  <c r="T971" i="5"/>
  <c r="T970" i="5"/>
  <c r="T969" i="5"/>
  <c r="T968" i="5"/>
  <c r="T967" i="5"/>
  <c r="T966" i="5"/>
  <c r="T965" i="5"/>
  <c r="T964" i="5"/>
  <c r="T963" i="5"/>
  <c r="T962" i="5"/>
  <c r="T961" i="5"/>
  <c r="T960" i="5"/>
  <c r="T959" i="5"/>
  <c r="T958" i="5"/>
  <c r="T957" i="5"/>
  <c r="T956" i="5"/>
  <c r="T955" i="5"/>
  <c r="T954" i="5"/>
  <c r="T953" i="5"/>
  <c r="T952" i="5"/>
  <c r="T951" i="5"/>
  <c r="T950" i="5"/>
  <c r="T949" i="5"/>
  <c r="T948" i="5"/>
  <c r="T947" i="5"/>
  <c r="T946" i="5"/>
  <c r="T945" i="5"/>
  <c r="T944" i="5"/>
  <c r="T943" i="5"/>
  <c r="T942" i="5"/>
  <c r="T941" i="5"/>
  <c r="T940" i="5"/>
  <c r="T939" i="5"/>
  <c r="T938" i="5"/>
  <c r="T937" i="5"/>
  <c r="T936" i="5"/>
  <c r="T935" i="5"/>
  <c r="T934" i="5"/>
  <c r="T933" i="5"/>
  <c r="T932" i="5"/>
  <c r="T931" i="5"/>
  <c r="T930" i="5"/>
  <c r="T929" i="5"/>
  <c r="T928" i="5"/>
  <c r="T927" i="5"/>
  <c r="T926" i="5"/>
  <c r="T925" i="5"/>
  <c r="T924" i="5"/>
  <c r="T923" i="5"/>
  <c r="T922" i="5"/>
  <c r="T921" i="5"/>
  <c r="T920" i="5"/>
  <c r="T919" i="5"/>
  <c r="T918" i="5"/>
  <c r="T917" i="5"/>
  <c r="T916" i="5"/>
  <c r="T915" i="5"/>
  <c r="T914" i="5"/>
  <c r="T913" i="5"/>
  <c r="T912" i="5"/>
  <c r="T911" i="5"/>
  <c r="T910" i="5"/>
  <c r="T909" i="5"/>
  <c r="T908" i="5"/>
  <c r="T907" i="5"/>
  <c r="T906" i="5"/>
  <c r="T905" i="5"/>
  <c r="T904" i="5"/>
  <c r="T903" i="5"/>
  <c r="T902" i="5"/>
  <c r="T901" i="5"/>
  <c r="T900" i="5"/>
  <c r="T899" i="5"/>
  <c r="T898" i="5"/>
  <c r="T897" i="5"/>
  <c r="T896" i="5"/>
  <c r="T895" i="5"/>
  <c r="T894" i="5"/>
  <c r="T893" i="5"/>
  <c r="T892" i="5"/>
  <c r="T891" i="5"/>
  <c r="T890" i="5"/>
  <c r="T889" i="5"/>
  <c r="T888" i="5"/>
  <c r="T887" i="5"/>
  <c r="T886" i="5"/>
  <c r="T885" i="5"/>
  <c r="T884" i="5"/>
  <c r="T883" i="5"/>
  <c r="T882" i="5"/>
  <c r="T881" i="5"/>
  <c r="T880" i="5"/>
  <c r="T879" i="5"/>
  <c r="T878" i="5"/>
  <c r="T877" i="5"/>
  <c r="T876" i="5"/>
  <c r="T875" i="5"/>
  <c r="T874" i="5"/>
  <c r="T873" i="5"/>
  <c r="T872" i="5"/>
  <c r="T871" i="5"/>
  <c r="T870" i="5"/>
  <c r="T869" i="5"/>
  <c r="T868" i="5"/>
  <c r="T867" i="5"/>
  <c r="T866" i="5"/>
  <c r="T865" i="5"/>
  <c r="T864" i="5"/>
  <c r="T863" i="5"/>
  <c r="T862" i="5"/>
  <c r="T861" i="5"/>
  <c r="T860" i="5"/>
  <c r="T859" i="5"/>
  <c r="T858" i="5"/>
  <c r="T857" i="5"/>
  <c r="T856" i="5"/>
  <c r="T855" i="5"/>
  <c r="T854" i="5"/>
  <c r="T853" i="5"/>
  <c r="T852" i="5"/>
  <c r="T851" i="5"/>
  <c r="T850" i="5"/>
  <c r="T849" i="5"/>
  <c r="T848" i="5"/>
  <c r="T847" i="5"/>
  <c r="T846" i="5"/>
  <c r="T845" i="5"/>
  <c r="T844" i="5"/>
  <c r="T843" i="5"/>
  <c r="T842" i="5"/>
  <c r="T841" i="5"/>
  <c r="T840" i="5"/>
  <c r="T839" i="5"/>
  <c r="T838" i="5"/>
  <c r="T837" i="5"/>
  <c r="T836" i="5"/>
  <c r="T835" i="5"/>
  <c r="T834" i="5"/>
  <c r="T833" i="5"/>
  <c r="T832" i="5"/>
  <c r="T831" i="5"/>
  <c r="T830" i="5"/>
  <c r="T829" i="5"/>
  <c r="T828" i="5"/>
  <c r="T827" i="5"/>
  <c r="T826" i="5"/>
  <c r="T825" i="5"/>
  <c r="T824" i="5"/>
  <c r="T823" i="5"/>
  <c r="T822" i="5"/>
  <c r="T821" i="5"/>
  <c r="T820" i="5"/>
  <c r="T819" i="5"/>
  <c r="T818" i="5"/>
  <c r="T817" i="5"/>
  <c r="T816" i="5"/>
  <c r="T815" i="5"/>
  <c r="T814" i="5"/>
  <c r="T813" i="5"/>
  <c r="T812" i="5"/>
  <c r="T811" i="5"/>
  <c r="T810" i="5"/>
  <c r="T809" i="5"/>
  <c r="T808" i="5"/>
  <c r="T807" i="5"/>
  <c r="T806" i="5"/>
  <c r="T805" i="5"/>
  <c r="T804" i="5"/>
  <c r="T803" i="5"/>
  <c r="T802" i="5"/>
  <c r="T801" i="5"/>
  <c r="T800" i="5"/>
  <c r="T799" i="5"/>
  <c r="T798" i="5"/>
  <c r="B23" i="6"/>
  <c r="B21" i="6"/>
  <c r="B17" i="6"/>
  <c r="B13" i="6"/>
  <c r="B9" i="6"/>
  <c r="B5" i="6"/>
  <c r="R797" i="5"/>
  <c r="N797" i="5"/>
  <c r="J797" i="5"/>
  <c r="F797" i="5"/>
  <c r="B797" i="5"/>
  <c r="P796" i="5"/>
  <c r="L796" i="5"/>
  <c r="H796" i="5"/>
  <c r="D796" i="5"/>
  <c r="R795" i="5"/>
  <c r="N795" i="5"/>
  <c r="J795" i="5"/>
  <c r="F795" i="5"/>
  <c r="B795" i="5"/>
  <c r="P794" i="5"/>
  <c r="L794" i="5"/>
  <c r="H794" i="5"/>
  <c r="D794" i="5"/>
  <c r="R793" i="5"/>
  <c r="N793" i="5"/>
  <c r="J793" i="5"/>
  <c r="F793" i="5"/>
  <c r="B793" i="5"/>
  <c r="P792" i="5"/>
  <c r="L792" i="5"/>
  <c r="H792" i="5"/>
  <c r="D792" i="5"/>
  <c r="R791" i="5"/>
  <c r="N791" i="5"/>
  <c r="J791" i="5"/>
  <c r="F791" i="5"/>
  <c r="B791" i="5"/>
  <c r="P790" i="5"/>
  <c r="L790" i="5"/>
  <c r="H790" i="5"/>
  <c r="D790" i="5"/>
  <c r="R789" i="5"/>
  <c r="N789" i="5"/>
  <c r="J789" i="5"/>
  <c r="F789" i="5"/>
  <c r="B789" i="5"/>
  <c r="P788" i="5"/>
  <c r="L788" i="5"/>
  <c r="H788" i="5"/>
  <c r="D788" i="5"/>
  <c r="R787" i="5"/>
  <c r="N787" i="5"/>
  <c r="J787" i="5"/>
  <c r="F787" i="5"/>
  <c r="B787" i="5"/>
  <c r="B20" i="6"/>
  <c r="B16" i="6"/>
  <c r="B12" i="6"/>
  <c r="B8" i="6"/>
  <c r="B4" i="6"/>
  <c r="S797" i="5"/>
  <c r="O797" i="5"/>
  <c r="K797" i="5"/>
  <c r="G797" i="5"/>
  <c r="C797" i="5"/>
  <c r="S796" i="5"/>
  <c r="O796" i="5"/>
  <c r="K796" i="5"/>
  <c r="G796" i="5"/>
  <c r="C796" i="5"/>
  <c r="S795" i="5"/>
  <c r="O795" i="5"/>
  <c r="K795" i="5"/>
  <c r="G795" i="5"/>
  <c r="C795" i="5"/>
  <c r="S794" i="5"/>
  <c r="O794" i="5"/>
  <c r="K794" i="5"/>
  <c r="G794" i="5"/>
  <c r="C794" i="5"/>
  <c r="S793" i="5"/>
  <c r="O793" i="5"/>
  <c r="K793" i="5"/>
  <c r="G793" i="5"/>
  <c r="C793" i="5"/>
  <c r="S792" i="5"/>
  <c r="O792" i="5"/>
  <c r="K792" i="5"/>
  <c r="G792" i="5"/>
  <c r="C792" i="5"/>
  <c r="S791" i="5"/>
  <c r="O791" i="5"/>
  <c r="K791" i="5"/>
  <c r="G791" i="5"/>
  <c r="C791" i="5"/>
  <c r="S790" i="5"/>
  <c r="O790" i="5"/>
  <c r="K790" i="5"/>
  <c r="G790" i="5"/>
  <c r="C790" i="5"/>
  <c r="S789" i="5"/>
  <c r="O789" i="5"/>
  <c r="K789" i="5"/>
  <c r="G789" i="5"/>
  <c r="C789" i="5"/>
  <c r="S788" i="5"/>
  <c r="O788" i="5"/>
  <c r="K788" i="5"/>
  <c r="G788" i="5"/>
  <c r="C788" i="5"/>
  <c r="S787" i="5"/>
  <c r="O787" i="5"/>
  <c r="K787" i="5"/>
  <c r="G787" i="5"/>
  <c r="S786" i="5"/>
  <c r="O786" i="5"/>
  <c r="K786" i="5"/>
  <c r="G786" i="5"/>
  <c r="C786" i="5"/>
  <c r="S785" i="5"/>
  <c r="O785" i="5"/>
  <c r="K785" i="5"/>
  <c r="G785" i="5"/>
  <c r="C785" i="5"/>
  <c r="S784" i="5"/>
  <c r="O784" i="5"/>
  <c r="K784" i="5"/>
  <c r="B15" i="6"/>
  <c r="B7" i="6"/>
  <c r="P797" i="5"/>
  <c r="H797" i="5"/>
  <c r="R796" i="5"/>
  <c r="J796" i="5"/>
  <c r="B796" i="5"/>
  <c r="L795" i="5"/>
  <c r="D795" i="5"/>
  <c r="N794" i="5"/>
  <c r="F794" i="5"/>
  <c r="P793" i="5"/>
  <c r="H793" i="5"/>
  <c r="R792" i="5"/>
  <c r="J792" i="5"/>
  <c r="B792" i="5"/>
  <c r="L791" i="5"/>
  <c r="D791" i="5"/>
  <c r="N790" i="5"/>
  <c r="F790" i="5"/>
  <c r="P789" i="5"/>
  <c r="H789" i="5"/>
  <c r="R788" i="5"/>
  <c r="J788" i="5"/>
  <c r="B788" i="5"/>
  <c r="L787" i="5"/>
  <c r="D787" i="5"/>
  <c r="B18" i="6"/>
  <c r="B10" i="6"/>
  <c r="B2" i="6"/>
  <c r="M797" i="5"/>
  <c r="E797" i="5"/>
  <c r="Q796" i="5"/>
  <c r="I796" i="5"/>
  <c r="A796" i="5"/>
  <c r="M795" i="5"/>
  <c r="E795" i="5"/>
  <c r="Q794" i="5"/>
  <c r="I794" i="5"/>
  <c r="A794" i="5"/>
  <c r="M793" i="5"/>
  <c r="E793" i="5"/>
  <c r="Q792" i="5"/>
  <c r="I792" i="5"/>
  <c r="A792" i="5"/>
  <c r="M791" i="5"/>
  <c r="E791" i="5"/>
  <c r="Q790" i="5"/>
  <c r="I790" i="5"/>
  <c r="A790" i="5"/>
  <c r="M789" i="5"/>
  <c r="E789" i="5"/>
  <c r="Q788" i="5"/>
  <c r="I788" i="5"/>
  <c r="A788" i="5"/>
  <c r="M787" i="5"/>
  <c r="C787" i="5"/>
  <c r="M786" i="5"/>
  <c r="E786" i="5"/>
  <c r="Q785" i="5"/>
  <c r="I785" i="5"/>
  <c r="A785" i="5"/>
  <c r="M784" i="5"/>
  <c r="G784" i="5"/>
  <c r="C784" i="5"/>
  <c r="S783" i="5"/>
  <c r="O783" i="5"/>
  <c r="K783" i="5"/>
  <c r="G783" i="5"/>
  <c r="C783" i="5"/>
  <c r="S782" i="5"/>
  <c r="O782" i="5"/>
  <c r="K782" i="5"/>
  <c r="G782" i="5"/>
  <c r="C782" i="5"/>
  <c r="S781" i="5"/>
  <c r="O781" i="5"/>
  <c r="K781" i="5"/>
  <c r="G781" i="5"/>
  <c r="C781" i="5"/>
  <c r="S780" i="5"/>
  <c r="O780" i="5"/>
  <c r="K780" i="5"/>
  <c r="G780" i="5"/>
  <c r="C780" i="5"/>
  <c r="S779" i="5"/>
  <c r="O779" i="5"/>
  <c r="K779" i="5"/>
  <c r="G779" i="5"/>
  <c r="C779" i="5"/>
  <c r="S778" i="5"/>
  <c r="O778" i="5"/>
  <c r="K778" i="5"/>
  <c r="G778" i="5"/>
  <c r="C778" i="5"/>
  <c r="S777" i="5"/>
  <c r="O777" i="5"/>
  <c r="K777" i="5"/>
  <c r="G777" i="5"/>
  <c r="C777" i="5"/>
  <c r="S776" i="5"/>
  <c r="O776" i="5"/>
  <c r="K776" i="5"/>
  <c r="G776" i="5"/>
  <c r="C776" i="5"/>
  <c r="S775" i="5"/>
  <c r="O775" i="5"/>
  <c r="K775" i="5"/>
  <c r="G775" i="5"/>
  <c r="C775" i="5"/>
  <c r="S774" i="5"/>
  <c r="O774" i="5"/>
  <c r="K774" i="5"/>
  <c r="G774" i="5"/>
  <c r="C774" i="5"/>
  <c r="S773" i="5"/>
  <c r="O773" i="5"/>
  <c r="K773" i="5"/>
  <c r="G773" i="5"/>
  <c r="C773" i="5"/>
  <c r="S772" i="5"/>
  <c r="O772" i="5"/>
  <c r="K772" i="5"/>
  <c r="G772" i="5"/>
  <c r="C772" i="5"/>
  <c r="S771" i="5"/>
  <c r="O771" i="5"/>
  <c r="K771" i="5"/>
  <c r="G771" i="5"/>
  <c r="C771" i="5"/>
  <c r="S770" i="5"/>
  <c r="O770" i="5"/>
  <c r="K770" i="5"/>
  <c r="G770" i="5"/>
  <c r="C770" i="5"/>
  <c r="S769" i="5"/>
  <c r="O769" i="5"/>
  <c r="K769" i="5"/>
  <c r="G769" i="5"/>
  <c r="C769" i="5"/>
  <c r="S768" i="5"/>
  <c r="O768" i="5"/>
  <c r="K768" i="5"/>
  <c r="G768" i="5"/>
  <c r="C768" i="5"/>
  <c r="S767" i="5"/>
  <c r="O767" i="5"/>
  <c r="K767" i="5"/>
  <c r="G767" i="5"/>
  <c r="C767" i="5"/>
  <c r="S766" i="5"/>
  <c r="O766" i="5"/>
  <c r="K766" i="5"/>
  <c r="G766" i="5"/>
  <c r="C766" i="5"/>
  <c r="S765" i="5"/>
  <c r="O765" i="5"/>
  <c r="K765" i="5"/>
  <c r="G765" i="5"/>
  <c r="C765" i="5"/>
  <c r="S764" i="5"/>
  <c r="O764" i="5"/>
  <c r="K764" i="5"/>
  <c r="G764" i="5"/>
  <c r="C764" i="5"/>
  <c r="S763" i="5"/>
  <c r="O763" i="5"/>
  <c r="K763" i="5"/>
  <c r="G763" i="5"/>
  <c r="C763" i="5"/>
  <c r="S762" i="5"/>
  <c r="O762" i="5"/>
  <c r="K762" i="5"/>
  <c r="G762" i="5"/>
  <c r="C762" i="5"/>
  <c r="S761" i="5"/>
  <c r="O761" i="5"/>
  <c r="R786" i="5"/>
  <c r="J786" i="5"/>
  <c r="B786" i="5"/>
  <c r="N785" i="5"/>
  <c r="F785" i="5"/>
  <c r="R784" i="5"/>
  <c r="J784" i="5"/>
  <c r="B784" i="5"/>
  <c r="N783" i="5"/>
  <c r="F783" i="5"/>
  <c r="R782" i="5"/>
  <c r="J782" i="5"/>
  <c r="B782" i="5"/>
  <c r="N781" i="5"/>
  <c r="F781" i="5"/>
  <c r="R780" i="5"/>
  <c r="J780" i="5"/>
  <c r="B780" i="5"/>
  <c r="N779" i="5"/>
  <c r="F779" i="5"/>
  <c r="R778" i="5"/>
  <c r="J778" i="5"/>
  <c r="B778" i="5"/>
  <c r="N777" i="5"/>
  <c r="F777" i="5"/>
  <c r="R776" i="5"/>
  <c r="J776" i="5"/>
  <c r="B776" i="5"/>
  <c r="N775" i="5"/>
  <c r="F775" i="5"/>
  <c r="R774" i="5"/>
  <c r="J774" i="5"/>
  <c r="B774" i="5"/>
  <c r="N773" i="5"/>
  <c r="F773" i="5"/>
  <c r="R772" i="5"/>
  <c r="J772" i="5"/>
  <c r="B772" i="5"/>
  <c r="N771" i="5"/>
  <c r="F771" i="5"/>
  <c r="R770" i="5"/>
  <c r="J770" i="5"/>
  <c r="B770" i="5"/>
  <c r="N769" i="5"/>
  <c r="F769" i="5"/>
  <c r="R768" i="5"/>
  <c r="J768" i="5"/>
  <c r="B768" i="5"/>
  <c r="N767" i="5"/>
  <c r="F767" i="5"/>
  <c r="R766" i="5"/>
  <c r="J766" i="5"/>
  <c r="B766" i="5"/>
  <c r="N765" i="5"/>
  <c r="F765" i="5"/>
  <c r="R764" i="5"/>
  <c r="J764" i="5"/>
  <c r="B764" i="5"/>
  <c r="N763" i="5"/>
  <c r="F763" i="5"/>
  <c r="R762" i="5"/>
  <c r="J762" i="5"/>
  <c r="B762" i="5"/>
  <c r="P786" i="5"/>
  <c r="L785" i="5"/>
  <c r="P784" i="5"/>
  <c r="L783" i="5"/>
  <c r="P782" i="5"/>
  <c r="L781" i="5"/>
  <c r="P780" i="5"/>
  <c r="L779" i="5"/>
  <c r="P778" i="5"/>
  <c r="L777" i="5"/>
  <c r="P776" i="5"/>
  <c r="L775" i="5"/>
  <c r="P774" i="5"/>
  <c r="L773" i="5"/>
  <c r="P772" i="5"/>
  <c r="B11" i="6"/>
  <c r="L797" i="5"/>
  <c r="N796" i="5"/>
  <c r="P795" i="5"/>
  <c r="R794" i="5"/>
  <c r="B794" i="5"/>
  <c r="D793" i="5"/>
  <c r="F792" i="5"/>
  <c r="H791" i="5"/>
  <c r="J790" i="5"/>
  <c r="L789" i="5"/>
  <c r="N788" i="5"/>
  <c r="P787" i="5"/>
  <c r="B22" i="6"/>
  <c r="B6" i="6"/>
  <c r="I797" i="5"/>
  <c r="M796" i="5"/>
  <c r="Q795" i="5"/>
  <c r="A795" i="5"/>
  <c r="E794" i="5"/>
  <c r="I793" i="5"/>
  <c r="M792" i="5"/>
  <c r="Q791" i="5"/>
  <c r="A791" i="5"/>
  <c r="E790" i="5"/>
  <c r="I789" i="5"/>
  <c r="M788" i="5"/>
  <c r="Q787" i="5"/>
  <c r="Q786" i="5"/>
  <c r="A786" i="5"/>
  <c r="E785" i="5"/>
  <c r="I784" i="5"/>
  <c r="A784" i="5"/>
  <c r="M783" i="5"/>
  <c r="E783" i="5"/>
  <c r="Q782" i="5"/>
  <c r="I782" i="5"/>
  <c r="A782" i="5"/>
  <c r="M781" i="5"/>
  <c r="E781" i="5"/>
  <c r="Q780" i="5"/>
  <c r="I780" i="5"/>
  <c r="A780" i="5"/>
  <c r="M779" i="5"/>
  <c r="E779" i="5"/>
  <c r="Q778" i="5"/>
  <c r="I778" i="5"/>
  <c r="A778" i="5"/>
  <c r="M777" i="5"/>
  <c r="E777" i="5"/>
  <c r="Q776" i="5"/>
  <c r="I776" i="5"/>
  <c r="A776" i="5"/>
  <c r="M775" i="5"/>
  <c r="E775" i="5"/>
  <c r="Q774" i="5"/>
  <c r="I774" i="5"/>
  <c r="A774" i="5"/>
  <c r="M773" i="5"/>
  <c r="E773" i="5"/>
  <c r="Q772" i="5"/>
  <c r="I772" i="5"/>
  <c r="A772" i="5"/>
  <c r="M771" i="5"/>
  <c r="E771" i="5"/>
  <c r="Q770" i="5"/>
  <c r="I770" i="5"/>
  <c r="A770" i="5"/>
  <c r="M769" i="5"/>
  <c r="E769" i="5"/>
  <c r="Q768" i="5"/>
  <c r="I768" i="5"/>
  <c r="A768" i="5"/>
  <c r="M767" i="5"/>
  <c r="E767" i="5"/>
  <c r="Q766" i="5"/>
  <c r="I766" i="5"/>
  <c r="A766" i="5"/>
  <c r="M765" i="5"/>
  <c r="E765" i="5"/>
  <c r="Q764" i="5"/>
  <c r="I764" i="5"/>
  <c r="A764" i="5"/>
  <c r="M763" i="5"/>
  <c r="E763" i="5"/>
  <c r="Q762" i="5"/>
  <c r="I762" i="5"/>
  <c r="A762" i="5"/>
  <c r="E787" i="5"/>
  <c r="F786" i="5"/>
  <c r="J785" i="5"/>
  <c r="N784" i="5"/>
  <c r="R783" i="5"/>
  <c r="B783" i="5"/>
  <c r="F782" i="5"/>
  <c r="J781" i="5"/>
  <c r="N780" i="5"/>
  <c r="R779" i="5"/>
  <c r="B779" i="5"/>
  <c r="F778" i="5"/>
  <c r="J777" i="5"/>
  <c r="N776" i="5"/>
  <c r="R775" i="5"/>
  <c r="B775" i="5"/>
  <c r="F774" i="5"/>
  <c r="J773" i="5"/>
  <c r="N772" i="5"/>
  <c r="R771" i="5"/>
  <c r="B771" i="5"/>
  <c r="F770" i="5"/>
  <c r="J769" i="5"/>
  <c r="N768" i="5"/>
  <c r="R767" i="5"/>
  <c r="B767" i="5"/>
  <c r="F766" i="5"/>
  <c r="J765" i="5"/>
  <c r="N764" i="5"/>
  <c r="R763" i="5"/>
  <c r="B763" i="5"/>
  <c r="F762" i="5"/>
  <c r="H786" i="5"/>
  <c r="H784" i="5"/>
  <c r="H782" i="5"/>
  <c r="H780" i="5"/>
  <c r="H778" i="5"/>
  <c r="H776" i="5"/>
  <c r="H774" i="5"/>
  <c r="H772" i="5"/>
  <c r="D771" i="5"/>
  <c r="H770" i="5"/>
  <c r="D769" i="5"/>
  <c r="H768" i="5"/>
  <c r="D767" i="5"/>
  <c r="H766" i="5"/>
  <c r="D765" i="5"/>
  <c r="H764" i="5"/>
  <c r="D763" i="5"/>
  <c r="H762" i="5"/>
  <c r="L761" i="5"/>
  <c r="H761" i="5"/>
  <c r="D761" i="5"/>
  <c r="R760" i="5"/>
  <c r="N760" i="5"/>
  <c r="J760" i="5"/>
  <c r="F760" i="5"/>
  <c r="B760" i="5"/>
  <c r="P759" i="5"/>
  <c r="L759" i="5"/>
  <c r="H759" i="5"/>
  <c r="D759" i="5"/>
  <c r="R758" i="5"/>
  <c r="N758" i="5"/>
  <c r="J758" i="5"/>
  <c r="F758" i="5"/>
  <c r="B758" i="5"/>
  <c r="P757" i="5"/>
  <c r="L757" i="5"/>
  <c r="H757" i="5"/>
  <c r="D757" i="5"/>
  <c r="R756" i="5"/>
  <c r="N756" i="5"/>
  <c r="J756" i="5"/>
  <c r="F756" i="5"/>
  <c r="B756" i="5"/>
  <c r="P755" i="5"/>
  <c r="L755" i="5"/>
  <c r="H755" i="5"/>
  <c r="D755" i="5"/>
  <c r="R754" i="5"/>
  <c r="N754" i="5"/>
  <c r="J754" i="5"/>
  <c r="F754" i="5"/>
  <c r="B754" i="5"/>
  <c r="P753" i="5"/>
  <c r="L753" i="5"/>
  <c r="H753" i="5"/>
  <c r="D753" i="5"/>
  <c r="R752" i="5"/>
  <c r="N752" i="5"/>
  <c r="J752" i="5"/>
  <c r="F752" i="5"/>
  <c r="B752" i="5"/>
  <c r="P751" i="5"/>
  <c r="L751" i="5"/>
  <c r="H751" i="5"/>
  <c r="D751" i="5"/>
  <c r="R750" i="5"/>
  <c r="N750" i="5"/>
  <c r="J750" i="5"/>
  <c r="F750" i="5"/>
  <c r="B750" i="5"/>
  <c r="P749" i="5"/>
  <c r="L749" i="5"/>
  <c r="H749" i="5"/>
  <c r="D749" i="5"/>
  <c r="R748" i="5"/>
  <c r="N748" i="5"/>
  <c r="J748" i="5"/>
  <c r="F748" i="5"/>
  <c r="B748" i="5"/>
  <c r="P747" i="5"/>
  <c r="L747" i="5"/>
  <c r="H747" i="5"/>
  <c r="D747" i="5"/>
  <c r="R746" i="5"/>
  <c r="N746" i="5"/>
  <c r="J746" i="5"/>
  <c r="F746" i="5"/>
  <c r="B746" i="5"/>
  <c r="P745" i="5"/>
  <c r="L745" i="5"/>
  <c r="H745" i="5"/>
  <c r="D745" i="5"/>
  <c r="R744" i="5"/>
  <c r="N744" i="5"/>
  <c r="J744" i="5"/>
  <c r="F744" i="5"/>
  <c r="B744" i="5"/>
  <c r="P743" i="5"/>
  <c r="L743" i="5"/>
  <c r="H743" i="5"/>
  <c r="D743" i="5"/>
  <c r="R742" i="5"/>
  <c r="N742" i="5"/>
  <c r="J742" i="5"/>
  <c r="F742" i="5"/>
  <c r="B742" i="5"/>
  <c r="P741" i="5"/>
  <c r="L741" i="5"/>
  <c r="H741" i="5"/>
  <c r="D741" i="5"/>
  <c r="R740" i="5"/>
  <c r="N740" i="5"/>
  <c r="J740" i="5"/>
  <c r="F740" i="5"/>
  <c r="B740" i="5"/>
  <c r="P739" i="5"/>
  <c r="L739" i="5"/>
  <c r="H739" i="5"/>
  <c r="D739" i="5"/>
  <c r="R738" i="5"/>
  <c r="N738" i="5"/>
  <c r="J738" i="5"/>
  <c r="F738" i="5"/>
  <c r="B738" i="5"/>
  <c r="P737" i="5"/>
  <c r="L737" i="5"/>
  <c r="H737" i="5"/>
  <c r="D737" i="5"/>
  <c r="R736" i="5"/>
  <c r="N736" i="5"/>
  <c r="J736" i="5"/>
  <c r="F736" i="5"/>
  <c r="B736" i="5"/>
  <c r="P735" i="5"/>
  <c r="L735" i="5"/>
  <c r="H735" i="5"/>
  <c r="D735" i="5"/>
  <c r="R734" i="5"/>
  <c r="N734" i="5"/>
  <c r="J734" i="5"/>
  <c r="F734" i="5"/>
  <c r="B734" i="5"/>
  <c r="P733" i="5"/>
  <c r="L733" i="5"/>
  <c r="H733" i="5"/>
  <c r="D733" i="5"/>
  <c r="R732" i="5"/>
  <c r="N732" i="5"/>
  <c r="J732" i="5"/>
  <c r="F732" i="5"/>
  <c r="B732" i="5"/>
  <c r="P731" i="5"/>
  <c r="L731" i="5"/>
  <c r="H731" i="5"/>
  <c r="D731" i="5"/>
  <c r="R730" i="5"/>
  <c r="N730" i="5"/>
  <c r="J730" i="5"/>
  <c r="F730" i="5"/>
  <c r="B730" i="5"/>
  <c r="P729" i="5"/>
  <c r="L729" i="5"/>
  <c r="H729" i="5"/>
  <c r="D729" i="5"/>
  <c r="R728" i="5"/>
  <c r="N728" i="5"/>
  <c r="J728" i="5"/>
  <c r="F728" i="5"/>
  <c r="B728" i="5"/>
  <c r="P727" i="5"/>
  <c r="L727" i="5"/>
  <c r="H727" i="5"/>
  <c r="D727" i="5"/>
  <c r="R726" i="5"/>
  <c r="N726" i="5"/>
  <c r="J726" i="5"/>
  <c r="F726" i="5"/>
  <c r="B726" i="5"/>
  <c r="P725" i="5"/>
  <c r="L725" i="5"/>
  <c r="H725" i="5"/>
  <c r="D725" i="5"/>
  <c r="R724" i="5"/>
  <c r="N724" i="5"/>
  <c r="J724" i="5"/>
  <c r="F724" i="5"/>
  <c r="B724" i="5"/>
  <c r="P723" i="5"/>
  <c r="L723" i="5"/>
  <c r="H723" i="5"/>
  <c r="D723" i="5"/>
  <c r="R722" i="5"/>
  <c r="N722" i="5"/>
  <c r="J722" i="5"/>
  <c r="F722" i="5"/>
  <c r="B722" i="5"/>
  <c r="P721" i="5"/>
  <c r="L721" i="5"/>
  <c r="H721" i="5"/>
  <c r="D721" i="5"/>
  <c r="R720" i="5"/>
  <c r="N720" i="5"/>
  <c r="J720" i="5"/>
  <c r="F720" i="5"/>
  <c r="B720" i="5"/>
  <c r="P719" i="5"/>
  <c r="A787" i="5"/>
  <c r="H785" i="5"/>
  <c r="P783" i="5"/>
  <c r="H781" i="5"/>
  <c r="P779" i="5"/>
  <c r="H777" i="5"/>
  <c r="P775" i="5"/>
  <c r="H773" i="5"/>
  <c r="P771" i="5"/>
  <c r="H769" i="5"/>
  <c r="P767" i="5"/>
  <c r="H765" i="5"/>
  <c r="P763" i="5"/>
  <c r="M761" i="5"/>
  <c r="E761" i="5"/>
  <c r="Q760" i="5"/>
  <c r="I760" i="5"/>
  <c r="A760" i="5"/>
  <c r="M759" i="5"/>
  <c r="E759" i="5"/>
  <c r="Q758" i="5"/>
  <c r="I758" i="5"/>
  <c r="A758" i="5"/>
  <c r="M757" i="5"/>
  <c r="E757" i="5"/>
  <c r="Q756" i="5"/>
  <c r="I756" i="5"/>
  <c r="A756" i="5"/>
  <c r="M755" i="5"/>
  <c r="E755" i="5"/>
  <c r="Q754" i="5"/>
  <c r="I754" i="5"/>
  <c r="A754" i="5"/>
  <c r="M753" i="5"/>
  <c r="E753" i="5"/>
  <c r="Q752" i="5"/>
  <c r="I752" i="5"/>
  <c r="A752" i="5"/>
  <c r="M751" i="5"/>
  <c r="E751" i="5"/>
  <c r="Q750" i="5"/>
  <c r="I750" i="5"/>
  <c r="A750" i="5"/>
  <c r="M749" i="5"/>
  <c r="E749" i="5"/>
  <c r="Q748" i="5"/>
  <c r="I748" i="5"/>
  <c r="A748" i="5"/>
  <c r="M747" i="5"/>
  <c r="E747" i="5"/>
  <c r="Q746" i="5"/>
  <c r="I746" i="5"/>
  <c r="A746" i="5"/>
  <c r="M745" i="5"/>
  <c r="E745" i="5"/>
  <c r="Q744" i="5"/>
  <c r="I744" i="5"/>
  <c r="A744" i="5"/>
  <c r="M743" i="5"/>
  <c r="E743" i="5"/>
  <c r="Q742" i="5"/>
  <c r="I742" i="5"/>
  <c r="A742" i="5"/>
  <c r="M741" i="5"/>
  <c r="E741" i="5"/>
  <c r="Q740" i="5"/>
  <c r="I740" i="5"/>
  <c r="A740" i="5"/>
  <c r="M739" i="5"/>
  <c r="E739" i="5"/>
  <c r="Q738" i="5"/>
  <c r="I738" i="5"/>
  <c r="A738" i="5"/>
  <c r="M737" i="5"/>
  <c r="E737" i="5"/>
  <c r="Q736" i="5"/>
  <c r="I736" i="5"/>
  <c r="A736" i="5"/>
  <c r="M735" i="5"/>
  <c r="E735" i="5"/>
  <c r="Q734" i="5"/>
  <c r="I734" i="5"/>
  <c r="A734" i="5"/>
  <c r="M733" i="5"/>
  <c r="E733" i="5"/>
  <c r="Q732" i="5"/>
  <c r="I732" i="5"/>
  <c r="A732" i="5"/>
  <c r="M731" i="5"/>
  <c r="E731" i="5"/>
  <c r="Q730" i="5"/>
  <c r="I730" i="5"/>
  <c r="A730" i="5"/>
  <c r="M729" i="5"/>
  <c r="E729" i="5"/>
  <c r="Q728" i="5"/>
  <c r="I728" i="5"/>
  <c r="A728" i="5"/>
  <c r="M727" i="5"/>
  <c r="E727" i="5"/>
  <c r="Q726" i="5"/>
  <c r="I726" i="5"/>
  <c r="A726" i="5"/>
  <c r="M725" i="5"/>
  <c r="E725" i="5"/>
  <c r="Q724" i="5"/>
  <c r="I724" i="5"/>
  <c r="A724" i="5"/>
  <c r="M723" i="5"/>
  <c r="E723" i="5"/>
  <c r="Q722" i="5"/>
  <c r="I722" i="5"/>
  <c r="A722" i="5"/>
  <c r="M721" i="5"/>
  <c r="E721" i="5"/>
  <c r="Q720" i="5"/>
  <c r="I720" i="5"/>
  <c r="A720" i="5"/>
  <c r="M719" i="5"/>
  <c r="I719" i="5"/>
  <c r="E719" i="5"/>
  <c r="A719" i="5"/>
  <c r="Q718" i="5"/>
  <c r="P785" i="5"/>
  <c r="L782" i="5"/>
  <c r="P777" i="5"/>
  <c r="L774" i="5"/>
  <c r="P769" i="5"/>
  <c r="L766" i="5"/>
  <c r="P761" i="5"/>
  <c r="S760" i="5"/>
  <c r="C760" i="5"/>
  <c r="G759" i="5"/>
  <c r="K758" i="5"/>
  <c r="O757" i="5"/>
  <c r="S756" i="5"/>
  <c r="C756" i="5"/>
  <c r="G755" i="5"/>
  <c r="K754" i="5"/>
  <c r="O753" i="5"/>
  <c r="S752" i="5"/>
  <c r="C752" i="5"/>
  <c r="G751" i="5"/>
  <c r="K750" i="5"/>
  <c r="O749" i="5"/>
  <c r="S748" i="5"/>
  <c r="C748" i="5"/>
  <c r="G747" i="5"/>
  <c r="K746" i="5"/>
  <c r="O745" i="5"/>
  <c r="S744" i="5"/>
  <c r="C744" i="5"/>
  <c r="G743" i="5"/>
  <c r="K742" i="5"/>
  <c r="O741" i="5"/>
  <c r="S740" i="5"/>
  <c r="C740" i="5"/>
  <c r="G739" i="5"/>
  <c r="K738" i="5"/>
  <c r="O737" i="5"/>
  <c r="S736" i="5"/>
  <c r="C736" i="5"/>
  <c r="G735" i="5"/>
  <c r="K734" i="5"/>
  <c r="O733" i="5"/>
  <c r="S732" i="5"/>
  <c r="C732" i="5"/>
  <c r="G731" i="5"/>
  <c r="K730" i="5"/>
  <c r="O729" i="5"/>
  <c r="S728" i="5"/>
  <c r="C728" i="5"/>
  <c r="G727" i="5"/>
  <c r="K726" i="5"/>
  <c r="O725" i="5"/>
  <c r="S724" i="5"/>
  <c r="C724" i="5"/>
  <c r="G723" i="5"/>
  <c r="K722" i="5"/>
  <c r="O721" i="5"/>
  <c r="S720" i="5"/>
  <c r="C720" i="5"/>
  <c r="J719" i="5"/>
  <c r="B719" i="5"/>
  <c r="B19" i="6"/>
  <c r="D797" i="5"/>
  <c r="H795" i="5"/>
  <c r="L793" i="5"/>
  <c r="P791" i="5"/>
  <c r="B790" i="5"/>
  <c r="F788" i="5"/>
  <c r="B14" i="6"/>
  <c r="A797" i="5"/>
  <c r="I795" i="5"/>
  <c r="Q793" i="5"/>
  <c r="E792" i="5"/>
  <c r="M790" i="5"/>
  <c r="A789" i="5"/>
  <c r="I787" i="5"/>
  <c r="M785" i="5"/>
  <c r="E784" i="5"/>
  <c r="I783" i="5"/>
  <c r="M782" i="5"/>
  <c r="Q781" i="5"/>
  <c r="A781" i="5"/>
  <c r="E780" i="5"/>
  <c r="I779" i="5"/>
  <c r="M778" i="5"/>
  <c r="Q777" i="5"/>
  <c r="A777" i="5"/>
  <c r="E776" i="5"/>
  <c r="I775" i="5"/>
  <c r="M774" i="5"/>
  <c r="Q773" i="5"/>
  <c r="A773" i="5"/>
  <c r="E772" i="5"/>
  <c r="I771" i="5"/>
  <c r="M770" i="5"/>
  <c r="Q769" i="5"/>
  <c r="A769" i="5"/>
  <c r="E768" i="5"/>
  <c r="I767" i="5"/>
  <c r="M766" i="5"/>
  <c r="Q765" i="5"/>
  <c r="A765" i="5"/>
  <c r="B3" i="6"/>
  <c r="F796" i="5"/>
  <c r="J794" i="5"/>
  <c r="N792" i="5"/>
  <c r="R790" i="5"/>
  <c r="D789" i="5"/>
  <c r="H787" i="5"/>
  <c r="Q797" i="5"/>
  <c r="E796" i="5"/>
  <c r="M794" i="5"/>
  <c r="A793" i="5"/>
  <c r="I791" i="5"/>
  <c r="Q789" i="5"/>
  <c r="E788" i="5"/>
  <c r="I786" i="5"/>
  <c r="Q784" i="5"/>
  <c r="Q783" i="5"/>
  <c r="A783" i="5"/>
  <c r="E782" i="5"/>
  <c r="I781" i="5"/>
  <c r="M780" i="5"/>
  <c r="Q779" i="5"/>
  <c r="A779" i="5"/>
  <c r="E778" i="5"/>
  <c r="I777" i="5"/>
  <c r="M776" i="5"/>
  <c r="Q775" i="5"/>
  <c r="A775" i="5"/>
  <c r="E774" i="5"/>
  <c r="I773" i="5"/>
  <c r="M772" i="5"/>
  <c r="Q771" i="5"/>
  <c r="A771" i="5"/>
  <c r="E770" i="5"/>
  <c r="I769" i="5"/>
  <c r="M768" i="5"/>
  <c r="Q767" i="5"/>
  <c r="A767" i="5"/>
  <c r="E766" i="5"/>
  <c r="I765" i="5"/>
  <c r="M764" i="5"/>
  <c r="Q763" i="5"/>
  <c r="A763" i="5"/>
  <c r="E762" i="5"/>
  <c r="N786" i="5"/>
  <c r="B785" i="5"/>
  <c r="J783" i="5"/>
  <c r="R781" i="5"/>
  <c r="F780" i="5"/>
  <c r="N778" i="5"/>
  <c r="B777" i="5"/>
  <c r="J775" i="5"/>
  <c r="R773" i="5"/>
  <c r="F772" i="5"/>
  <c r="N770" i="5"/>
  <c r="B769" i="5"/>
  <c r="J767" i="5"/>
  <c r="R765" i="5"/>
  <c r="F764" i="5"/>
  <c r="N762" i="5"/>
  <c r="D785" i="5"/>
  <c r="D781" i="5"/>
  <c r="D777" i="5"/>
  <c r="D773" i="5"/>
  <c r="P770" i="5"/>
  <c r="P768" i="5"/>
  <c r="P766" i="5"/>
  <c r="P764" i="5"/>
  <c r="P762" i="5"/>
  <c r="J761" i="5"/>
  <c r="B761" i="5"/>
  <c r="L760" i="5"/>
  <c r="D760" i="5"/>
  <c r="N759" i="5"/>
  <c r="F759" i="5"/>
  <c r="P758" i="5"/>
  <c r="H758" i="5"/>
  <c r="R757" i="5"/>
  <c r="J757" i="5"/>
  <c r="B757" i="5"/>
  <c r="L756" i="5"/>
  <c r="D756" i="5"/>
  <c r="N755" i="5"/>
  <c r="F755" i="5"/>
  <c r="P754" i="5"/>
  <c r="H754" i="5"/>
  <c r="R753" i="5"/>
  <c r="J753" i="5"/>
  <c r="B753" i="5"/>
  <c r="L752" i="5"/>
  <c r="D752" i="5"/>
  <c r="N751" i="5"/>
  <c r="F751" i="5"/>
  <c r="P750" i="5"/>
  <c r="H750" i="5"/>
  <c r="R749" i="5"/>
  <c r="J749" i="5"/>
  <c r="B749" i="5"/>
  <c r="L748" i="5"/>
  <c r="D748" i="5"/>
  <c r="N747" i="5"/>
  <c r="F747" i="5"/>
  <c r="P746" i="5"/>
  <c r="H746" i="5"/>
  <c r="R745" i="5"/>
  <c r="J745" i="5"/>
  <c r="B745" i="5"/>
  <c r="L744" i="5"/>
  <c r="D744" i="5"/>
  <c r="N743" i="5"/>
  <c r="F743" i="5"/>
  <c r="P742" i="5"/>
  <c r="H742" i="5"/>
  <c r="R741" i="5"/>
  <c r="J741" i="5"/>
  <c r="B741" i="5"/>
  <c r="L740" i="5"/>
  <c r="D740" i="5"/>
  <c r="N739" i="5"/>
  <c r="F739" i="5"/>
  <c r="P738" i="5"/>
  <c r="H738" i="5"/>
  <c r="R737" i="5"/>
  <c r="J737" i="5"/>
  <c r="B737" i="5"/>
  <c r="L736" i="5"/>
  <c r="D736" i="5"/>
  <c r="N735" i="5"/>
  <c r="F735" i="5"/>
  <c r="P734" i="5"/>
  <c r="H734" i="5"/>
  <c r="R733" i="5"/>
  <c r="J733" i="5"/>
  <c r="B733" i="5"/>
  <c r="L732" i="5"/>
  <c r="D732" i="5"/>
  <c r="N731" i="5"/>
  <c r="F731" i="5"/>
  <c r="P730" i="5"/>
  <c r="H730" i="5"/>
  <c r="R729" i="5"/>
  <c r="J729" i="5"/>
  <c r="B729" i="5"/>
  <c r="L728" i="5"/>
  <c r="D728" i="5"/>
  <c r="N727" i="5"/>
  <c r="F727" i="5"/>
  <c r="P726" i="5"/>
  <c r="H726" i="5"/>
  <c r="R725" i="5"/>
  <c r="J725" i="5"/>
  <c r="B725" i="5"/>
  <c r="L724" i="5"/>
  <c r="D724" i="5"/>
  <c r="N723" i="5"/>
  <c r="F723" i="5"/>
  <c r="P722" i="5"/>
  <c r="H722" i="5"/>
  <c r="R721" i="5"/>
  <c r="J721" i="5"/>
  <c r="B721" i="5"/>
  <c r="L720" i="5"/>
  <c r="D720" i="5"/>
  <c r="N719" i="5"/>
  <c r="L784" i="5"/>
  <c r="L780" i="5"/>
  <c r="L776" i="5"/>
  <c r="L772" i="5"/>
  <c r="L768" i="5"/>
  <c r="L764" i="5"/>
  <c r="I761" i="5"/>
  <c r="M760" i="5"/>
  <c r="Q759" i="5"/>
  <c r="A759" i="5"/>
  <c r="E758" i="5"/>
  <c r="I757" i="5"/>
  <c r="M756" i="5"/>
  <c r="Q755" i="5"/>
  <c r="A755" i="5"/>
  <c r="E754" i="5"/>
  <c r="I753" i="5"/>
  <c r="M752" i="5"/>
  <c r="Q751" i="5"/>
  <c r="A751" i="5"/>
  <c r="E750" i="5"/>
  <c r="I749" i="5"/>
  <c r="M748" i="5"/>
  <c r="Q747" i="5"/>
  <c r="A747" i="5"/>
  <c r="E746" i="5"/>
  <c r="I745" i="5"/>
  <c r="M744" i="5"/>
  <c r="Q743" i="5"/>
  <c r="A743" i="5"/>
  <c r="E742" i="5"/>
  <c r="I741" i="5"/>
  <c r="M740" i="5"/>
  <c r="Q739" i="5"/>
  <c r="A739" i="5"/>
  <c r="E738" i="5"/>
  <c r="I737" i="5"/>
  <c r="M736" i="5"/>
  <c r="Q735" i="5"/>
  <c r="A735" i="5"/>
  <c r="E734" i="5"/>
  <c r="I733" i="5"/>
  <c r="M732" i="5"/>
  <c r="Q731" i="5"/>
  <c r="A731" i="5"/>
  <c r="E730" i="5"/>
  <c r="I729" i="5"/>
  <c r="M728" i="5"/>
  <c r="Q727" i="5"/>
  <c r="A727" i="5"/>
  <c r="E726" i="5"/>
  <c r="I725" i="5"/>
  <c r="M724" i="5"/>
  <c r="Q723" i="5"/>
  <c r="A723" i="5"/>
  <c r="E722" i="5"/>
  <c r="I721" i="5"/>
  <c r="M720" i="5"/>
  <c r="Q719" i="5"/>
  <c r="G719" i="5"/>
  <c r="S718" i="5"/>
  <c r="D784" i="5"/>
  <c r="D776" i="5"/>
  <c r="D768" i="5"/>
  <c r="G761" i="5"/>
  <c r="O759" i="5"/>
  <c r="C758" i="5"/>
  <c r="K756" i="5"/>
  <c r="S754" i="5"/>
  <c r="G753" i="5"/>
  <c r="O751" i="5"/>
  <c r="C750" i="5"/>
  <c r="K748" i="5"/>
  <c r="S746" i="5"/>
  <c r="G745" i="5"/>
  <c r="O743" i="5"/>
  <c r="C742" i="5"/>
  <c r="K740" i="5"/>
  <c r="S738" i="5"/>
  <c r="G737" i="5"/>
  <c r="O735" i="5"/>
  <c r="C734" i="5"/>
  <c r="K732" i="5"/>
  <c r="S730" i="5"/>
  <c r="G729" i="5"/>
  <c r="O727" i="5"/>
  <c r="C726" i="5"/>
  <c r="K724" i="5"/>
  <c r="S722" i="5"/>
  <c r="G721" i="5"/>
  <c r="O719" i="5"/>
  <c r="R718" i="5"/>
  <c r="L718" i="5"/>
  <c r="H718" i="5"/>
  <c r="D718" i="5"/>
  <c r="R717" i="5"/>
  <c r="N717" i="5"/>
  <c r="J717" i="5"/>
  <c r="F717" i="5"/>
  <c r="B717" i="5"/>
  <c r="P716" i="5"/>
  <c r="L716" i="5"/>
  <c r="H716" i="5"/>
  <c r="D716" i="5"/>
  <c r="R715" i="5"/>
  <c r="N715" i="5"/>
  <c r="J715" i="5"/>
  <c r="F715" i="5"/>
  <c r="B715" i="5"/>
  <c r="P714" i="5"/>
  <c r="L714" i="5"/>
  <c r="H714" i="5"/>
  <c r="D714" i="5"/>
  <c r="R713" i="5"/>
  <c r="N713" i="5"/>
  <c r="J713" i="5"/>
  <c r="F713" i="5"/>
  <c r="B713" i="5"/>
  <c r="P712" i="5"/>
  <c r="L712" i="5"/>
  <c r="H712" i="5"/>
  <c r="D712" i="5"/>
  <c r="R711" i="5"/>
  <c r="N711" i="5"/>
  <c r="J711" i="5"/>
  <c r="F711" i="5"/>
  <c r="B711" i="5"/>
  <c r="P710" i="5"/>
  <c r="L710" i="5"/>
  <c r="H710" i="5"/>
  <c r="D710" i="5"/>
  <c r="R709" i="5"/>
  <c r="N709" i="5"/>
  <c r="J709" i="5"/>
  <c r="F709" i="5"/>
  <c r="B709" i="5"/>
  <c r="P708" i="5"/>
  <c r="L708" i="5"/>
  <c r="H708" i="5"/>
  <c r="D708" i="5"/>
  <c r="R707" i="5"/>
  <c r="N707" i="5"/>
  <c r="J707" i="5"/>
  <c r="F707" i="5"/>
  <c r="B707" i="5"/>
  <c r="P706" i="5"/>
  <c r="L706" i="5"/>
  <c r="H706" i="5"/>
  <c r="D706" i="5"/>
  <c r="R705" i="5"/>
  <c r="N705" i="5"/>
  <c r="J705" i="5"/>
  <c r="F705" i="5"/>
  <c r="B705" i="5"/>
  <c r="P704" i="5"/>
  <c r="L704" i="5"/>
  <c r="H704" i="5"/>
  <c r="D704" i="5"/>
  <c r="R703" i="5"/>
  <c r="N703" i="5"/>
  <c r="J703" i="5"/>
  <c r="F703" i="5"/>
  <c r="B703" i="5"/>
  <c r="P702" i="5"/>
  <c r="L702" i="5"/>
  <c r="H702" i="5"/>
  <c r="D702" i="5"/>
  <c r="R701" i="5"/>
  <c r="N701" i="5"/>
  <c r="J701" i="5"/>
  <c r="F701" i="5"/>
  <c r="B701" i="5"/>
  <c r="P700" i="5"/>
  <c r="L700" i="5"/>
  <c r="H700" i="5"/>
  <c r="D700" i="5"/>
  <c r="R699" i="5"/>
  <c r="N699" i="5"/>
  <c r="J699" i="5"/>
  <c r="F699" i="5"/>
  <c r="B699" i="5"/>
  <c r="P698" i="5"/>
  <c r="L698" i="5"/>
  <c r="H698" i="5"/>
  <c r="D698" i="5"/>
  <c r="R697" i="5"/>
  <c r="N697" i="5"/>
  <c r="J697" i="5"/>
  <c r="F697" i="5"/>
  <c r="B697" i="5"/>
  <c r="P696" i="5"/>
  <c r="L696" i="5"/>
  <c r="H696" i="5"/>
  <c r="D696" i="5"/>
  <c r="R695" i="5"/>
  <c r="N695" i="5"/>
  <c r="J695" i="5"/>
  <c r="F695" i="5"/>
  <c r="B695" i="5"/>
  <c r="P694" i="5"/>
  <c r="L694" i="5"/>
  <c r="H694" i="5"/>
  <c r="D694" i="5"/>
  <c r="R693" i="5"/>
  <c r="N693" i="5"/>
  <c r="J693" i="5"/>
  <c r="F693" i="5"/>
  <c r="B693" i="5"/>
  <c r="P692" i="5"/>
  <c r="L692" i="5"/>
  <c r="H692" i="5"/>
  <c r="D692" i="5"/>
  <c r="R691" i="5"/>
  <c r="N691" i="5"/>
  <c r="J691" i="5"/>
  <c r="F691" i="5"/>
  <c r="B691" i="5"/>
  <c r="P690" i="5"/>
  <c r="L690" i="5"/>
  <c r="H690" i="5"/>
  <c r="D690" i="5"/>
  <c r="R689" i="5"/>
  <c r="N689" i="5"/>
  <c r="J689" i="5"/>
  <c r="F689" i="5"/>
  <c r="B689" i="5"/>
  <c r="P688" i="5"/>
  <c r="L688" i="5"/>
  <c r="H688" i="5"/>
  <c r="D688" i="5"/>
  <c r="R687" i="5"/>
  <c r="N687" i="5"/>
  <c r="J687" i="5"/>
  <c r="F687" i="5"/>
  <c r="B687" i="5"/>
  <c r="P686" i="5"/>
  <c r="L686" i="5"/>
  <c r="H686" i="5"/>
  <c r="D686" i="5"/>
  <c r="R685" i="5"/>
  <c r="N685" i="5"/>
  <c r="J685" i="5"/>
  <c r="F685" i="5"/>
  <c r="B685" i="5"/>
  <c r="P684" i="5"/>
  <c r="L684" i="5"/>
  <c r="H684" i="5"/>
  <c r="D684" i="5"/>
  <c r="R683" i="5"/>
  <c r="N683" i="5"/>
  <c r="J683" i="5"/>
  <c r="F683" i="5"/>
  <c r="B683" i="5"/>
  <c r="P682" i="5"/>
  <c r="L682" i="5"/>
  <c r="H682" i="5"/>
  <c r="D682" i="5"/>
  <c r="R681" i="5"/>
  <c r="N681" i="5"/>
  <c r="J681" i="5"/>
  <c r="F681" i="5"/>
  <c r="B681" i="5"/>
  <c r="P680" i="5"/>
  <c r="L680" i="5"/>
  <c r="H680" i="5"/>
  <c r="D680" i="5"/>
  <c r="R679" i="5"/>
  <c r="N679" i="5"/>
  <c r="J679" i="5"/>
  <c r="F679" i="5"/>
  <c r="B679" i="5"/>
  <c r="P678" i="5"/>
  <c r="L678" i="5"/>
  <c r="H678" i="5"/>
  <c r="D678" i="5"/>
  <c r="R677" i="5"/>
  <c r="N677" i="5"/>
  <c r="J677" i="5"/>
  <c r="F677" i="5"/>
  <c r="B677" i="5"/>
  <c r="P676" i="5"/>
  <c r="L676" i="5"/>
  <c r="H676" i="5"/>
  <c r="D676" i="5"/>
  <c r="R675" i="5"/>
  <c r="N675" i="5"/>
  <c r="J675" i="5"/>
  <c r="F675" i="5"/>
  <c r="B675" i="5"/>
  <c r="P674" i="5"/>
  <c r="L674" i="5"/>
  <c r="H674" i="5"/>
  <c r="D674" i="5"/>
  <c r="R673" i="5"/>
  <c r="N673" i="5"/>
  <c r="J673" i="5"/>
  <c r="F673" i="5"/>
  <c r="B673" i="5"/>
  <c r="P672" i="5"/>
  <c r="L672" i="5"/>
  <c r="H672" i="5"/>
  <c r="D672" i="5"/>
  <c r="R671" i="5"/>
  <c r="N671" i="5"/>
  <c r="J671" i="5"/>
  <c r="F671" i="5"/>
  <c r="B671" i="5"/>
  <c r="P670" i="5"/>
  <c r="L670" i="5"/>
  <c r="H670" i="5"/>
  <c r="D670" i="5"/>
  <c r="R669" i="5"/>
  <c r="N669" i="5"/>
  <c r="J669" i="5"/>
  <c r="F669" i="5"/>
  <c r="B669" i="5"/>
  <c r="P668" i="5"/>
  <c r="L668" i="5"/>
  <c r="H668" i="5"/>
  <c r="D668" i="5"/>
  <c r="R667" i="5"/>
  <c r="N667" i="5"/>
  <c r="J667" i="5"/>
  <c r="F667" i="5"/>
  <c r="B667" i="5"/>
  <c r="P666" i="5"/>
  <c r="L666" i="5"/>
  <c r="H666" i="5"/>
  <c r="D666" i="5"/>
  <c r="R665" i="5"/>
  <c r="N665" i="5"/>
  <c r="J665" i="5"/>
  <c r="F665" i="5"/>
  <c r="B665" i="5"/>
  <c r="P664" i="5"/>
  <c r="L664" i="5"/>
  <c r="H664" i="5"/>
  <c r="D664" i="5"/>
  <c r="R663" i="5"/>
  <c r="N663" i="5"/>
  <c r="J663" i="5"/>
  <c r="F663" i="5"/>
  <c r="B663" i="5"/>
  <c r="P662" i="5"/>
  <c r="L662" i="5"/>
  <c r="H662" i="5"/>
  <c r="D662" i="5"/>
  <c r="R661" i="5"/>
  <c r="N661" i="5"/>
  <c r="J661" i="5"/>
  <c r="F661" i="5"/>
  <c r="B661" i="5"/>
  <c r="P660" i="5"/>
  <c r="L660" i="5"/>
  <c r="H660" i="5"/>
  <c r="D660" i="5"/>
  <c r="R659" i="5"/>
  <c r="N659" i="5"/>
  <c r="J659" i="5"/>
  <c r="F659" i="5"/>
  <c r="B659" i="5"/>
  <c r="P658" i="5"/>
  <c r="L658" i="5"/>
  <c r="H658" i="5"/>
  <c r="D658" i="5"/>
  <c r="R657" i="5"/>
  <c r="N657" i="5"/>
  <c r="J657" i="5"/>
  <c r="F657" i="5"/>
  <c r="B657" i="5"/>
  <c r="P656" i="5"/>
  <c r="L656" i="5"/>
  <c r="H656" i="5"/>
  <c r="D656" i="5"/>
  <c r="R655" i="5"/>
  <c r="N655" i="5"/>
  <c r="J655" i="5"/>
  <c r="F655" i="5"/>
  <c r="B655" i="5"/>
  <c r="P654" i="5"/>
  <c r="L654" i="5"/>
  <c r="H654" i="5"/>
  <c r="D654" i="5"/>
  <c r="R653" i="5"/>
  <c r="N653" i="5"/>
  <c r="J653" i="5"/>
  <c r="F653" i="5"/>
  <c r="B653" i="5"/>
  <c r="P652" i="5"/>
  <c r="L652" i="5"/>
  <c r="H652" i="5"/>
  <c r="D652" i="5"/>
  <c r="R651" i="5"/>
  <c r="N651" i="5"/>
  <c r="J651" i="5"/>
  <c r="F651" i="5"/>
  <c r="B651" i="5"/>
  <c r="P650" i="5"/>
  <c r="L650" i="5"/>
  <c r="H650" i="5"/>
  <c r="D650" i="5"/>
  <c r="R649" i="5"/>
  <c r="N649" i="5"/>
  <c r="J649" i="5"/>
  <c r="F649" i="5"/>
  <c r="B649" i="5"/>
  <c r="P648" i="5"/>
  <c r="L648" i="5"/>
  <c r="H648" i="5"/>
  <c r="D648" i="5"/>
  <c r="R647" i="5"/>
  <c r="N647" i="5"/>
  <c r="J647" i="5"/>
  <c r="F647" i="5"/>
  <c r="B647" i="5"/>
  <c r="P646" i="5"/>
  <c r="L646" i="5"/>
  <c r="H646" i="5"/>
  <c r="D646" i="5"/>
  <c r="R645" i="5"/>
  <c r="N645" i="5"/>
  <c r="J645" i="5"/>
  <c r="F645" i="5"/>
  <c r="B645" i="5"/>
  <c r="P644" i="5"/>
  <c r="L644" i="5"/>
  <c r="H644" i="5"/>
  <c r="D644" i="5"/>
  <c r="R643" i="5"/>
  <c r="N643" i="5"/>
  <c r="J643" i="5"/>
  <c r="F643" i="5"/>
  <c r="B643" i="5"/>
  <c r="P642" i="5"/>
  <c r="L642" i="5"/>
  <c r="H642" i="5"/>
  <c r="D642" i="5"/>
  <c r="R641" i="5"/>
  <c r="N641" i="5"/>
  <c r="J641" i="5"/>
  <c r="F641" i="5"/>
  <c r="B641" i="5"/>
  <c r="P640" i="5"/>
  <c r="L640" i="5"/>
  <c r="H640" i="5"/>
  <c r="D640" i="5"/>
  <c r="R639" i="5"/>
  <c r="N639" i="5"/>
  <c r="J639" i="5"/>
  <c r="F639" i="5"/>
  <c r="B639" i="5"/>
  <c r="P638" i="5"/>
  <c r="L638" i="5"/>
  <c r="H638" i="5"/>
  <c r="D638" i="5"/>
  <c r="R637" i="5"/>
  <c r="N637" i="5"/>
  <c r="J637" i="5"/>
  <c r="F637" i="5"/>
  <c r="B637" i="5"/>
  <c r="P636" i="5"/>
  <c r="L636" i="5"/>
  <c r="H636" i="5"/>
  <c r="D636" i="5"/>
  <c r="R635" i="5"/>
  <c r="N635" i="5"/>
  <c r="J635" i="5"/>
  <c r="F635" i="5"/>
  <c r="B635" i="5"/>
  <c r="P634" i="5"/>
  <c r="L634" i="5"/>
  <c r="H634" i="5"/>
  <c r="D634" i="5"/>
  <c r="R633" i="5"/>
  <c r="N633" i="5"/>
  <c r="J633" i="5"/>
  <c r="L786" i="5"/>
  <c r="D780" i="5"/>
  <c r="L770" i="5"/>
  <c r="D764" i="5"/>
  <c r="O760" i="5"/>
  <c r="C759" i="5"/>
  <c r="K757" i="5"/>
  <c r="S755" i="5"/>
  <c r="G754" i="5"/>
  <c r="O752" i="5"/>
  <c r="C751" i="5"/>
  <c r="K749" i="5"/>
  <c r="S747" i="5"/>
  <c r="G746" i="5"/>
  <c r="O744" i="5"/>
  <c r="C743" i="5"/>
  <c r="K741" i="5"/>
  <c r="S739" i="5"/>
  <c r="G738" i="5"/>
  <c r="O736" i="5"/>
  <c r="C735" i="5"/>
  <c r="K733" i="5"/>
  <c r="S731" i="5"/>
  <c r="G730" i="5"/>
  <c r="O728" i="5"/>
  <c r="C727" i="5"/>
  <c r="K725" i="5"/>
  <c r="S723" i="5"/>
  <c r="G722" i="5"/>
  <c r="O720" i="5"/>
  <c r="H719" i="5"/>
  <c r="I718" i="5"/>
  <c r="A718" i="5"/>
  <c r="M717" i="5"/>
  <c r="E717" i="5"/>
  <c r="Q716" i="5"/>
  <c r="I716" i="5"/>
  <c r="A716" i="5"/>
  <c r="M715" i="5"/>
  <c r="E715" i="5"/>
  <c r="Q714" i="5"/>
  <c r="I714" i="5"/>
  <c r="A714" i="5"/>
  <c r="M713" i="5"/>
  <c r="E713" i="5"/>
  <c r="Q712" i="5"/>
  <c r="I712" i="5"/>
  <c r="A712" i="5"/>
  <c r="M711" i="5"/>
  <c r="E711" i="5"/>
  <c r="Q710" i="5"/>
  <c r="I710" i="5"/>
  <c r="A710" i="5"/>
  <c r="M709" i="5"/>
  <c r="E709" i="5"/>
  <c r="Q708" i="5"/>
  <c r="I708" i="5"/>
  <c r="A708" i="5"/>
  <c r="M707" i="5"/>
  <c r="E707" i="5"/>
  <c r="Q706" i="5"/>
  <c r="I706" i="5"/>
  <c r="A706" i="5"/>
  <c r="M705" i="5"/>
  <c r="E705" i="5"/>
  <c r="Q704" i="5"/>
  <c r="I704" i="5"/>
  <c r="A704" i="5"/>
  <c r="M703" i="5"/>
  <c r="E703" i="5"/>
  <c r="Q702" i="5"/>
  <c r="I702" i="5"/>
  <c r="A702" i="5"/>
  <c r="M701" i="5"/>
  <c r="E701" i="5"/>
  <c r="Q700" i="5"/>
  <c r="I700" i="5"/>
  <c r="A700" i="5"/>
  <c r="M699" i="5"/>
  <c r="E699" i="5"/>
  <c r="Q698" i="5"/>
  <c r="I698" i="5"/>
  <c r="A698" i="5"/>
  <c r="M697" i="5"/>
  <c r="E697" i="5"/>
  <c r="Q696" i="5"/>
  <c r="I696" i="5"/>
  <c r="A696" i="5"/>
  <c r="M695" i="5"/>
  <c r="E695" i="5"/>
  <c r="Q694" i="5"/>
  <c r="I694" i="5"/>
  <c r="A694" i="5"/>
  <c r="M693" i="5"/>
  <c r="E693" i="5"/>
  <c r="Q692" i="5"/>
  <c r="I692" i="5"/>
  <c r="A692" i="5"/>
  <c r="M691" i="5"/>
  <c r="E691" i="5"/>
  <c r="Q690" i="5"/>
  <c r="I690" i="5"/>
  <c r="A690" i="5"/>
  <c r="M689" i="5"/>
  <c r="E689" i="5"/>
  <c r="Q688" i="5"/>
  <c r="I688" i="5"/>
  <c r="A688" i="5"/>
  <c r="M687" i="5"/>
  <c r="E687" i="5"/>
  <c r="Q686" i="5"/>
  <c r="I686" i="5"/>
  <c r="A686" i="5"/>
  <c r="M685" i="5"/>
  <c r="E685" i="5"/>
  <c r="Q684" i="5"/>
  <c r="I684" i="5"/>
  <c r="A684" i="5"/>
  <c r="M683" i="5"/>
  <c r="E683" i="5"/>
  <c r="Q682" i="5"/>
  <c r="I682" i="5"/>
  <c r="A682" i="5"/>
  <c r="M681" i="5"/>
  <c r="E681" i="5"/>
  <c r="Q680" i="5"/>
  <c r="I680" i="5"/>
  <c r="A680" i="5"/>
  <c r="M679" i="5"/>
  <c r="E679" i="5"/>
  <c r="Q678" i="5"/>
  <c r="I678" i="5"/>
  <c r="A678" i="5"/>
  <c r="M677" i="5"/>
  <c r="E677" i="5"/>
  <c r="Q676" i="5"/>
  <c r="I676" i="5"/>
  <c r="A676" i="5"/>
  <c r="M675" i="5"/>
  <c r="E675" i="5"/>
  <c r="Q674" i="5"/>
  <c r="I674" i="5"/>
  <c r="A674" i="5"/>
  <c r="M673" i="5"/>
  <c r="E673" i="5"/>
  <c r="Q672" i="5"/>
  <c r="I672" i="5"/>
  <c r="A672" i="5"/>
  <c r="M671" i="5"/>
  <c r="E671" i="5"/>
  <c r="Q670" i="5"/>
  <c r="I670" i="5"/>
  <c r="A670" i="5"/>
  <c r="M669" i="5"/>
  <c r="E669" i="5"/>
  <c r="Q668" i="5"/>
  <c r="I668" i="5"/>
  <c r="A668" i="5"/>
  <c r="M667" i="5"/>
  <c r="E667" i="5"/>
  <c r="Q666" i="5"/>
  <c r="I666" i="5"/>
  <c r="A666" i="5"/>
  <c r="M665" i="5"/>
  <c r="E665" i="5"/>
  <c r="Q664" i="5"/>
  <c r="I664" i="5"/>
  <c r="A664" i="5"/>
  <c r="M663" i="5"/>
  <c r="E663" i="5"/>
  <c r="Q662" i="5"/>
  <c r="I662" i="5"/>
  <c r="A662" i="5"/>
  <c r="M661" i="5"/>
  <c r="E661" i="5"/>
  <c r="Q660" i="5"/>
  <c r="I660" i="5"/>
  <c r="A660" i="5"/>
  <c r="M659" i="5"/>
  <c r="E659" i="5"/>
  <c r="Q658" i="5"/>
  <c r="I658" i="5"/>
  <c r="A658" i="5"/>
  <c r="M657" i="5"/>
  <c r="E657" i="5"/>
  <c r="Q656" i="5"/>
  <c r="I656" i="5"/>
  <c r="A656" i="5"/>
  <c r="M655" i="5"/>
  <c r="E655" i="5"/>
  <c r="Q654" i="5"/>
  <c r="I654" i="5"/>
  <c r="A654" i="5"/>
  <c r="M653" i="5"/>
  <c r="E653" i="5"/>
  <c r="Q652" i="5"/>
  <c r="I652" i="5"/>
  <c r="A652" i="5"/>
  <c r="M651" i="5"/>
  <c r="E651" i="5"/>
  <c r="Q650" i="5"/>
  <c r="I650" i="5"/>
  <c r="A650" i="5"/>
  <c r="M649" i="5"/>
  <c r="E649" i="5"/>
  <c r="Q648" i="5"/>
  <c r="I648" i="5"/>
  <c r="A648" i="5"/>
  <c r="M647" i="5"/>
  <c r="E647" i="5"/>
  <c r="Q646" i="5"/>
  <c r="I646" i="5"/>
  <c r="A646" i="5"/>
  <c r="M645" i="5"/>
  <c r="E645" i="5"/>
  <c r="Q644" i="5"/>
  <c r="I644" i="5"/>
  <c r="A644" i="5"/>
  <c r="M643" i="5"/>
  <c r="E643" i="5"/>
  <c r="Q642" i="5"/>
  <c r="I642" i="5"/>
  <c r="A642" i="5"/>
  <c r="M641" i="5"/>
  <c r="E641" i="5"/>
  <c r="Q640" i="5"/>
  <c r="I640" i="5"/>
  <c r="A640" i="5"/>
  <c r="M639" i="5"/>
  <c r="E639" i="5"/>
  <c r="Q638" i="5"/>
  <c r="I638" i="5"/>
  <c r="A638" i="5"/>
  <c r="M637" i="5"/>
  <c r="E637" i="5"/>
  <c r="Q636" i="5"/>
  <c r="I636" i="5"/>
  <c r="A636" i="5"/>
  <c r="M635" i="5"/>
  <c r="E635" i="5"/>
  <c r="Q634" i="5"/>
  <c r="I634" i="5"/>
  <c r="A634" i="5"/>
  <c r="M633" i="5"/>
  <c r="F633" i="5"/>
  <c r="B633" i="5"/>
  <c r="P632" i="5"/>
  <c r="L632" i="5"/>
  <c r="H632" i="5"/>
  <c r="D632" i="5"/>
  <c r="R631" i="5"/>
  <c r="N631" i="5"/>
  <c r="J631" i="5"/>
  <c r="H775" i="5"/>
  <c r="G760" i="5"/>
  <c r="C757" i="5"/>
  <c r="S753" i="5"/>
  <c r="O750" i="5"/>
  <c r="K747" i="5"/>
  <c r="G744" i="5"/>
  <c r="C741" i="5"/>
  <c r="S737" i="5"/>
  <c r="O734" i="5"/>
  <c r="K731" i="5"/>
  <c r="G728" i="5"/>
  <c r="C725" i="5"/>
  <c r="S721" i="5"/>
  <c r="D719" i="5"/>
  <c r="C718" i="5"/>
  <c r="G717" i="5"/>
  <c r="K716" i="5"/>
  <c r="O715" i="5"/>
  <c r="S714" i="5"/>
  <c r="C714" i="5"/>
  <c r="G713" i="5"/>
  <c r="K712" i="5"/>
  <c r="O711" i="5"/>
  <c r="S710" i="5"/>
  <c r="C710" i="5"/>
  <c r="G709" i="5"/>
  <c r="K708" i="5"/>
  <c r="O707" i="5"/>
  <c r="S706" i="5"/>
  <c r="C706" i="5"/>
  <c r="G705" i="5"/>
  <c r="K704" i="5"/>
  <c r="O703" i="5"/>
  <c r="S702" i="5"/>
  <c r="C702" i="5"/>
  <c r="G701" i="5"/>
  <c r="K700" i="5"/>
  <c r="O699" i="5"/>
  <c r="S698" i="5"/>
  <c r="C698" i="5"/>
  <c r="G697" i="5"/>
  <c r="K696" i="5"/>
  <c r="O695" i="5"/>
  <c r="S694" i="5"/>
  <c r="C694" i="5"/>
  <c r="G693" i="5"/>
  <c r="K692" i="5"/>
  <c r="O691" i="5"/>
  <c r="S690" i="5"/>
  <c r="C690" i="5"/>
  <c r="G689" i="5"/>
  <c r="K688" i="5"/>
  <c r="O687" i="5"/>
  <c r="S686" i="5"/>
  <c r="C686" i="5"/>
  <c r="G685" i="5"/>
  <c r="K684" i="5"/>
  <c r="O683" i="5"/>
  <c r="S682" i="5"/>
  <c r="C682" i="5"/>
  <c r="G681" i="5"/>
  <c r="K680" i="5"/>
  <c r="O679" i="5"/>
  <c r="S678" i="5"/>
  <c r="C678" i="5"/>
  <c r="G677" i="5"/>
  <c r="K676" i="5"/>
  <c r="O675" i="5"/>
  <c r="S674" i="5"/>
  <c r="C674" i="5"/>
  <c r="G673" i="5"/>
  <c r="K672" i="5"/>
  <c r="O671" i="5"/>
  <c r="S670" i="5"/>
  <c r="C670" i="5"/>
  <c r="G669" i="5"/>
  <c r="K668" i="5"/>
  <c r="O667" i="5"/>
  <c r="S666" i="5"/>
  <c r="C666" i="5"/>
  <c r="G665" i="5"/>
  <c r="K664" i="5"/>
  <c r="O663" i="5"/>
  <c r="S662" i="5"/>
  <c r="C662" i="5"/>
  <c r="G661" i="5"/>
  <c r="K660" i="5"/>
  <c r="O659" i="5"/>
  <c r="S658" i="5"/>
  <c r="C658" i="5"/>
  <c r="G657" i="5"/>
  <c r="K656" i="5"/>
  <c r="O655" i="5"/>
  <c r="S654" i="5"/>
  <c r="C654" i="5"/>
  <c r="G653" i="5"/>
  <c r="K652" i="5"/>
  <c r="O651" i="5"/>
  <c r="S650" i="5"/>
  <c r="C650" i="5"/>
  <c r="G649" i="5"/>
  <c r="K648" i="5"/>
  <c r="O647" i="5"/>
  <c r="S646" i="5"/>
  <c r="C646" i="5"/>
  <c r="G645" i="5"/>
  <c r="K644" i="5"/>
  <c r="O643" i="5"/>
  <c r="S642" i="5"/>
  <c r="C642" i="5"/>
  <c r="G641" i="5"/>
  <c r="K640" i="5"/>
  <c r="O639" i="5"/>
  <c r="S638" i="5"/>
  <c r="C638" i="5"/>
  <c r="G637" i="5"/>
  <c r="K636" i="5"/>
  <c r="O635" i="5"/>
  <c r="S634" i="5"/>
  <c r="C634" i="5"/>
  <c r="G633" i="5"/>
  <c r="S632" i="5"/>
  <c r="K632" i="5"/>
  <c r="C632" i="5"/>
  <c r="O631" i="5"/>
  <c r="H631" i="5"/>
  <c r="D631" i="5"/>
  <c r="R630" i="5"/>
  <c r="N630" i="5"/>
  <c r="I763" i="5"/>
  <c r="Q761" i="5"/>
  <c r="F784" i="5"/>
  <c r="B781" i="5"/>
  <c r="R777" i="5"/>
  <c r="N774" i="5"/>
  <c r="J771" i="5"/>
  <c r="F768" i="5"/>
  <c r="B765" i="5"/>
  <c r="R761" i="5"/>
  <c r="D779" i="5"/>
  <c r="L771" i="5"/>
  <c r="L767" i="5"/>
  <c r="L763" i="5"/>
  <c r="F761" i="5"/>
  <c r="H760" i="5"/>
  <c r="J759" i="5"/>
  <c r="L758" i="5"/>
  <c r="N757" i="5"/>
  <c r="P756" i="5"/>
  <c r="R755" i="5"/>
  <c r="B755" i="5"/>
  <c r="D754" i="5"/>
  <c r="F753" i="5"/>
  <c r="H752" i="5"/>
  <c r="J751" i="5"/>
  <c r="L750" i="5"/>
  <c r="N749" i="5"/>
  <c r="P748" i="5"/>
  <c r="R747" i="5"/>
  <c r="B747" i="5"/>
  <c r="D746" i="5"/>
  <c r="F745" i="5"/>
  <c r="H744" i="5"/>
  <c r="J743" i="5"/>
  <c r="L742" i="5"/>
  <c r="N741" i="5"/>
  <c r="P740" i="5"/>
  <c r="R739" i="5"/>
  <c r="B739" i="5"/>
  <c r="D738" i="5"/>
  <c r="F737" i="5"/>
  <c r="H736" i="5"/>
  <c r="J735" i="5"/>
  <c r="L734" i="5"/>
  <c r="N733" i="5"/>
  <c r="P732" i="5"/>
  <c r="R731" i="5"/>
  <c r="B731" i="5"/>
  <c r="D730" i="5"/>
  <c r="F729" i="5"/>
  <c r="H728" i="5"/>
  <c r="J727" i="5"/>
  <c r="L726" i="5"/>
  <c r="N725" i="5"/>
  <c r="P724" i="5"/>
  <c r="R723" i="5"/>
  <c r="B723" i="5"/>
  <c r="D722" i="5"/>
  <c r="F721" i="5"/>
  <c r="H720" i="5"/>
  <c r="D786" i="5"/>
  <c r="D778" i="5"/>
  <c r="D770" i="5"/>
  <c r="D762" i="5"/>
  <c r="E760" i="5"/>
  <c r="M758" i="5"/>
  <c r="A757" i="5"/>
  <c r="I755" i="5"/>
  <c r="Q753" i="5"/>
  <c r="E752" i="5"/>
  <c r="M750" i="5"/>
  <c r="A749" i="5"/>
  <c r="I747" i="5"/>
  <c r="Q745" i="5"/>
  <c r="E744" i="5"/>
  <c r="M742" i="5"/>
  <c r="A741" i="5"/>
  <c r="I739" i="5"/>
  <c r="Q737" i="5"/>
  <c r="E736" i="5"/>
  <c r="M734" i="5"/>
  <c r="A733" i="5"/>
  <c r="I731" i="5"/>
  <c r="Q729" i="5"/>
  <c r="E728" i="5"/>
  <c r="M726" i="5"/>
  <c r="A725" i="5"/>
  <c r="I723" i="5"/>
  <c r="Q721" i="5"/>
  <c r="E720" i="5"/>
  <c r="C719" i="5"/>
  <c r="H779" i="5"/>
  <c r="H763" i="5"/>
  <c r="S758" i="5"/>
  <c r="O755" i="5"/>
  <c r="K752" i="5"/>
  <c r="G749" i="5"/>
  <c r="C746" i="5"/>
  <c r="S742" i="5"/>
  <c r="O739" i="5"/>
  <c r="K736" i="5"/>
  <c r="G733" i="5"/>
  <c r="C730" i="5"/>
  <c r="S726" i="5"/>
  <c r="O723" i="5"/>
  <c r="K720" i="5"/>
  <c r="N718" i="5"/>
  <c r="F718" i="5"/>
  <c r="P717" i="5"/>
  <c r="H717" i="5"/>
  <c r="R716" i="5"/>
  <c r="J716" i="5"/>
  <c r="B716" i="5"/>
  <c r="L715" i="5"/>
  <c r="D715" i="5"/>
  <c r="N714" i="5"/>
  <c r="F714" i="5"/>
  <c r="P713" i="5"/>
  <c r="H713" i="5"/>
  <c r="R712" i="5"/>
  <c r="J712" i="5"/>
  <c r="B712" i="5"/>
  <c r="L711" i="5"/>
  <c r="D711" i="5"/>
  <c r="N710" i="5"/>
  <c r="F710" i="5"/>
  <c r="P709" i="5"/>
  <c r="H709" i="5"/>
  <c r="R708" i="5"/>
  <c r="J708" i="5"/>
  <c r="B708" i="5"/>
  <c r="L707" i="5"/>
  <c r="D707" i="5"/>
  <c r="N706" i="5"/>
  <c r="F706" i="5"/>
  <c r="P705" i="5"/>
  <c r="H705" i="5"/>
  <c r="R704" i="5"/>
  <c r="J704" i="5"/>
  <c r="B704" i="5"/>
  <c r="L703" i="5"/>
  <c r="D703" i="5"/>
  <c r="N702" i="5"/>
  <c r="F702" i="5"/>
  <c r="P701" i="5"/>
  <c r="H701" i="5"/>
  <c r="R700" i="5"/>
  <c r="J700" i="5"/>
  <c r="B700" i="5"/>
  <c r="L699" i="5"/>
  <c r="D699" i="5"/>
  <c r="N698" i="5"/>
  <c r="F698" i="5"/>
  <c r="P697" i="5"/>
  <c r="H697" i="5"/>
  <c r="R696" i="5"/>
  <c r="J696" i="5"/>
  <c r="B696" i="5"/>
  <c r="L695" i="5"/>
  <c r="D695" i="5"/>
  <c r="N694" i="5"/>
  <c r="F694" i="5"/>
  <c r="P693" i="5"/>
  <c r="H693" i="5"/>
  <c r="R692" i="5"/>
  <c r="J692" i="5"/>
  <c r="B692" i="5"/>
  <c r="L691" i="5"/>
  <c r="D691" i="5"/>
  <c r="N690" i="5"/>
  <c r="F690" i="5"/>
  <c r="P689" i="5"/>
  <c r="H689" i="5"/>
  <c r="R688" i="5"/>
  <c r="J688" i="5"/>
  <c r="B688" i="5"/>
  <c r="L687" i="5"/>
  <c r="D687" i="5"/>
  <c r="N686" i="5"/>
  <c r="F686" i="5"/>
  <c r="P685" i="5"/>
  <c r="H685" i="5"/>
  <c r="R684" i="5"/>
  <c r="J684" i="5"/>
  <c r="B684" i="5"/>
  <c r="L683" i="5"/>
  <c r="D683" i="5"/>
  <c r="N682" i="5"/>
  <c r="F682" i="5"/>
  <c r="P681" i="5"/>
  <c r="H681" i="5"/>
  <c r="R680" i="5"/>
  <c r="J680" i="5"/>
  <c r="B680" i="5"/>
  <c r="L679" i="5"/>
  <c r="D679" i="5"/>
  <c r="N678" i="5"/>
  <c r="F678" i="5"/>
  <c r="P677" i="5"/>
  <c r="H677" i="5"/>
  <c r="R676" i="5"/>
  <c r="J676" i="5"/>
  <c r="B676" i="5"/>
  <c r="L675" i="5"/>
  <c r="D675" i="5"/>
  <c r="N674" i="5"/>
  <c r="F674" i="5"/>
  <c r="P673" i="5"/>
  <c r="H673" i="5"/>
  <c r="R672" i="5"/>
  <c r="J672" i="5"/>
  <c r="B672" i="5"/>
  <c r="L671" i="5"/>
  <c r="D671" i="5"/>
  <c r="N670" i="5"/>
  <c r="F670" i="5"/>
  <c r="P669" i="5"/>
  <c r="H669" i="5"/>
  <c r="R668" i="5"/>
  <c r="J668" i="5"/>
  <c r="B668" i="5"/>
  <c r="L667" i="5"/>
  <c r="D667" i="5"/>
  <c r="N666" i="5"/>
  <c r="F666" i="5"/>
  <c r="P665" i="5"/>
  <c r="H665" i="5"/>
  <c r="R664" i="5"/>
  <c r="J664" i="5"/>
  <c r="B664" i="5"/>
  <c r="L663" i="5"/>
  <c r="D663" i="5"/>
  <c r="N662" i="5"/>
  <c r="F662" i="5"/>
  <c r="P661" i="5"/>
  <c r="H661" i="5"/>
  <c r="R660" i="5"/>
  <c r="J660" i="5"/>
  <c r="B660" i="5"/>
  <c r="L659" i="5"/>
  <c r="D659" i="5"/>
  <c r="N658" i="5"/>
  <c r="F658" i="5"/>
  <c r="P657" i="5"/>
  <c r="H657" i="5"/>
  <c r="R656" i="5"/>
  <c r="J656" i="5"/>
  <c r="B656" i="5"/>
  <c r="L655" i="5"/>
  <c r="D655" i="5"/>
  <c r="N654" i="5"/>
  <c r="F654" i="5"/>
  <c r="P653" i="5"/>
  <c r="H653" i="5"/>
  <c r="R652" i="5"/>
  <c r="J652" i="5"/>
  <c r="B652" i="5"/>
  <c r="L651" i="5"/>
  <c r="D651" i="5"/>
  <c r="N650" i="5"/>
  <c r="F650" i="5"/>
  <c r="P649" i="5"/>
  <c r="H649" i="5"/>
  <c r="R648" i="5"/>
  <c r="J648" i="5"/>
  <c r="B648" i="5"/>
  <c r="L647" i="5"/>
  <c r="D647" i="5"/>
  <c r="N646" i="5"/>
  <c r="F646" i="5"/>
  <c r="P645" i="5"/>
  <c r="H645" i="5"/>
  <c r="R644" i="5"/>
  <c r="J644" i="5"/>
  <c r="B644" i="5"/>
  <c r="L643" i="5"/>
  <c r="D643" i="5"/>
  <c r="N642" i="5"/>
  <c r="F642" i="5"/>
  <c r="P641" i="5"/>
  <c r="H641" i="5"/>
  <c r="R640" i="5"/>
  <c r="J640" i="5"/>
  <c r="B640" i="5"/>
  <c r="L639" i="5"/>
  <c r="D639" i="5"/>
  <c r="N638" i="5"/>
  <c r="F638" i="5"/>
  <c r="P637" i="5"/>
  <c r="H637" i="5"/>
  <c r="R636" i="5"/>
  <c r="J636" i="5"/>
  <c r="B636" i="5"/>
  <c r="L635" i="5"/>
  <c r="D635" i="5"/>
  <c r="N634" i="5"/>
  <c r="F634" i="5"/>
  <c r="P633" i="5"/>
  <c r="H633" i="5"/>
  <c r="P773" i="5"/>
  <c r="K761" i="5"/>
  <c r="G758" i="5"/>
  <c r="C755" i="5"/>
  <c r="S751" i="5"/>
  <c r="O748" i="5"/>
  <c r="K745" i="5"/>
  <c r="G742" i="5"/>
  <c r="C739" i="5"/>
  <c r="S735" i="5"/>
  <c r="O732" i="5"/>
  <c r="K729" i="5"/>
  <c r="G726" i="5"/>
  <c r="C723" i="5"/>
  <c r="S719" i="5"/>
  <c r="E718" i="5"/>
  <c r="I717" i="5"/>
  <c r="M716" i="5"/>
  <c r="Q715" i="5"/>
  <c r="A715" i="5"/>
  <c r="E714" i="5"/>
  <c r="I713" i="5"/>
  <c r="M712" i="5"/>
  <c r="Q711" i="5"/>
  <c r="A711" i="5"/>
  <c r="E710" i="5"/>
  <c r="I709" i="5"/>
  <c r="M708" i="5"/>
  <c r="Q707" i="5"/>
  <c r="A707" i="5"/>
  <c r="E706" i="5"/>
  <c r="I705" i="5"/>
  <c r="M704" i="5"/>
  <c r="Q703" i="5"/>
  <c r="A703" i="5"/>
  <c r="E702" i="5"/>
  <c r="I701" i="5"/>
  <c r="M700" i="5"/>
  <c r="Q699" i="5"/>
  <c r="A699" i="5"/>
  <c r="E698" i="5"/>
  <c r="I697" i="5"/>
  <c r="M696" i="5"/>
  <c r="Q695" i="5"/>
  <c r="A695" i="5"/>
  <c r="E694" i="5"/>
  <c r="I693" i="5"/>
  <c r="M692" i="5"/>
  <c r="Q691" i="5"/>
  <c r="A691" i="5"/>
  <c r="E690" i="5"/>
  <c r="I689" i="5"/>
  <c r="M688" i="5"/>
  <c r="Q687" i="5"/>
  <c r="A687" i="5"/>
  <c r="E686" i="5"/>
  <c r="I685" i="5"/>
  <c r="M684" i="5"/>
  <c r="Q683" i="5"/>
  <c r="A683" i="5"/>
  <c r="E682" i="5"/>
  <c r="I681" i="5"/>
  <c r="M680" i="5"/>
  <c r="Q679" i="5"/>
  <c r="A679" i="5"/>
  <c r="E678" i="5"/>
  <c r="I677" i="5"/>
  <c r="M676" i="5"/>
  <c r="Q675" i="5"/>
  <c r="A675" i="5"/>
  <c r="E674" i="5"/>
  <c r="I673" i="5"/>
  <c r="M672" i="5"/>
  <c r="Q671" i="5"/>
  <c r="A671" i="5"/>
  <c r="E670" i="5"/>
  <c r="I669" i="5"/>
  <c r="M668" i="5"/>
  <c r="Q667" i="5"/>
  <c r="A667" i="5"/>
  <c r="E666" i="5"/>
  <c r="I665" i="5"/>
  <c r="M664" i="5"/>
  <c r="Q663" i="5"/>
  <c r="A663" i="5"/>
  <c r="E662" i="5"/>
  <c r="I661" i="5"/>
  <c r="M660" i="5"/>
  <c r="Q659" i="5"/>
  <c r="A659" i="5"/>
  <c r="E658" i="5"/>
  <c r="I657" i="5"/>
  <c r="M656" i="5"/>
  <c r="Q655" i="5"/>
  <c r="A655" i="5"/>
  <c r="E654" i="5"/>
  <c r="I653" i="5"/>
  <c r="M652" i="5"/>
  <c r="Q651" i="5"/>
  <c r="A651" i="5"/>
  <c r="E650" i="5"/>
  <c r="I649" i="5"/>
  <c r="M648" i="5"/>
  <c r="Q647" i="5"/>
  <c r="A647" i="5"/>
  <c r="E646" i="5"/>
  <c r="I645" i="5"/>
  <c r="M644" i="5"/>
  <c r="Q643" i="5"/>
  <c r="A643" i="5"/>
  <c r="E642" i="5"/>
  <c r="I641" i="5"/>
  <c r="M640" i="5"/>
  <c r="Q639" i="5"/>
  <c r="A639" i="5"/>
  <c r="E638" i="5"/>
  <c r="I637" i="5"/>
  <c r="M636" i="5"/>
  <c r="Q635" i="5"/>
  <c r="A635" i="5"/>
  <c r="E634" i="5"/>
  <c r="I633" i="5"/>
  <c r="R632" i="5"/>
  <c r="J632" i="5"/>
  <c r="B632" i="5"/>
  <c r="L631" i="5"/>
  <c r="L762" i="5"/>
  <c r="K755" i="5"/>
  <c r="C749" i="5"/>
  <c r="O742" i="5"/>
  <c r="G736" i="5"/>
  <c r="S729" i="5"/>
  <c r="K723" i="5"/>
  <c r="K718" i="5"/>
  <c r="S716" i="5"/>
  <c r="G715" i="5"/>
  <c r="O713" i="5"/>
  <c r="C712" i="5"/>
  <c r="K710" i="5"/>
  <c r="S708" i="5"/>
  <c r="G707" i="5"/>
  <c r="O705" i="5"/>
  <c r="C704" i="5"/>
  <c r="K702" i="5"/>
  <c r="S700" i="5"/>
  <c r="G699" i="5"/>
  <c r="O697" i="5"/>
  <c r="C696" i="5"/>
  <c r="K694" i="5"/>
  <c r="S692" i="5"/>
  <c r="G691" i="5"/>
  <c r="O689" i="5"/>
  <c r="C688" i="5"/>
  <c r="K686" i="5"/>
  <c r="S684" i="5"/>
  <c r="G683" i="5"/>
  <c r="O681" i="5"/>
  <c r="C680" i="5"/>
  <c r="K678" i="5"/>
  <c r="S676" i="5"/>
  <c r="G675" i="5"/>
  <c r="O673" i="5"/>
  <c r="C672" i="5"/>
  <c r="K670" i="5"/>
  <c r="S668" i="5"/>
  <c r="G667" i="5"/>
  <c r="O665" i="5"/>
  <c r="C664" i="5"/>
  <c r="K662" i="5"/>
  <c r="S660" i="5"/>
  <c r="G659" i="5"/>
  <c r="O657" i="5"/>
  <c r="C656" i="5"/>
  <c r="K654" i="5"/>
  <c r="S652" i="5"/>
  <c r="G651" i="5"/>
  <c r="O649" i="5"/>
  <c r="C648" i="5"/>
  <c r="K646" i="5"/>
  <c r="S644" i="5"/>
  <c r="G643" i="5"/>
  <c r="O641" i="5"/>
  <c r="C640" i="5"/>
  <c r="K638" i="5"/>
  <c r="S636" i="5"/>
  <c r="G635" i="5"/>
  <c r="O633" i="5"/>
  <c r="O632" i="5"/>
  <c r="S631" i="5"/>
  <c r="F631" i="5"/>
  <c r="P630" i="5"/>
  <c r="J630" i="5"/>
  <c r="F630" i="5"/>
  <c r="B630" i="5"/>
  <c r="P629" i="5"/>
  <c r="L629" i="5"/>
  <c r="H629" i="5"/>
  <c r="D629" i="5"/>
  <c r="R628" i="5"/>
  <c r="N628" i="5"/>
  <c r="J628" i="5"/>
  <c r="F628" i="5"/>
  <c r="B628" i="5"/>
  <c r="P627" i="5"/>
  <c r="L627" i="5"/>
  <c r="H627" i="5"/>
  <c r="D627" i="5"/>
  <c r="R626" i="5"/>
  <c r="N626" i="5"/>
  <c r="J626" i="5"/>
  <c r="F626" i="5"/>
  <c r="B626" i="5"/>
  <c r="P625" i="5"/>
  <c r="L625" i="5"/>
  <c r="H625" i="5"/>
  <c r="D625" i="5"/>
  <c r="R624" i="5"/>
  <c r="N624" i="5"/>
  <c r="J624" i="5"/>
  <c r="F624" i="5"/>
  <c r="B624" i="5"/>
  <c r="P623" i="5"/>
  <c r="L623" i="5"/>
  <c r="H623" i="5"/>
  <c r="D623" i="5"/>
  <c r="R622" i="5"/>
  <c r="N622" i="5"/>
  <c r="J622" i="5"/>
  <c r="F622" i="5"/>
  <c r="B622" i="5"/>
  <c r="P621" i="5"/>
  <c r="L621" i="5"/>
  <c r="H621" i="5"/>
  <c r="D621" i="5"/>
  <c r="R620" i="5"/>
  <c r="N620" i="5"/>
  <c r="J620" i="5"/>
  <c r="F620" i="5"/>
  <c r="B620" i="5"/>
  <c r="P619" i="5"/>
  <c r="L619" i="5"/>
  <c r="H619" i="5"/>
  <c r="D619" i="5"/>
  <c r="R618" i="5"/>
  <c r="N618" i="5"/>
  <c r="J618" i="5"/>
  <c r="F618" i="5"/>
  <c r="B618" i="5"/>
  <c r="P617" i="5"/>
  <c r="L617" i="5"/>
  <c r="H617" i="5"/>
  <c r="D617" i="5"/>
  <c r="R616" i="5"/>
  <c r="N616" i="5"/>
  <c r="J616" i="5"/>
  <c r="F616" i="5"/>
  <c r="B616" i="5"/>
  <c r="P615" i="5"/>
  <c r="L615" i="5"/>
  <c r="H615" i="5"/>
  <c r="D615" i="5"/>
  <c r="R614" i="5"/>
  <c r="N614" i="5"/>
  <c r="J614" i="5"/>
  <c r="F614" i="5"/>
  <c r="B614" i="5"/>
  <c r="P613" i="5"/>
  <c r="L613" i="5"/>
  <c r="H613" i="5"/>
  <c r="D613" i="5"/>
  <c r="R612" i="5"/>
  <c r="N612" i="5"/>
  <c r="J612" i="5"/>
  <c r="F612" i="5"/>
  <c r="B612" i="5"/>
  <c r="P611" i="5"/>
  <c r="L611" i="5"/>
  <c r="H611" i="5"/>
  <c r="D611" i="5"/>
  <c r="R610" i="5"/>
  <c r="N610" i="5"/>
  <c r="J610" i="5"/>
  <c r="F610" i="5"/>
  <c r="B610" i="5"/>
  <c r="P609" i="5"/>
  <c r="L609" i="5"/>
  <c r="H609" i="5"/>
  <c r="D609" i="5"/>
  <c r="R608" i="5"/>
  <c r="N608" i="5"/>
  <c r="J608" i="5"/>
  <c r="F608" i="5"/>
  <c r="B608" i="5"/>
  <c r="P607" i="5"/>
  <c r="L607" i="5"/>
  <c r="H607" i="5"/>
  <c r="D607" i="5"/>
  <c r="R606" i="5"/>
  <c r="N606" i="5"/>
  <c r="J606" i="5"/>
  <c r="F606" i="5"/>
  <c r="B606" i="5"/>
  <c r="P605" i="5"/>
  <c r="L605" i="5"/>
  <c r="H605" i="5"/>
  <c r="D605" i="5"/>
  <c r="R604" i="5"/>
  <c r="N604" i="5"/>
  <c r="J604" i="5"/>
  <c r="F604" i="5"/>
  <c r="B604" i="5"/>
  <c r="P603" i="5"/>
  <c r="L603" i="5"/>
  <c r="H603" i="5"/>
  <c r="D603" i="5"/>
  <c r="R602" i="5"/>
  <c r="N602" i="5"/>
  <c r="J602" i="5"/>
  <c r="F602" i="5"/>
  <c r="B602" i="5"/>
  <c r="P601" i="5"/>
  <c r="L601" i="5"/>
  <c r="H601" i="5"/>
  <c r="D601" i="5"/>
  <c r="R600" i="5"/>
  <c r="N600" i="5"/>
  <c r="J600" i="5"/>
  <c r="F600" i="5"/>
  <c r="B600" i="5"/>
  <c r="P599" i="5"/>
  <c r="L599" i="5"/>
  <c r="H599" i="5"/>
  <c r="D599" i="5"/>
  <c r="R598" i="5"/>
  <c r="N598" i="5"/>
  <c r="J598" i="5"/>
  <c r="F598" i="5"/>
  <c r="B598" i="5"/>
  <c r="P597" i="5"/>
  <c r="L597" i="5"/>
  <c r="H597" i="5"/>
  <c r="D597" i="5"/>
  <c r="R596" i="5"/>
  <c r="N596" i="5"/>
  <c r="J596" i="5"/>
  <c r="F596" i="5"/>
  <c r="B596" i="5"/>
  <c r="P595" i="5"/>
  <c r="L595" i="5"/>
  <c r="H595" i="5"/>
  <c r="D595" i="5"/>
  <c r="R594" i="5"/>
  <c r="N594" i="5"/>
  <c r="J594" i="5"/>
  <c r="F594" i="5"/>
  <c r="B594" i="5"/>
  <c r="P593" i="5"/>
  <c r="L593" i="5"/>
  <c r="H593" i="5"/>
  <c r="D593" i="5"/>
  <c r="R592" i="5"/>
  <c r="N592" i="5"/>
  <c r="J592" i="5"/>
  <c r="F592" i="5"/>
  <c r="B592" i="5"/>
  <c r="P591" i="5"/>
  <c r="L591" i="5"/>
  <c r="H591" i="5"/>
  <c r="D591" i="5"/>
  <c r="R590" i="5"/>
  <c r="N590" i="5"/>
  <c r="J590" i="5"/>
  <c r="F590" i="5"/>
  <c r="B590" i="5"/>
  <c r="P589" i="5"/>
  <c r="L589" i="5"/>
  <c r="H589" i="5"/>
  <c r="D589" i="5"/>
  <c r="R588" i="5"/>
  <c r="N588" i="5"/>
  <c r="J588" i="5"/>
  <c r="F588" i="5"/>
  <c r="B588" i="5"/>
  <c r="P587" i="5"/>
  <c r="L587" i="5"/>
  <c r="H587" i="5"/>
  <c r="D587" i="5"/>
  <c r="R586" i="5"/>
  <c r="N586" i="5"/>
  <c r="J586" i="5"/>
  <c r="F586" i="5"/>
  <c r="B586" i="5"/>
  <c r="P585" i="5"/>
  <c r="L585" i="5"/>
  <c r="H585" i="5"/>
  <c r="D585" i="5"/>
  <c r="R584" i="5"/>
  <c r="N584" i="5"/>
  <c r="J584" i="5"/>
  <c r="F584" i="5"/>
  <c r="B584" i="5"/>
  <c r="P583" i="5"/>
  <c r="L583" i="5"/>
  <c r="H583" i="5"/>
  <c r="D583" i="5"/>
  <c r="R582" i="5"/>
  <c r="N582" i="5"/>
  <c r="J582" i="5"/>
  <c r="F582" i="5"/>
  <c r="B582" i="5"/>
  <c r="P581" i="5"/>
  <c r="L581" i="5"/>
  <c r="H581" i="5"/>
  <c r="D581" i="5"/>
  <c r="R580" i="5"/>
  <c r="N580" i="5"/>
  <c r="J580" i="5"/>
  <c r="F580" i="5"/>
  <c r="B580" i="5"/>
  <c r="P579" i="5"/>
  <c r="L579" i="5"/>
  <c r="H579" i="5"/>
  <c r="D579" i="5"/>
  <c r="R578" i="5"/>
  <c r="N578" i="5"/>
  <c r="J578" i="5"/>
  <c r="F578" i="5"/>
  <c r="B578" i="5"/>
  <c r="P577" i="5"/>
  <c r="L577" i="5"/>
  <c r="H577" i="5"/>
  <c r="D577" i="5"/>
  <c r="R576" i="5"/>
  <c r="N576" i="5"/>
  <c r="J576" i="5"/>
  <c r="F576" i="5"/>
  <c r="B576" i="5"/>
  <c r="P575" i="5"/>
  <c r="L575" i="5"/>
  <c r="H575" i="5"/>
  <c r="D575" i="5"/>
  <c r="R574" i="5"/>
  <c r="N574" i="5"/>
  <c r="J574" i="5"/>
  <c r="F574" i="5"/>
  <c r="B574" i="5"/>
  <c r="P573" i="5"/>
  <c r="L573" i="5"/>
  <c r="H573" i="5"/>
  <c r="D573" i="5"/>
  <c r="R572" i="5"/>
  <c r="N572" i="5"/>
  <c r="J572" i="5"/>
  <c r="F572" i="5"/>
  <c r="B572" i="5"/>
  <c r="P571" i="5"/>
  <c r="L571" i="5"/>
  <c r="H571" i="5"/>
  <c r="D571" i="5"/>
  <c r="R570" i="5"/>
  <c r="N570" i="5"/>
  <c r="J570" i="5"/>
  <c r="F570" i="5"/>
  <c r="B570" i="5"/>
  <c r="P569" i="5"/>
  <c r="L569" i="5"/>
  <c r="H569" i="5"/>
  <c r="D569" i="5"/>
  <c r="R568" i="5"/>
  <c r="N568" i="5"/>
  <c r="J568" i="5"/>
  <c r="F568" i="5"/>
  <c r="B568" i="5"/>
  <c r="P567" i="5"/>
  <c r="L567" i="5"/>
  <c r="H567" i="5"/>
  <c r="D567" i="5"/>
  <c r="R566" i="5"/>
  <c r="N566" i="5"/>
  <c r="J566" i="5"/>
  <c r="F566" i="5"/>
  <c r="B566" i="5"/>
  <c r="P565" i="5"/>
  <c r="L565" i="5"/>
  <c r="H565" i="5"/>
  <c r="D565" i="5"/>
  <c r="R564" i="5"/>
  <c r="N564" i="5"/>
  <c r="J564" i="5"/>
  <c r="F564" i="5"/>
  <c r="B564" i="5"/>
  <c r="P563" i="5"/>
  <c r="L563" i="5"/>
  <c r="H563" i="5"/>
  <c r="D563" i="5"/>
  <c r="R562" i="5"/>
  <c r="N562" i="5"/>
  <c r="J562" i="5"/>
  <c r="F562" i="5"/>
  <c r="B562" i="5"/>
  <c r="P561" i="5"/>
  <c r="L561" i="5"/>
  <c r="H561" i="5"/>
  <c r="D561" i="5"/>
  <c r="R560" i="5"/>
  <c r="N560" i="5"/>
  <c r="J560" i="5"/>
  <c r="F560" i="5"/>
  <c r="B560" i="5"/>
  <c r="P559" i="5"/>
  <c r="L559" i="5"/>
  <c r="H559" i="5"/>
  <c r="D559" i="5"/>
  <c r="R558" i="5"/>
  <c r="N558" i="5"/>
  <c r="J558" i="5"/>
  <c r="F558" i="5"/>
  <c r="B558" i="5"/>
  <c r="P557" i="5"/>
  <c r="L557" i="5"/>
  <c r="H557" i="5"/>
  <c r="D557" i="5"/>
  <c r="R556" i="5"/>
  <c r="N556" i="5"/>
  <c r="J556" i="5"/>
  <c r="F556" i="5"/>
  <c r="B556" i="5"/>
  <c r="P555" i="5"/>
  <c r="L555" i="5"/>
  <c r="H555" i="5"/>
  <c r="D555" i="5"/>
  <c r="R554" i="5"/>
  <c r="N554" i="5"/>
  <c r="J554" i="5"/>
  <c r="F554" i="5"/>
  <c r="B554" i="5"/>
  <c r="P553" i="5"/>
  <c r="L553" i="5"/>
  <c r="H553" i="5"/>
  <c r="D553" i="5"/>
  <c r="R552" i="5"/>
  <c r="N552" i="5"/>
  <c r="J552" i="5"/>
  <c r="F552" i="5"/>
  <c r="B552" i="5"/>
  <c r="P551" i="5"/>
  <c r="L551" i="5"/>
  <c r="H551" i="5"/>
  <c r="D551" i="5"/>
  <c r="R550" i="5"/>
  <c r="N550" i="5"/>
  <c r="J550" i="5"/>
  <c r="F550" i="5"/>
  <c r="B550" i="5"/>
  <c r="P549" i="5"/>
  <c r="L549" i="5"/>
  <c r="H549" i="5"/>
  <c r="D549" i="5"/>
  <c r="R548" i="5"/>
  <c r="N548" i="5"/>
  <c r="J548" i="5"/>
  <c r="F548" i="5"/>
  <c r="B548" i="5"/>
  <c r="P547" i="5"/>
  <c r="L547" i="5"/>
  <c r="H547" i="5"/>
  <c r="D547" i="5"/>
  <c r="R546" i="5"/>
  <c r="N546" i="5"/>
  <c r="J546" i="5"/>
  <c r="F546" i="5"/>
  <c r="B546" i="5"/>
  <c r="P545" i="5"/>
  <c r="L545" i="5"/>
  <c r="H545" i="5"/>
  <c r="D545" i="5"/>
  <c r="R544" i="5"/>
  <c r="N544" i="5"/>
  <c r="J544" i="5"/>
  <c r="F544" i="5"/>
  <c r="B544" i="5"/>
  <c r="P543" i="5"/>
  <c r="L543" i="5"/>
  <c r="H543" i="5"/>
  <c r="D543" i="5"/>
  <c r="R542" i="5"/>
  <c r="N542" i="5"/>
  <c r="J542" i="5"/>
  <c r="F542" i="5"/>
  <c r="B542" i="5"/>
  <c r="P541" i="5"/>
  <c r="L541" i="5"/>
  <c r="H541" i="5"/>
  <c r="D541" i="5"/>
  <c r="R540" i="5"/>
  <c r="N540" i="5"/>
  <c r="J540" i="5"/>
  <c r="F540" i="5"/>
  <c r="B540" i="5"/>
  <c r="P539" i="5"/>
  <c r="L539" i="5"/>
  <c r="H539" i="5"/>
  <c r="D539" i="5"/>
  <c r="R538" i="5"/>
  <c r="N538" i="5"/>
  <c r="J538" i="5"/>
  <c r="F538" i="5"/>
  <c r="B538" i="5"/>
  <c r="P537" i="5"/>
  <c r="L537" i="5"/>
  <c r="H537" i="5"/>
  <c r="D537" i="5"/>
  <c r="R536" i="5"/>
  <c r="N536" i="5"/>
  <c r="J536" i="5"/>
  <c r="F536" i="5"/>
  <c r="B536" i="5"/>
  <c r="P535" i="5"/>
  <c r="L535" i="5"/>
  <c r="H535" i="5"/>
  <c r="D535" i="5"/>
  <c r="R534" i="5"/>
  <c r="N534" i="5"/>
  <c r="J534" i="5"/>
  <c r="F534" i="5"/>
  <c r="B534" i="5"/>
  <c r="P533" i="5"/>
  <c r="L533" i="5"/>
  <c r="H533" i="5"/>
  <c r="D533" i="5"/>
  <c r="R532" i="5"/>
  <c r="N532" i="5"/>
  <c r="J532" i="5"/>
  <c r="F532" i="5"/>
  <c r="B532" i="5"/>
  <c r="P531" i="5"/>
  <c r="L531" i="5"/>
  <c r="H531" i="5"/>
  <c r="D531" i="5"/>
  <c r="R530" i="5"/>
  <c r="N530" i="5"/>
  <c r="J530" i="5"/>
  <c r="F530" i="5"/>
  <c r="B530" i="5"/>
  <c r="P529" i="5"/>
  <c r="L529" i="5"/>
  <c r="H529" i="5"/>
  <c r="D529" i="5"/>
  <c r="R528" i="5"/>
  <c r="N528" i="5"/>
  <c r="J528" i="5"/>
  <c r="F528" i="5"/>
  <c r="B528" i="5"/>
  <c r="P527" i="5"/>
  <c r="L527" i="5"/>
  <c r="H527" i="5"/>
  <c r="D527" i="5"/>
  <c r="R526" i="5"/>
  <c r="N526" i="5"/>
  <c r="J526" i="5"/>
  <c r="F526" i="5"/>
  <c r="B526" i="5"/>
  <c r="P525" i="5"/>
  <c r="L525" i="5"/>
  <c r="H525" i="5"/>
  <c r="D525" i="5"/>
  <c r="R524" i="5"/>
  <c r="N524" i="5"/>
  <c r="J524" i="5"/>
  <c r="F524" i="5"/>
  <c r="B524" i="5"/>
  <c r="P523" i="5"/>
  <c r="L523" i="5"/>
  <c r="H523" i="5"/>
  <c r="D523" i="5"/>
  <c r="R522" i="5"/>
  <c r="N522" i="5"/>
  <c r="J522" i="5"/>
  <c r="F522" i="5"/>
  <c r="B522" i="5"/>
  <c r="P521" i="5"/>
  <c r="L521" i="5"/>
  <c r="H521" i="5"/>
  <c r="D521" i="5"/>
  <c r="R520" i="5"/>
  <c r="N520" i="5"/>
  <c r="J520" i="5"/>
  <c r="F520" i="5"/>
  <c r="B520" i="5"/>
  <c r="P519" i="5"/>
  <c r="L519" i="5"/>
  <c r="H519" i="5"/>
  <c r="D519" i="5"/>
  <c r="R518" i="5"/>
  <c r="N518" i="5"/>
  <c r="J518" i="5"/>
  <c r="F518" i="5"/>
  <c r="B518" i="5"/>
  <c r="P517" i="5"/>
  <c r="L517" i="5"/>
  <c r="H517" i="5"/>
  <c r="D517" i="5"/>
  <c r="R516" i="5"/>
  <c r="N516" i="5"/>
  <c r="J516" i="5"/>
  <c r="F516" i="5"/>
  <c r="B516" i="5"/>
  <c r="P515" i="5"/>
  <c r="L515" i="5"/>
  <c r="H515" i="5"/>
  <c r="D515" i="5"/>
  <c r="R514" i="5"/>
  <c r="N514" i="5"/>
  <c r="J514" i="5"/>
  <c r="F514" i="5"/>
  <c r="B514" i="5"/>
  <c r="P513" i="5"/>
  <c r="L513" i="5"/>
  <c r="H513" i="5"/>
  <c r="D513" i="5"/>
  <c r="R512" i="5"/>
  <c r="N512" i="5"/>
  <c r="J512" i="5"/>
  <c r="F512" i="5"/>
  <c r="B512" i="5"/>
  <c r="P511" i="5"/>
  <c r="L511" i="5"/>
  <c r="H511" i="5"/>
  <c r="D511" i="5"/>
  <c r="R510" i="5"/>
  <c r="N510" i="5"/>
  <c r="J510" i="5"/>
  <c r="F510" i="5"/>
  <c r="B510" i="5"/>
  <c r="P509" i="5"/>
  <c r="L509" i="5"/>
  <c r="H509" i="5"/>
  <c r="D509" i="5"/>
  <c r="R508" i="5"/>
  <c r="N508" i="5"/>
  <c r="J508" i="5"/>
  <c r="F508" i="5"/>
  <c r="B508" i="5"/>
  <c r="P507" i="5"/>
  <c r="L507" i="5"/>
  <c r="H507" i="5"/>
  <c r="D507" i="5"/>
  <c r="R506" i="5"/>
  <c r="N506" i="5"/>
  <c r="J506" i="5"/>
  <c r="F506" i="5"/>
  <c r="B506" i="5"/>
  <c r="P505" i="5"/>
  <c r="L505" i="5"/>
  <c r="H505" i="5"/>
  <c r="D505" i="5"/>
  <c r="R504" i="5"/>
  <c r="N504" i="5"/>
  <c r="J504" i="5"/>
  <c r="F504" i="5"/>
  <c r="B504" i="5"/>
  <c r="P503" i="5"/>
  <c r="L503" i="5"/>
  <c r="H503" i="5"/>
  <c r="D503" i="5"/>
  <c r="R502" i="5"/>
  <c r="N502" i="5"/>
  <c r="J502" i="5"/>
  <c r="F502" i="5"/>
  <c r="B502" i="5"/>
  <c r="P501" i="5"/>
  <c r="L501" i="5"/>
  <c r="H501" i="5"/>
  <c r="D501" i="5"/>
  <c r="R500" i="5"/>
  <c r="N500" i="5"/>
  <c r="J500" i="5"/>
  <c r="F500" i="5"/>
  <c r="B500" i="5"/>
  <c r="P499" i="5"/>
  <c r="L499" i="5"/>
  <c r="H499" i="5"/>
  <c r="D499" i="5"/>
  <c r="R498" i="5"/>
  <c r="N498" i="5"/>
  <c r="J498" i="5"/>
  <c r="F498" i="5"/>
  <c r="B498" i="5"/>
  <c r="P497" i="5"/>
  <c r="L497" i="5"/>
  <c r="H497" i="5"/>
  <c r="D497" i="5"/>
  <c r="R496" i="5"/>
  <c r="N496" i="5"/>
  <c r="J496" i="5"/>
  <c r="F496" i="5"/>
  <c r="B496" i="5"/>
  <c r="P495" i="5"/>
  <c r="L495" i="5"/>
  <c r="H495" i="5"/>
  <c r="D495" i="5"/>
  <c r="R494" i="5"/>
  <c r="N494" i="5"/>
  <c r="J494" i="5"/>
  <c r="F494" i="5"/>
  <c r="B494" i="5"/>
  <c r="P493" i="5"/>
  <c r="L493" i="5"/>
  <c r="H493" i="5"/>
  <c r="D493" i="5"/>
  <c r="R492" i="5"/>
  <c r="N492" i="5"/>
  <c r="J492" i="5"/>
  <c r="F492" i="5"/>
  <c r="B492" i="5"/>
  <c r="P491" i="5"/>
  <c r="L491" i="5"/>
  <c r="H491" i="5"/>
  <c r="D491" i="5"/>
  <c r="R490" i="5"/>
  <c r="N490" i="5"/>
  <c r="J490" i="5"/>
  <c r="F490" i="5"/>
  <c r="B490" i="5"/>
  <c r="P489" i="5"/>
  <c r="L489" i="5"/>
  <c r="H489" i="5"/>
  <c r="D489" i="5"/>
  <c r="R488" i="5"/>
  <c r="N488" i="5"/>
  <c r="J488" i="5"/>
  <c r="F488" i="5"/>
  <c r="B488" i="5"/>
  <c r="P487" i="5"/>
  <c r="L487" i="5"/>
  <c r="H487" i="5"/>
  <c r="D487" i="5"/>
  <c r="R486" i="5"/>
  <c r="N486" i="5"/>
  <c r="J486" i="5"/>
  <c r="F486" i="5"/>
  <c r="B486" i="5"/>
  <c r="P485" i="5"/>
  <c r="L485" i="5"/>
  <c r="H485" i="5"/>
  <c r="D485" i="5"/>
  <c r="R484" i="5"/>
  <c r="N484" i="5"/>
  <c r="J484" i="5"/>
  <c r="F484" i="5"/>
  <c r="B484" i="5"/>
  <c r="P483" i="5"/>
  <c r="L483" i="5"/>
  <c r="H483" i="5"/>
  <c r="D483" i="5"/>
  <c r="R482" i="5"/>
  <c r="N482" i="5"/>
  <c r="J482" i="5"/>
  <c r="F482" i="5"/>
  <c r="B482" i="5"/>
  <c r="P481" i="5"/>
  <c r="L481" i="5"/>
  <c r="H481" i="5"/>
  <c r="D481" i="5"/>
  <c r="R480" i="5"/>
  <c r="N480" i="5"/>
  <c r="J480" i="5"/>
  <c r="F480" i="5"/>
  <c r="B480" i="5"/>
  <c r="P479" i="5"/>
  <c r="L479" i="5"/>
  <c r="H479" i="5"/>
  <c r="D479" i="5"/>
  <c r="R478" i="5"/>
  <c r="N478" i="5"/>
  <c r="J478" i="5"/>
  <c r="F478" i="5"/>
  <c r="B478" i="5"/>
  <c r="P477" i="5"/>
  <c r="L477" i="5"/>
  <c r="H477" i="5"/>
  <c r="D477" i="5"/>
  <c r="R476" i="5"/>
  <c r="N476" i="5"/>
  <c r="J476" i="5"/>
  <c r="F476" i="5"/>
  <c r="B476" i="5"/>
  <c r="P475" i="5"/>
  <c r="L475" i="5"/>
  <c r="H475" i="5"/>
  <c r="D475" i="5"/>
  <c r="R474" i="5"/>
  <c r="N474" i="5"/>
  <c r="J474" i="5"/>
  <c r="F474" i="5"/>
  <c r="B474" i="5"/>
  <c r="P473" i="5"/>
  <c r="L473" i="5"/>
  <c r="H473" i="5"/>
  <c r="D473" i="5"/>
  <c r="R472" i="5"/>
  <c r="N472" i="5"/>
  <c r="J472" i="5"/>
  <c r="F472" i="5"/>
  <c r="B472" i="5"/>
  <c r="P471" i="5"/>
  <c r="L471" i="5"/>
  <c r="H471" i="5"/>
  <c r="D471" i="5"/>
  <c r="R470" i="5"/>
  <c r="N470" i="5"/>
  <c r="J470" i="5"/>
  <c r="F470" i="5"/>
  <c r="B470" i="5"/>
  <c r="P469" i="5"/>
  <c r="L469" i="5"/>
  <c r="H469" i="5"/>
  <c r="D469" i="5"/>
  <c r="R468" i="5"/>
  <c r="N468" i="5"/>
  <c r="J468" i="5"/>
  <c r="F468" i="5"/>
  <c r="B468" i="5"/>
  <c r="P467" i="5"/>
  <c r="L467" i="5"/>
  <c r="H467" i="5"/>
  <c r="D467" i="5"/>
  <c r="R466" i="5"/>
  <c r="N466" i="5"/>
  <c r="J466" i="5"/>
  <c r="F466" i="5"/>
  <c r="B466" i="5"/>
  <c r="P465" i="5"/>
  <c r="L465" i="5"/>
  <c r="H465" i="5"/>
  <c r="D465" i="5"/>
  <c r="R464" i="5"/>
  <c r="N464" i="5"/>
  <c r="J464" i="5"/>
  <c r="F464" i="5"/>
  <c r="B464" i="5"/>
  <c r="P463" i="5"/>
  <c r="L463" i="5"/>
  <c r="H463" i="5"/>
  <c r="D463" i="5"/>
  <c r="R462" i="5"/>
  <c r="N462" i="5"/>
  <c r="J462" i="5"/>
  <c r="F462" i="5"/>
  <c r="B462" i="5"/>
  <c r="P461" i="5"/>
  <c r="L461" i="5"/>
  <c r="H461" i="5"/>
  <c r="D461" i="5"/>
  <c r="R460" i="5"/>
  <c r="L778" i="5"/>
  <c r="P765" i="5"/>
  <c r="K759" i="5"/>
  <c r="G756" i="5"/>
  <c r="C753" i="5"/>
  <c r="S749" i="5"/>
  <c r="O746" i="5"/>
  <c r="K743" i="5"/>
  <c r="G740" i="5"/>
  <c r="C737" i="5"/>
  <c r="S733" i="5"/>
  <c r="O730" i="5"/>
  <c r="K727" i="5"/>
  <c r="G724" i="5"/>
  <c r="C721" i="5"/>
  <c r="P718" i="5"/>
  <c r="S717" i="5"/>
  <c r="C717" i="5"/>
  <c r="G716" i="5"/>
  <c r="K715" i="5"/>
  <c r="O714" i="5"/>
  <c r="S713" i="5"/>
  <c r="C713" i="5"/>
  <c r="G712" i="5"/>
  <c r="K711" i="5"/>
  <c r="O710" i="5"/>
  <c r="S709" i="5"/>
  <c r="C709" i="5"/>
  <c r="G708" i="5"/>
  <c r="K707" i="5"/>
  <c r="O706" i="5"/>
  <c r="S705" i="5"/>
  <c r="C705" i="5"/>
  <c r="G704" i="5"/>
  <c r="K703" i="5"/>
  <c r="O702" i="5"/>
  <c r="S701" i="5"/>
  <c r="C701" i="5"/>
  <c r="G700" i="5"/>
  <c r="K699" i="5"/>
  <c r="O698" i="5"/>
  <c r="S697" i="5"/>
  <c r="C697" i="5"/>
  <c r="G696" i="5"/>
  <c r="K695" i="5"/>
  <c r="O694" i="5"/>
  <c r="S693" i="5"/>
  <c r="C693" i="5"/>
  <c r="G692" i="5"/>
  <c r="K691" i="5"/>
  <c r="O690" i="5"/>
  <c r="S689" i="5"/>
  <c r="C689" i="5"/>
  <c r="G688" i="5"/>
  <c r="K687" i="5"/>
  <c r="O686" i="5"/>
  <c r="S685" i="5"/>
  <c r="C685" i="5"/>
  <c r="G684" i="5"/>
  <c r="K683" i="5"/>
  <c r="O682" i="5"/>
  <c r="S681" i="5"/>
  <c r="C681" i="5"/>
  <c r="G680" i="5"/>
  <c r="K679" i="5"/>
  <c r="O678" i="5"/>
  <c r="S677" i="5"/>
  <c r="C677" i="5"/>
  <c r="G676" i="5"/>
  <c r="K675" i="5"/>
  <c r="O674" i="5"/>
  <c r="S673" i="5"/>
  <c r="C673" i="5"/>
  <c r="G672" i="5"/>
  <c r="K671" i="5"/>
  <c r="O670" i="5"/>
  <c r="S669" i="5"/>
  <c r="C669" i="5"/>
  <c r="G668" i="5"/>
  <c r="K667" i="5"/>
  <c r="O666" i="5"/>
  <c r="S665" i="5"/>
  <c r="C665" i="5"/>
  <c r="G664" i="5"/>
  <c r="K663" i="5"/>
  <c r="O662" i="5"/>
  <c r="S661" i="5"/>
  <c r="C661" i="5"/>
  <c r="G660" i="5"/>
  <c r="K659" i="5"/>
  <c r="O658" i="5"/>
  <c r="S657" i="5"/>
  <c r="C657" i="5"/>
  <c r="G656" i="5"/>
  <c r="K655" i="5"/>
  <c r="O654" i="5"/>
  <c r="S653" i="5"/>
  <c r="C653" i="5"/>
  <c r="G652" i="5"/>
  <c r="K651" i="5"/>
  <c r="O650" i="5"/>
  <c r="S649" i="5"/>
  <c r="C649" i="5"/>
  <c r="G648" i="5"/>
  <c r="K647" i="5"/>
  <c r="O646" i="5"/>
  <c r="S645" i="5"/>
  <c r="C645" i="5"/>
  <c r="G644" i="5"/>
  <c r="K643" i="5"/>
  <c r="O642" i="5"/>
  <c r="S641" i="5"/>
  <c r="C641" i="5"/>
  <c r="G640" i="5"/>
  <c r="K639" i="5"/>
  <c r="O638" i="5"/>
  <c r="S637" i="5"/>
  <c r="C637" i="5"/>
  <c r="G636" i="5"/>
  <c r="K635" i="5"/>
  <c r="O634" i="5"/>
  <c r="S633" i="5"/>
  <c r="E633" i="5"/>
  <c r="Q632" i="5"/>
  <c r="I632" i="5"/>
  <c r="A632" i="5"/>
  <c r="M631" i="5"/>
  <c r="G631" i="5"/>
  <c r="C631" i="5"/>
  <c r="S630" i="5"/>
  <c r="O630" i="5"/>
  <c r="K630" i="5"/>
  <c r="G630" i="5"/>
  <c r="C630" i="5"/>
  <c r="S629" i="5"/>
  <c r="O629" i="5"/>
  <c r="K629" i="5"/>
  <c r="G629" i="5"/>
  <c r="C629" i="5"/>
  <c r="S628" i="5"/>
  <c r="O628" i="5"/>
  <c r="K628" i="5"/>
  <c r="G628" i="5"/>
  <c r="C628" i="5"/>
  <c r="S627" i="5"/>
  <c r="O627" i="5"/>
  <c r="K627" i="5"/>
  <c r="G627" i="5"/>
  <c r="C627" i="5"/>
  <c r="S626" i="5"/>
  <c r="O626" i="5"/>
  <c r="K626" i="5"/>
  <c r="G626" i="5"/>
  <c r="C626" i="5"/>
  <c r="S625" i="5"/>
  <c r="O625" i="5"/>
  <c r="K625" i="5"/>
  <c r="G625" i="5"/>
  <c r="C625" i="5"/>
  <c r="S624" i="5"/>
  <c r="O624" i="5"/>
  <c r="K624" i="5"/>
  <c r="G624" i="5"/>
  <c r="C624" i="5"/>
  <c r="S623" i="5"/>
  <c r="O623" i="5"/>
  <c r="K623" i="5"/>
  <c r="G623" i="5"/>
  <c r="C623" i="5"/>
  <c r="S622" i="5"/>
  <c r="O622" i="5"/>
  <c r="K622" i="5"/>
  <c r="G622" i="5"/>
  <c r="C622" i="5"/>
  <c r="S621" i="5"/>
  <c r="O621" i="5"/>
  <c r="K621" i="5"/>
  <c r="G621" i="5"/>
  <c r="C621" i="5"/>
  <c r="S620" i="5"/>
  <c r="O620" i="5"/>
  <c r="K620" i="5"/>
  <c r="G620" i="5"/>
  <c r="C620" i="5"/>
  <c r="S619" i="5"/>
  <c r="O619" i="5"/>
  <c r="K619" i="5"/>
  <c r="G619" i="5"/>
  <c r="C619" i="5"/>
  <c r="S618" i="5"/>
  <c r="O618" i="5"/>
  <c r="K618" i="5"/>
  <c r="G618" i="5"/>
  <c r="C618" i="5"/>
  <c r="S617" i="5"/>
  <c r="O617" i="5"/>
  <c r="K617" i="5"/>
  <c r="G617" i="5"/>
  <c r="C617" i="5"/>
  <c r="S616" i="5"/>
  <c r="O616" i="5"/>
  <c r="K616" i="5"/>
  <c r="G616" i="5"/>
  <c r="C616" i="5"/>
  <c r="S615" i="5"/>
  <c r="O615" i="5"/>
  <c r="K615" i="5"/>
  <c r="G615" i="5"/>
  <c r="C615" i="5"/>
  <c r="S614" i="5"/>
  <c r="O614" i="5"/>
  <c r="K614" i="5"/>
  <c r="G614" i="5"/>
  <c r="C614" i="5"/>
  <c r="S613" i="5"/>
  <c r="O613" i="5"/>
  <c r="K613" i="5"/>
  <c r="G613" i="5"/>
  <c r="C613" i="5"/>
  <c r="S612" i="5"/>
  <c r="O612" i="5"/>
  <c r="K612" i="5"/>
  <c r="G612" i="5"/>
  <c r="C612" i="5"/>
  <c r="S611" i="5"/>
  <c r="O611" i="5"/>
  <c r="K611" i="5"/>
  <c r="G611" i="5"/>
  <c r="C611" i="5"/>
  <c r="S610" i="5"/>
  <c r="O610" i="5"/>
  <c r="K610" i="5"/>
  <c r="G610" i="5"/>
  <c r="C610" i="5"/>
  <c r="S609" i="5"/>
  <c r="O609" i="5"/>
  <c r="K609" i="5"/>
  <c r="G609" i="5"/>
  <c r="C609" i="5"/>
  <c r="S608" i="5"/>
  <c r="O608" i="5"/>
  <c r="K608" i="5"/>
  <c r="G608" i="5"/>
  <c r="C608" i="5"/>
  <c r="S607" i="5"/>
  <c r="O607" i="5"/>
  <c r="K607" i="5"/>
  <c r="G607" i="5"/>
  <c r="C607" i="5"/>
  <c r="S606" i="5"/>
  <c r="O606" i="5"/>
  <c r="K606" i="5"/>
  <c r="G606" i="5"/>
  <c r="C606" i="5"/>
  <c r="S605" i="5"/>
  <c r="O605" i="5"/>
  <c r="K605" i="5"/>
  <c r="G605" i="5"/>
  <c r="C605" i="5"/>
  <c r="S604" i="5"/>
  <c r="O604" i="5"/>
  <c r="K604" i="5"/>
  <c r="G604" i="5"/>
  <c r="C604" i="5"/>
  <c r="S603" i="5"/>
  <c r="O603" i="5"/>
  <c r="K603" i="5"/>
  <c r="G603" i="5"/>
  <c r="C603" i="5"/>
  <c r="S602" i="5"/>
  <c r="O602" i="5"/>
  <c r="K602" i="5"/>
  <c r="G602" i="5"/>
  <c r="C602" i="5"/>
  <c r="S601" i="5"/>
  <c r="O601" i="5"/>
  <c r="K601" i="5"/>
  <c r="G601" i="5"/>
  <c r="C601" i="5"/>
  <c r="S600" i="5"/>
  <c r="O600" i="5"/>
  <c r="K600" i="5"/>
  <c r="G600" i="5"/>
  <c r="C600" i="5"/>
  <c r="S599" i="5"/>
  <c r="O599" i="5"/>
  <c r="K599" i="5"/>
  <c r="G599" i="5"/>
  <c r="C599" i="5"/>
  <c r="S598" i="5"/>
  <c r="O598" i="5"/>
  <c r="K598" i="5"/>
  <c r="G598" i="5"/>
  <c r="C598" i="5"/>
  <c r="S597" i="5"/>
  <c r="O597" i="5"/>
  <c r="K597" i="5"/>
  <c r="G597" i="5"/>
  <c r="C597" i="5"/>
  <c r="S596" i="5"/>
  <c r="O596" i="5"/>
  <c r="K596" i="5"/>
  <c r="G596" i="5"/>
  <c r="C596" i="5"/>
  <c r="S595" i="5"/>
  <c r="O595" i="5"/>
  <c r="K595" i="5"/>
  <c r="G595" i="5"/>
  <c r="C595" i="5"/>
  <c r="S594" i="5"/>
  <c r="O594" i="5"/>
  <c r="K594" i="5"/>
  <c r="G594" i="5"/>
  <c r="C594" i="5"/>
  <c r="S593" i="5"/>
  <c r="O593" i="5"/>
  <c r="K593" i="5"/>
  <c r="G593" i="5"/>
  <c r="C593" i="5"/>
  <c r="S592" i="5"/>
  <c r="O592" i="5"/>
  <c r="K592" i="5"/>
  <c r="G592" i="5"/>
  <c r="C592" i="5"/>
  <c r="S591" i="5"/>
  <c r="O591" i="5"/>
  <c r="K591" i="5"/>
  <c r="G591" i="5"/>
  <c r="C591" i="5"/>
  <c r="S590" i="5"/>
  <c r="O590" i="5"/>
  <c r="K590" i="5"/>
  <c r="G590" i="5"/>
  <c r="C590" i="5"/>
  <c r="S589" i="5"/>
  <c r="O589" i="5"/>
  <c r="K589" i="5"/>
  <c r="G589" i="5"/>
  <c r="C589" i="5"/>
  <c r="S588" i="5"/>
  <c r="O588" i="5"/>
  <c r="K588" i="5"/>
  <c r="G588" i="5"/>
  <c r="C588" i="5"/>
  <c r="S587" i="5"/>
  <c r="O587" i="5"/>
  <c r="K587" i="5"/>
  <c r="G587" i="5"/>
  <c r="C587" i="5"/>
  <c r="S586" i="5"/>
  <c r="O586" i="5"/>
  <c r="K586" i="5"/>
  <c r="G586" i="5"/>
  <c r="C586" i="5"/>
  <c r="S585" i="5"/>
  <c r="O585" i="5"/>
  <c r="K585" i="5"/>
  <c r="G585" i="5"/>
  <c r="C585" i="5"/>
  <c r="S584" i="5"/>
  <c r="O584" i="5"/>
  <c r="K584" i="5"/>
  <c r="G584" i="5"/>
  <c r="C584" i="5"/>
  <c r="S583" i="5"/>
  <c r="O583" i="5"/>
  <c r="K583" i="5"/>
  <c r="G583" i="5"/>
  <c r="C583" i="5"/>
  <c r="S582" i="5"/>
  <c r="O582" i="5"/>
  <c r="K582" i="5"/>
  <c r="G582" i="5"/>
  <c r="C582" i="5"/>
  <c r="S581" i="5"/>
  <c r="O581" i="5"/>
  <c r="K581" i="5"/>
  <c r="G581" i="5"/>
  <c r="C581" i="5"/>
  <c r="S580" i="5"/>
  <c r="O580" i="5"/>
  <c r="I580" i="5"/>
  <c r="A580" i="5"/>
  <c r="M579" i="5"/>
  <c r="E579" i="5"/>
  <c r="Q578" i="5"/>
  <c r="I578" i="5"/>
  <c r="A578" i="5"/>
  <c r="M577" i="5"/>
  <c r="E577" i="5"/>
  <c r="Q576" i="5"/>
  <c r="I576" i="5"/>
  <c r="A576" i="5"/>
  <c r="M575" i="5"/>
  <c r="E575" i="5"/>
  <c r="Q574" i="5"/>
  <c r="I574" i="5"/>
  <c r="A574" i="5"/>
  <c r="M573" i="5"/>
  <c r="E573" i="5"/>
  <c r="Q572" i="5"/>
  <c r="I572" i="5"/>
  <c r="A572" i="5"/>
  <c r="M571" i="5"/>
  <c r="E571" i="5"/>
  <c r="Q570" i="5"/>
  <c r="I570" i="5"/>
  <c r="A570" i="5"/>
  <c r="M569" i="5"/>
  <c r="E569" i="5"/>
  <c r="Q568" i="5"/>
  <c r="I568" i="5"/>
  <c r="A568" i="5"/>
  <c r="M567" i="5"/>
  <c r="E567" i="5"/>
  <c r="Q566" i="5"/>
  <c r="I566" i="5"/>
  <c r="A566" i="5"/>
  <c r="M565" i="5"/>
  <c r="E565" i="5"/>
  <c r="Q564" i="5"/>
  <c r="I564" i="5"/>
  <c r="A564" i="5"/>
  <c r="M563" i="5"/>
  <c r="E563" i="5"/>
  <c r="Q562" i="5"/>
  <c r="I562" i="5"/>
  <c r="A562" i="5"/>
  <c r="M561" i="5"/>
  <c r="E561" i="5"/>
  <c r="Q560" i="5"/>
  <c r="I560" i="5"/>
  <c r="A560" i="5"/>
  <c r="M559" i="5"/>
  <c r="E559" i="5"/>
  <c r="Q558" i="5"/>
  <c r="I558" i="5"/>
  <c r="A558" i="5"/>
  <c r="M557" i="5"/>
  <c r="E557" i="5"/>
  <c r="Q556" i="5"/>
  <c r="I556" i="5"/>
  <c r="A556" i="5"/>
  <c r="M555" i="5"/>
  <c r="E555" i="5"/>
  <c r="Q554" i="5"/>
  <c r="I554" i="5"/>
  <c r="A554" i="5"/>
  <c r="M553" i="5"/>
  <c r="E553" i="5"/>
  <c r="Q552" i="5"/>
  <c r="I552" i="5"/>
  <c r="A552" i="5"/>
  <c r="M551" i="5"/>
  <c r="E551" i="5"/>
  <c r="Q550" i="5"/>
  <c r="I550" i="5"/>
  <c r="A550" i="5"/>
  <c r="M549" i="5"/>
  <c r="E549" i="5"/>
  <c r="Q548" i="5"/>
  <c r="I548" i="5"/>
  <c r="A548" i="5"/>
  <c r="M547" i="5"/>
  <c r="E547" i="5"/>
  <c r="Q546" i="5"/>
  <c r="I546" i="5"/>
  <c r="A546" i="5"/>
  <c r="M545" i="5"/>
  <c r="E545" i="5"/>
  <c r="Q544" i="5"/>
  <c r="I544" i="5"/>
  <c r="A544" i="5"/>
  <c r="M543" i="5"/>
  <c r="E543" i="5"/>
  <c r="Q542" i="5"/>
  <c r="I542" i="5"/>
  <c r="A542" i="5"/>
  <c r="M541" i="5"/>
  <c r="E541" i="5"/>
  <c r="Q540" i="5"/>
  <c r="I540" i="5"/>
  <c r="A540" i="5"/>
  <c r="M539" i="5"/>
  <c r="E539" i="5"/>
  <c r="Q538" i="5"/>
  <c r="I538" i="5"/>
  <c r="A538" i="5"/>
  <c r="M537" i="5"/>
  <c r="E537" i="5"/>
  <c r="Q536" i="5"/>
  <c r="I536" i="5"/>
  <c r="A536" i="5"/>
  <c r="M535" i="5"/>
  <c r="E535" i="5"/>
  <c r="Q534" i="5"/>
  <c r="I534" i="5"/>
  <c r="A534" i="5"/>
  <c r="M533" i="5"/>
  <c r="E533" i="5"/>
  <c r="Q532" i="5"/>
  <c r="I532" i="5"/>
  <c r="A532" i="5"/>
  <c r="M531" i="5"/>
  <c r="E531" i="5"/>
  <c r="Q530" i="5"/>
  <c r="I530" i="5"/>
  <c r="A530" i="5"/>
  <c r="M529" i="5"/>
  <c r="E529" i="5"/>
  <c r="Q528" i="5"/>
  <c r="I528" i="5"/>
  <c r="A528" i="5"/>
  <c r="M527" i="5"/>
  <c r="E527" i="5"/>
  <c r="Q526" i="5"/>
  <c r="I526" i="5"/>
  <c r="A526" i="5"/>
  <c r="M525" i="5"/>
  <c r="E525" i="5"/>
  <c r="Q524" i="5"/>
  <c r="I524" i="5"/>
  <c r="A524" i="5"/>
  <c r="M523" i="5"/>
  <c r="E523" i="5"/>
  <c r="Q522" i="5"/>
  <c r="I522" i="5"/>
  <c r="A522" i="5"/>
  <c r="M521" i="5"/>
  <c r="E521" i="5"/>
  <c r="Q520" i="5"/>
  <c r="I520" i="5"/>
  <c r="A520" i="5"/>
  <c r="M519" i="5"/>
  <c r="E519" i="5"/>
  <c r="Q518" i="5"/>
  <c r="I518" i="5"/>
  <c r="A518" i="5"/>
  <c r="M517" i="5"/>
  <c r="E517" i="5"/>
  <c r="Q516" i="5"/>
  <c r="I516" i="5"/>
  <c r="A516" i="5"/>
  <c r="M515" i="5"/>
  <c r="E515" i="5"/>
  <c r="Q514" i="5"/>
  <c r="I514" i="5"/>
  <c r="A514" i="5"/>
  <c r="M513" i="5"/>
  <c r="E513" i="5"/>
  <c r="Q512" i="5"/>
  <c r="I512" i="5"/>
  <c r="A512" i="5"/>
  <c r="M511" i="5"/>
  <c r="E511" i="5"/>
  <c r="Q510" i="5"/>
  <c r="I510" i="5"/>
  <c r="A510" i="5"/>
  <c r="M509" i="5"/>
  <c r="E509" i="5"/>
  <c r="Q508" i="5"/>
  <c r="I508" i="5"/>
  <c r="A508" i="5"/>
  <c r="M507" i="5"/>
  <c r="E507" i="5"/>
  <c r="Q506" i="5"/>
  <c r="I506" i="5"/>
  <c r="A506" i="5"/>
  <c r="M505" i="5"/>
  <c r="E505" i="5"/>
  <c r="Q504" i="5"/>
  <c r="I504" i="5"/>
  <c r="A504" i="5"/>
  <c r="M503" i="5"/>
  <c r="E503" i="5"/>
  <c r="Q502" i="5"/>
  <c r="I502" i="5"/>
  <c r="A502" i="5"/>
  <c r="M501" i="5"/>
  <c r="E501" i="5"/>
  <c r="Q500" i="5"/>
  <c r="I500" i="5"/>
  <c r="A500" i="5"/>
  <c r="M499" i="5"/>
  <c r="E499" i="5"/>
  <c r="Q498" i="5"/>
  <c r="I498" i="5"/>
  <c r="A498" i="5"/>
  <c r="M497" i="5"/>
  <c r="E497" i="5"/>
  <c r="Q496" i="5"/>
  <c r="I496" i="5"/>
  <c r="A496" i="5"/>
  <c r="M495" i="5"/>
  <c r="E495" i="5"/>
  <c r="Q494" i="5"/>
  <c r="I494" i="5"/>
  <c r="A494" i="5"/>
  <c r="M493" i="5"/>
  <c r="E493" i="5"/>
  <c r="Q492" i="5"/>
  <c r="I492" i="5"/>
  <c r="A492" i="5"/>
  <c r="M491" i="5"/>
  <c r="E491" i="5"/>
  <c r="Q490" i="5"/>
  <c r="I490" i="5"/>
  <c r="A490" i="5"/>
  <c r="M489" i="5"/>
  <c r="E489" i="5"/>
  <c r="Q488" i="5"/>
  <c r="I488" i="5"/>
  <c r="A488" i="5"/>
  <c r="M487" i="5"/>
  <c r="E487" i="5"/>
  <c r="Q486" i="5"/>
  <c r="I486" i="5"/>
  <c r="A486" i="5"/>
  <c r="M485" i="5"/>
  <c r="E485" i="5"/>
  <c r="Q484" i="5"/>
  <c r="I484" i="5"/>
  <c r="A484" i="5"/>
  <c r="M483" i="5"/>
  <c r="E483" i="5"/>
  <c r="Q482" i="5"/>
  <c r="I482" i="5"/>
  <c r="A482" i="5"/>
  <c r="M481" i="5"/>
  <c r="E481" i="5"/>
  <c r="Q480" i="5"/>
  <c r="I480" i="5"/>
  <c r="A480" i="5"/>
  <c r="M479" i="5"/>
  <c r="E479" i="5"/>
  <c r="Q478" i="5"/>
  <c r="I478" i="5"/>
  <c r="A478" i="5"/>
  <c r="M477" i="5"/>
  <c r="E477" i="5"/>
  <c r="Q476" i="5"/>
  <c r="I476" i="5"/>
  <c r="A476" i="5"/>
  <c r="M475" i="5"/>
  <c r="E475" i="5"/>
  <c r="Q474" i="5"/>
  <c r="I474" i="5"/>
  <c r="A474" i="5"/>
  <c r="M473" i="5"/>
  <c r="E473" i="5"/>
  <c r="Q472" i="5"/>
  <c r="I472" i="5"/>
  <c r="A472" i="5"/>
  <c r="M471" i="5"/>
  <c r="E471" i="5"/>
  <c r="Q470" i="5"/>
  <c r="I470" i="5"/>
  <c r="A470" i="5"/>
  <c r="M469" i="5"/>
  <c r="E469" i="5"/>
  <c r="Q468" i="5"/>
  <c r="I468" i="5"/>
  <c r="A468" i="5"/>
  <c r="M467" i="5"/>
  <c r="E467" i="5"/>
  <c r="Q466" i="5"/>
  <c r="I466" i="5"/>
  <c r="A466" i="5"/>
  <c r="M465" i="5"/>
  <c r="E465" i="5"/>
  <c r="Q464" i="5"/>
  <c r="I464" i="5"/>
  <c r="A464" i="5"/>
  <c r="M463" i="5"/>
  <c r="E463" i="5"/>
  <c r="Q462" i="5"/>
  <c r="I462" i="5"/>
  <c r="A462" i="5"/>
  <c r="M461" i="5"/>
  <c r="E461" i="5"/>
  <c r="Q460" i="5"/>
  <c r="L460" i="5"/>
  <c r="H460" i="5"/>
  <c r="D460" i="5"/>
  <c r="R459" i="5"/>
  <c r="N459" i="5"/>
  <c r="J459" i="5"/>
  <c r="F459" i="5"/>
  <c r="B459" i="5"/>
  <c r="P458" i="5"/>
  <c r="L458" i="5"/>
  <c r="H458" i="5"/>
  <c r="D458" i="5"/>
  <c r="R457" i="5"/>
  <c r="N457" i="5"/>
  <c r="J457" i="5"/>
  <c r="F457" i="5"/>
  <c r="B457" i="5"/>
  <c r="P456" i="5"/>
  <c r="L456" i="5"/>
  <c r="H456" i="5"/>
  <c r="D456" i="5"/>
  <c r="R455" i="5"/>
  <c r="N455" i="5"/>
  <c r="J455" i="5"/>
  <c r="F455" i="5"/>
  <c r="B455" i="5"/>
  <c r="P454" i="5"/>
  <c r="L454" i="5"/>
  <c r="H454" i="5"/>
  <c r="D454" i="5"/>
  <c r="R453" i="5"/>
  <c r="N453" i="5"/>
  <c r="J453" i="5"/>
  <c r="F453" i="5"/>
  <c r="B453" i="5"/>
  <c r="P452" i="5"/>
  <c r="L452" i="5"/>
  <c r="H452" i="5"/>
  <c r="D452" i="5"/>
  <c r="R451" i="5"/>
  <c r="N451" i="5"/>
  <c r="J451" i="5"/>
  <c r="F451" i="5"/>
  <c r="B451" i="5"/>
  <c r="P450" i="5"/>
  <c r="L450" i="5"/>
  <c r="H450" i="5"/>
  <c r="D450" i="5"/>
  <c r="R449" i="5"/>
  <c r="N449" i="5"/>
  <c r="J449" i="5"/>
  <c r="F449" i="5"/>
  <c r="B449" i="5"/>
  <c r="P448" i="5"/>
  <c r="L448" i="5"/>
  <c r="H448" i="5"/>
  <c r="D448" i="5"/>
  <c r="R447" i="5"/>
  <c r="N447" i="5"/>
  <c r="J447" i="5"/>
  <c r="F447" i="5"/>
  <c r="B447" i="5"/>
  <c r="P446" i="5"/>
  <c r="L446" i="5"/>
  <c r="H446" i="5"/>
  <c r="D446" i="5"/>
  <c r="R445" i="5"/>
  <c r="N445" i="5"/>
  <c r="J445" i="5"/>
  <c r="F445" i="5"/>
  <c r="B445" i="5"/>
  <c r="P444" i="5"/>
  <c r="L444" i="5"/>
  <c r="H444" i="5"/>
  <c r="D444" i="5"/>
  <c r="R443" i="5"/>
  <c r="N443" i="5"/>
  <c r="J443" i="5"/>
  <c r="F443" i="5"/>
  <c r="B443" i="5"/>
  <c r="P442" i="5"/>
  <c r="L442" i="5"/>
  <c r="H442" i="5"/>
  <c r="D442" i="5"/>
  <c r="R441" i="5"/>
  <c r="N441" i="5"/>
  <c r="J441" i="5"/>
  <c r="F441" i="5"/>
  <c r="B441" i="5"/>
  <c r="P440" i="5"/>
  <c r="L440" i="5"/>
  <c r="H440" i="5"/>
  <c r="D440" i="5"/>
  <c r="R439" i="5"/>
  <c r="N439" i="5"/>
  <c r="J439" i="5"/>
  <c r="F439" i="5"/>
  <c r="B439" i="5"/>
  <c r="P438" i="5"/>
  <c r="L438" i="5"/>
  <c r="H438" i="5"/>
  <c r="D438" i="5"/>
  <c r="R437" i="5"/>
  <c r="N437" i="5"/>
  <c r="J437" i="5"/>
  <c r="F437" i="5"/>
  <c r="B437" i="5"/>
  <c r="P436" i="5"/>
  <c r="L436" i="5"/>
  <c r="H436" i="5"/>
  <c r="D436" i="5"/>
  <c r="E764" i="5"/>
  <c r="R785" i="5"/>
  <c r="J779" i="5"/>
  <c r="B773" i="5"/>
  <c r="N766" i="5"/>
  <c r="D783" i="5"/>
  <c r="L769" i="5"/>
  <c r="N761" i="5"/>
  <c r="R759" i="5"/>
  <c r="D758" i="5"/>
  <c r="H756" i="5"/>
  <c r="L754" i="5"/>
  <c r="P752" i="5"/>
  <c r="B751" i="5"/>
  <c r="F749" i="5"/>
  <c r="J747" i="5"/>
  <c r="N745" i="5"/>
  <c r="R743" i="5"/>
  <c r="D742" i="5"/>
  <c r="H740" i="5"/>
  <c r="L738" i="5"/>
  <c r="P736" i="5"/>
  <c r="B735" i="5"/>
  <c r="F733" i="5"/>
  <c r="J731" i="5"/>
  <c r="N729" i="5"/>
  <c r="R727" i="5"/>
  <c r="D726" i="5"/>
  <c r="H724" i="5"/>
  <c r="L722" i="5"/>
  <c r="P720" i="5"/>
  <c r="D782" i="5"/>
  <c r="D766" i="5"/>
  <c r="I759" i="5"/>
  <c r="E756" i="5"/>
  <c r="A753" i="5"/>
  <c r="Q749" i="5"/>
  <c r="M746" i="5"/>
  <c r="I743" i="5"/>
  <c r="E740" i="5"/>
  <c r="A737" i="5"/>
  <c r="Q733" i="5"/>
  <c r="M730" i="5"/>
  <c r="I727" i="5"/>
  <c r="E724" i="5"/>
  <c r="A721" i="5"/>
  <c r="O718" i="5"/>
  <c r="K760" i="5"/>
  <c r="C754" i="5"/>
  <c r="O747" i="5"/>
  <c r="G741" i="5"/>
  <c r="S734" i="5"/>
  <c r="K728" i="5"/>
  <c r="C722" i="5"/>
  <c r="J718" i="5"/>
  <c r="L717" i="5"/>
  <c r="N716" i="5"/>
  <c r="P715" i="5"/>
  <c r="R714" i="5"/>
  <c r="B714" i="5"/>
  <c r="D713" i="5"/>
  <c r="F712" i="5"/>
  <c r="H711" i="5"/>
  <c r="J710" i="5"/>
  <c r="L709" i="5"/>
  <c r="N708" i="5"/>
  <c r="P707" i="5"/>
  <c r="R706" i="5"/>
  <c r="B706" i="5"/>
  <c r="D705" i="5"/>
  <c r="F704" i="5"/>
  <c r="H703" i="5"/>
  <c r="J702" i="5"/>
  <c r="L701" i="5"/>
  <c r="N700" i="5"/>
  <c r="P699" i="5"/>
  <c r="R698" i="5"/>
  <c r="B698" i="5"/>
  <c r="D697" i="5"/>
  <c r="F696" i="5"/>
  <c r="H695" i="5"/>
  <c r="J694" i="5"/>
  <c r="L693" i="5"/>
  <c r="N692" i="5"/>
  <c r="P691" i="5"/>
  <c r="R690" i="5"/>
  <c r="B690" i="5"/>
  <c r="D689" i="5"/>
  <c r="F688" i="5"/>
  <c r="H687" i="5"/>
  <c r="J686" i="5"/>
  <c r="L685" i="5"/>
  <c r="N684" i="5"/>
  <c r="P683" i="5"/>
  <c r="R682" i="5"/>
  <c r="B682" i="5"/>
  <c r="D681" i="5"/>
  <c r="F680" i="5"/>
  <c r="H679" i="5"/>
  <c r="J678" i="5"/>
  <c r="L677" i="5"/>
  <c r="N676" i="5"/>
  <c r="P675" i="5"/>
  <c r="R674" i="5"/>
  <c r="B674" i="5"/>
  <c r="D673" i="5"/>
  <c r="F672" i="5"/>
  <c r="H671" i="5"/>
  <c r="J670" i="5"/>
  <c r="L669" i="5"/>
  <c r="N668" i="5"/>
  <c r="P667" i="5"/>
  <c r="R666" i="5"/>
  <c r="B666" i="5"/>
  <c r="D665" i="5"/>
  <c r="F664" i="5"/>
  <c r="H663" i="5"/>
  <c r="J662" i="5"/>
  <c r="L661" i="5"/>
  <c r="N660" i="5"/>
  <c r="P659" i="5"/>
  <c r="R658" i="5"/>
  <c r="B658" i="5"/>
  <c r="D657" i="5"/>
  <c r="F656" i="5"/>
  <c r="H655" i="5"/>
  <c r="J654" i="5"/>
  <c r="N782" i="5"/>
  <c r="R769" i="5"/>
  <c r="D775" i="5"/>
  <c r="P760" i="5"/>
  <c r="F757" i="5"/>
  <c r="N753" i="5"/>
  <c r="D750" i="5"/>
  <c r="L746" i="5"/>
  <c r="B743" i="5"/>
  <c r="J739" i="5"/>
  <c r="R735" i="5"/>
  <c r="H732" i="5"/>
  <c r="P728" i="5"/>
  <c r="F725" i="5"/>
  <c r="N721" i="5"/>
  <c r="D774" i="5"/>
  <c r="Q757" i="5"/>
  <c r="I751" i="5"/>
  <c r="A745" i="5"/>
  <c r="M738" i="5"/>
  <c r="E732" i="5"/>
  <c r="Q725" i="5"/>
  <c r="K719" i="5"/>
  <c r="G757" i="5"/>
  <c r="K744" i="5"/>
  <c r="O731" i="5"/>
  <c r="F719" i="5"/>
  <c r="D717" i="5"/>
  <c r="H715" i="5"/>
  <c r="L713" i="5"/>
  <c r="P711" i="5"/>
  <c r="B710" i="5"/>
  <c r="F708" i="5"/>
  <c r="J706" i="5"/>
  <c r="N704" i="5"/>
  <c r="R702" i="5"/>
  <c r="D701" i="5"/>
  <c r="H699" i="5"/>
  <c r="L697" i="5"/>
  <c r="P695" i="5"/>
  <c r="B694" i="5"/>
  <c r="F692" i="5"/>
  <c r="J690" i="5"/>
  <c r="N688" i="5"/>
  <c r="R686" i="5"/>
  <c r="D685" i="5"/>
  <c r="H683" i="5"/>
  <c r="L681" i="5"/>
  <c r="P679" i="5"/>
  <c r="B678" i="5"/>
  <c r="F676" i="5"/>
  <c r="J674" i="5"/>
  <c r="N672" i="5"/>
  <c r="R670" i="5"/>
  <c r="D669" i="5"/>
  <c r="H667" i="5"/>
  <c r="L665" i="5"/>
  <c r="P663" i="5"/>
  <c r="B662" i="5"/>
  <c r="F660" i="5"/>
  <c r="J658" i="5"/>
  <c r="N656" i="5"/>
  <c r="R654" i="5"/>
  <c r="L653" i="5"/>
  <c r="N652" i="5"/>
  <c r="P651" i="5"/>
  <c r="R650" i="5"/>
  <c r="B650" i="5"/>
  <c r="D649" i="5"/>
  <c r="F648" i="5"/>
  <c r="H647" i="5"/>
  <c r="J646" i="5"/>
  <c r="L645" i="5"/>
  <c r="N644" i="5"/>
  <c r="P643" i="5"/>
  <c r="R642" i="5"/>
  <c r="B642" i="5"/>
  <c r="D641" i="5"/>
  <c r="F640" i="5"/>
  <c r="H639" i="5"/>
  <c r="J638" i="5"/>
  <c r="L637" i="5"/>
  <c r="N636" i="5"/>
  <c r="P635" i="5"/>
  <c r="R634" i="5"/>
  <c r="B634" i="5"/>
  <c r="H783" i="5"/>
  <c r="S759" i="5"/>
  <c r="K753" i="5"/>
  <c r="C747" i="5"/>
  <c r="O740" i="5"/>
  <c r="G734" i="5"/>
  <c r="S727" i="5"/>
  <c r="K721" i="5"/>
  <c r="Q717" i="5"/>
  <c r="E716" i="5"/>
  <c r="M714" i="5"/>
  <c r="A713" i="5"/>
  <c r="I711" i="5"/>
  <c r="Q709" i="5"/>
  <c r="E708" i="5"/>
  <c r="M706" i="5"/>
  <c r="A705" i="5"/>
  <c r="I703" i="5"/>
  <c r="Q701" i="5"/>
  <c r="E700" i="5"/>
  <c r="M698" i="5"/>
  <c r="A697" i="5"/>
  <c r="I695" i="5"/>
  <c r="Q693" i="5"/>
  <c r="E692" i="5"/>
  <c r="M690" i="5"/>
  <c r="A689" i="5"/>
  <c r="I687" i="5"/>
  <c r="Q685" i="5"/>
  <c r="E684" i="5"/>
  <c r="M682" i="5"/>
  <c r="A681" i="5"/>
  <c r="I679" i="5"/>
  <c r="Q677" i="5"/>
  <c r="E676" i="5"/>
  <c r="M674" i="5"/>
  <c r="A673" i="5"/>
  <c r="I671" i="5"/>
  <c r="Q669" i="5"/>
  <c r="E668" i="5"/>
  <c r="M666" i="5"/>
  <c r="A665" i="5"/>
  <c r="I663" i="5"/>
  <c r="Q661" i="5"/>
  <c r="E660" i="5"/>
  <c r="M658" i="5"/>
  <c r="A657" i="5"/>
  <c r="I655" i="5"/>
  <c r="Q653" i="5"/>
  <c r="E652" i="5"/>
  <c r="M650" i="5"/>
  <c r="A649" i="5"/>
  <c r="I647" i="5"/>
  <c r="Q645" i="5"/>
  <c r="E644" i="5"/>
  <c r="M642" i="5"/>
  <c r="A641" i="5"/>
  <c r="I639" i="5"/>
  <c r="Q637" i="5"/>
  <c r="E636" i="5"/>
  <c r="M634" i="5"/>
  <c r="D633" i="5"/>
  <c r="F632" i="5"/>
  <c r="P781" i="5"/>
  <c r="G752" i="5"/>
  <c r="K739" i="5"/>
  <c r="O726" i="5"/>
  <c r="O717" i="5"/>
  <c r="K714" i="5"/>
  <c r="G711" i="5"/>
  <c r="C708" i="5"/>
  <c r="S704" i="5"/>
  <c r="O701" i="5"/>
  <c r="K698" i="5"/>
  <c r="G695" i="5"/>
  <c r="C692" i="5"/>
  <c r="S688" i="5"/>
  <c r="O685" i="5"/>
  <c r="K682" i="5"/>
  <c r="G679" i="5"/>
  <c r="C676" i="5"/>
  <c r="S672" i="5"/>
  <c r="O669" i="5"/>
  <c r="K666" i="5"/>
  <c r="G663" i="5"/>
  <c r="C660" i="5"/>
  <c r="S656" i="5"/>
  <c r="O653" i="5"/>
  <c r="K650" i="5"/>
  <c r="G647" i="5"/>
  <c r="C644" i="5"/>
  <c r="S640" i="5"/>
  <c r="O637" i="5"/>
  <c r="K634" i="5"/>
  <c r="G632" i="5"/>
  <c r="B631" i="5"/>
  <c r="H630" i="5"/>
  <c r="R629" i="5"/>
  <c r="J629" i="5"/>
  <c r="B629" i="5"/>
  <c r="L628" i="5"/>
  <c r="D628" i="5"/>
  <c r="N627" i="5"/>
  <c r="F627" i="5"/>
  <c r="P626" i="5"/>
  <c r="H626" i="5"/>
  <c r="R625" i="5"/>
  <c r="J625" i="5"/>
  <c r="B625" i="5"/>
  <c r="L624" i="5"/>
  <c r="D624" i="5"/>
  <c r="N623" i="5"/>
  <c r="F623" i="5"/>
  <c r="P622" i="5"/>
  <c r="H622" i="5"/>
  <c r="R621" i="5"/>
  <c r="J621" i="5"/>
  <c r="B621" i="5"/>
  <c r="L620" i="5"/>
  <c r="D620" i="5"/>
  <c r="N619" i="5"/>
  <c r="F619" i="5"/>
  <c r="P618" i="5"/>
  <c r="H618" i="5"/>
  <c r="R617" i="5"/>
  <c r="J617" i="5"/>
  <c r="B617" i="5"/>
  <c r="L616" i="5"/>
  <c r="D616" i="5"/>
  <c r="N615" i="5"/>
  <c r="F615" i="5"/>
  <c r="P614" i="5"/>
  <c r="H614" i="5"/>
  <c r="R613" i="5"/>
  <c r="J613" i="5"/>
  <c r="B613" i="5"/>
  <c r="L612" i="5"/>
  <c r="D612" i="5"/>
  <c r="N611" i="5"/>
  <c r="F611" i="5"/>
  <c r="P610" i="5"/>
  <c r="H610" i="5"/>
  <c r="R609" i="5"/>
  <c r="J609" i="5"/>
  <c r="B609" i="5"/>
  <c r="L608" i="5"/>
  <c r="D608" i="5"/>
  <c r="N607" i="5"/>
  <c r="F607" i="5"/>
  <c r="P606" i="5"/>
  <c r="H606" i="5"/>
  <c r="R605" i="5"/>
  <c r="J605" i="5"/>
  <c r="B605" i="5"/>
  <c r="L604" i="5"/>
  <c r="D604" i="5"/>
  <c r="N603" i="5"/>
  <c r="F603" i="5"/>
  <c r="P602" i="5"/>
  <c r="H602" i="5"/>
  <c r="R601" i="5"/>
  <c r="J601" i="5"/>
  <c r="B601" i="5"/>
  <c r="L600" i="5"/>
  <c r="D600" i="5"/>
  <c r="N599" i="5"/>
  <c r="F599" i="5"/>
  <c r="P598" i="5"/>
  <c r="H598" i="5"/>
  <c r="R597" i="5"/>
  <c r="J597" i="5"/>
  <c r="B597" i="5"/>
  <c r="L596" i="5"/>
  <c r="D596" i="5"/>
  <c r="N595" i="5"/>
  <c r="F595" i="5"/>
  <c r="P594" i="5"/>
  <c r="H594" i="5"/>
  <c r="R593" i="5"/>
  <c r="J593" i="5"/>
  <c r="B593" i="5"/>
  <c r="L592" i="5"/>
  <c r="D592" i="5"/>
  <c r="N591" i="5"/>
  <c r="F591" i="5"/>
  <c r="P590" i="5"/>
  <c r="H590" i="5"/>
  <c r="R589" i="5"/>
  <c r="J589" i="5"/>
  <c r="B589" i="5"/>
  <c r="L588" i="5"/>
  <c r="D588" i="5"/>
  <c r="N587" i="5"/>
  <c r="F587" i="5"/>
  <c r="P586" i="5"/>
  <c r="H586" i="5"/>
  <c r="R585" i="5"/>
  <c r="J585" i="5"/>
  <c r="B585" i="5"/>
  <c r="L584" i="5"/>
  <c r="D584" i="5"/>
  <c r="N583" i="5"/>
  <c r="F583" i="5"/>
  <c r="P582" i="5"/>
  <c r="H582" i="5"/>
  <c r="R581" i="5"/>
  <c r="J581" i="5"/>
  <c r="B581" i="5"/>
  <c r="L580" i="5"/>
  <c r="D580" i="5"/>
  <c r="N579" i="5"/>
  <c r="F579" i="5"/>
  <c r="P578" i="5"/>
  <c r="H578" i="5"/>
  <c r="R577" i="5"/>
  <c r="J577" i="5"/>
  <c r="B577" i="5"/>
  <c r="L576" i="5"/>
  <c r="D576" i="5"/>
  <c r="N575" i="5"/>
  <c r="F575" i="5"/>
  <c r="P574" i="5"/>
  <c r="H574" i="5"/>
  <c r="R573" i="5"/>
  <c r="J573" i="5"/>
  <c r="B573" i="5"/>
  <c r="L572" i="5"/>
  <c r="D572" i="5"/>
  <c r="N571" i="5"/>
  <c r="F571" i="5"/>
  <c r="P570" i="5"/>
  <c r="H570" i="5"/>
  <c r="R569" i="5"/>
  <c r="J569" i="5"/>
  <c r="B569" i="5"/>
  <c r="L568" i="5"/>
  <c r="D568" i="5"/>
  <c r="N567" i="5"/>
  <c r="F567" i="5"/>
  <c r="P566" i="5"/>
  <c r="H566" i="5"/>
  <c r="R565" i="5"/>
  <c r="J565" i="5"/>
  <c r="B565" i="5"/>
  <c r="L564" i="5"/>
  <c r="D564" i="5"/>
  <c r="N563" i="5"/>
  <c r="F563" i="5"/>
  <c r="P562" i="5"/>
  <c r="H562" i="5"/>
  <c r="R561" i="5"/>
  <c r="J561" i="5"/>
  <c r="B561" i="5"/>
  <c r="L560" i="5"/>
  <c r="D560" i="5"/>
  <c r="N559" i="5"/>
  <c r="F559" i="5"/>
  <c r="P558" i="5"/>
  <c r="H558" i="5"/>
  <c r="R557" i="5"/>
  <c r="J557" i="5"/>
  <c r="B557" i="5"/>
  <c r="L556" i="5"/>
  <c r="D556" i="5"/>
  <c r="N555" i="5"/>
  <c r="F555" i="5"/>
  <c r="P554" i="5"/>
  <c r="H554" i="5"/>
  <c r="R553" i="5"/>
  <c r="J553" i="5"/>
  <c r="B553" i="5"/>
  <c r="L552" i="5"/>
  <c r="D552" i="5"/>
  <c r="N551" i="5"/>
  <c r="F551" i="5"/>
  <c r="P550" i="5"/>
  <c r="H550" i="5"/>
  <c r="R549" i="5"/>
  <c r="J549" i="5"/>
  <c r="B549" i="5"/>
  <c r="L548" i="5"/>
  <c r="D548" i="5"/>
  <c r="N547" i="5"/>
  <c r="F547" i="5"/>
  <c r="P546" i="5"/>
  <c r="H546" i="5"/>
  <c r="R545" i="5"/>
  <c r="J545" i="5"/>
  <c r="B545" i="5"/>
  <c r="L544" i="5"/>
  <c r="D544" i="5"/>
  <c r="N543" i="5"/>
  <c r="F543" i="5"/>
  <c r="P542" i="5"/>
  <c r="H542" i="5"/>
  <c r="R541" i="5"/>
  <c r="J541" i="5"/>
  <c r="B541" i="5"/>
  <c r="L540" i="5"/>
  <c r="D540" i="5"/>
  <c r="N539" i="5"/>
  <c r="F539" i="5"/>
  <c r="P538" i="5"/>
  <c r="H538" i="5"/>
  <c r="R537" i="5"/>
  <c r="J537" i="5"/>
  <c r="B537" i="5"/>
  <c r="L536" i="5"/>
  <c r="D536" i="5"/>
  <c r="N535" i="5"/>
  <c r="F535" i="5"/>
  <c r="P534" i="5"/>
  <c r="H534" i="5"/>
  <c r="R533" i="5"/>
  <c r="J533" i="5"/>
  <c r="B533" i="5"/>
  <c r="L532" i="5"/>
  <c r="D532" i="5"/>
  <c r="N531" i="5"/>
  <c r="F531" i="5"/>
  <c r="P530" i="5"/>
  <c r="H530" i="5"/>
  <c r="R529" i="5"/>
  <c r="J529" i="5"/>
  <c r="B529" i="5"/>
  <c r="L528" i="5"/>
  <c r="D528" i="5"/>
  <c r="N527" i="5"/>
  <c r="F527" i="5"/>
  <c r="P526" i="5"/>
  <c r="H526" i="5"/>
  <c r="R525" i="5"/>
  <c r="J525" i="5"/>
  <c r="B525" i="5"/>
  <c r="L524" i="5"/>
  <c r="D524" i="5"/>
  <c r="N523" i="5"/>
  <c r="F523" i="5"/>
  <c r="P522" i="5"/>
  <c r="H522" i="5"/>
  <c r="R521" i="5"/>
  <c r="J521" i="5"/>
  <c r="B521" i="5"/>
  <c r="L520" i="5"/>
  <c r="D520" i="5"/>
  <c r="N519" i="5"/>
  <c r="F519" i="5"/>
  <c r="P518" i="5"/>
  <c r="H518" i="5"/>
  <c r="R517" i="5"/>
  <c r="J517" i="5"/>
  <c r="B517" i="5"/>
  <c r="L516" i="5"/>
  <c r="D516" i="5"/>
  <c r="N515" i="5"/>
  <c r="F515" i="5"/>
  <c r="P514" i="5"/>
  <c r="H514" i="5"/>
  <c r="R513" i="5"/>
  <c r="J513" i="5"/>
  <c r="B513" i="5"/>
  <c r="L512" i="5"/>
  <c r="D512" i="5"/>
  <c r="N511" i="5"/>
  <c r="F511" i="5"/>
  <c r="P510" i="5"/>
  <c r="H510" i="5"/>
  <c r="R509" i="5"/>
  <c r="J509" i="5"/>
  <c r="B509" i="5"/>
  <c r="L508" i="5"/>
  <c r="D508" i="5"/>
  <c r="N507" i="5"/>
  <c r="F507" i="5"/>
  <c r="P506" i="5"/>
  <c r="H506" i="5"/>
  <c r="R505" i="5"/>
  <c r="J505" i="5"/>
  <c r="B505" i="5"/>
  <c r="L504" i="5"/>
  <c r="D504" i="5"/>
  <c r="N503" i="5"/>
  <c r="F503" i="5"/>
  <c r="P502" i="5"/>
  <c r="H502" i="5"/>
  <c r="R501" i="5"/>
  <c r="J501" i="5"/>
  <c r="B501" i="5"/>
  <c r="L500" i="5"/>
  <c r="D500" i="5"/>
  <c r="N499" i="5"/>
  <c r="F499" i="5"/>
  <c r="P498" i="5"/>
  <c r="H498" i="5"/>
  <c r="R497" i="5"/>
  <c r="J497" i="5"/>
  <c r="B497" i="5"/>
  <c r="L496" i="5"/>
  <c r="D496" i="5"/>
  <c r="N495" i="5"/>
  <c r="F495" i="5"/>
  <c r="P494" i="5"/>
  <c r="H494" i="5"/>
  <c r="R493" i="5"/>
  <c r="J493" i="5"/>
  <c r="B493" i="5"/>
  <c r="L492" i="5"/>
  <c r="D492" i="5"/>
  <c r="N491" i="5"/>
  <c r="F491" i="5"/>
  <c r="P490" i="5"/>
  <c r="H490" i="5"/>
  <c r="R489" i="5"/>
  <c r="J489" i="5"/>
  <c r="B489" i="5"/>
  <c r="L488" i="5"/>
  <c r="D488" i="5"/>
  <c r="N487" i="5"/>
  <c r="F487" i="5"/>
  <c r="P486" i="5"/>
  <c r="H486" i="5"/>
  <c r="R485" i="5"/>
  <c r="J485" i="5"/>
  <c r="B485" i="5"/>
  <c r="L484" i="5"/>
  <c r="D484" i="5"/>
  <c r="N483" i="5"/>
  <c r="F483" i="5"/>
  <c r="P482" i="5"/>
  <c r="H482" i="5"/>
  <c r="R481" i="5"/>
  <c r="J481" i="5"/>
  <c r="B481" i="5"/>
  <c r="L480" i="5"/>
  <c r="D480" i="5"/>
  <c r="N479" i="5"/>
  <c r="F479" i="5"/>
  <c r="P478" i="5"/>
  <c r="H478" i="5"/>
  <c r="R477" i="5"/>
  <c r="J477" i="5"/>
  <c r="B477" i="5"/>
  <c r="L476" i="5"/>
  <c r="D476" i="5"/>
  <c r="N475" i="5"/>
  <c r="F475" i="5"/>
  <c r="P474" i="5"/>
  <c r="H474" i="5"/>
  <c r="R473" i="5"/>
  <c r="J473" i="5"/>
  <c r="B473" i="5"/>
  <c r="L472" i="5"/>
  <c r="D472" i="5"/>
  <c r="N471" i="5"/>
  <c r="F471" i="5"/>
  <c r="P470" i="5"/>
  <c r="H470" i="5"/>
  <c r="R469" i="5"/>
  <c r="J469" i="5"/>
  <c r="B469" i="5"/>
  <c r="L468" i="5"/>
  <c r="D468" i="5"/>
  <c r="N467" i="5"/>
  <c r="F467" i="5"/>
  <c r="P466" i="5"/>
  <c r="H466" i="5"/>
  <c r="R465" i="5"/>
  <c r="J465" i="5"/>
  <c r="B465" i="5"/>
  <c r="L464" i="5"/>
  <c r="D464" i="5"/>
  <c r="N463" i="5"/>
  <c r="F463" i="5"/>
  <c r="P462" i="5"/>
  <c r="H462" i="5"/>
  <c r="R461" i="5"/>
  <c r="J461" i="5"/>
  <c r="B461" i="5"/>
  <c r="D772" i="5"/>
  <c r="S757" i="5"/>
  <c r="K751" i="5"/>
  <c r="C745" i="5"/>
  <c r="O738" i="5"/>
  <c r="G732" i="5"/>
  <c r="S725" i="5"/>
  <c r="L719" i="5"/>
  <c r="K717" i="5"/>
  <c r="S715" i="5"/>
  <c r="G714" i="5"/>
  <c r="O712" i="5"/>
  <c r="C711" i="5"/>
  <c r="K709" i="5"/>
  <c r="S707" i="5"/>
  <c r="G706" i="5"/>
  <c r="O704" i="5"/>
  <c r="C703" i="5"/>
  <c r="K701" i="5"/>
  <c r="S699" i="5"/>
  <c r="G698" i="5"/>
  <c r="O696" i="5"/>
  <c r="C695" i="5"/>
  <c r="K693" i="5"/>
  <c r="S691" i="5"/>
  <c r="G690" i="5"/>
  <c r="O688" i="5"/>
  <c r="C687" i="5"/>
  <c r="K685" i="5"/>
  <c r="S683" i="5"/>
  <c r="G682" i="5"/>
  <c r="O680" i="5"/>
  <c r="C679" i="5"/>
  <c r="K677" i="5"/>
  <c r="S675" i="5"/>
  <c r="G674" i="5"/>
  <c r="O672" i="5"/>
  <c r="C671" i="5"/>
  <c r="K669" i="5"/>
  <c r="S667" i="5"/>
  <c r="G666" i="5"/>
  <c r="O664" i="5"/>
  <c r="C663" i="5"/>
  <c r="K661" i="5"/>
  <c r="S659" i="5"/>
  <c r="G658" i="5"/>
  <c r="O656" i="5"/>
  <c r="C655" i="5"/>
  <c r="K653" i="5"/>
  <c r="S651" i="5"/>
  <c r="G650" i="5"/>
  <c r="O648" i="5"/>
  <c r="C647" i="5"/>
  <c r="K645" i="5"/>
  <c r="S643" i="5"/>
  <c r="G642" i="5"/>
  <c r="O640" i="5"/>
  <c r="C639" i="5"/>
  <c r="K637" i="5"/>
  <c r="S635" i="5"/>
  <c r="G634" i="5"/>
  <c r="A633" i="5"/>
  <c r="E632" i="5"/>
  <c r="I631" i="5"/>
  <c r="A631" i="5"/>
  <c r="M630" i="5"/>
  <c r="E630" i="5"/>
  <c r="Q629" i="5"/>
  <c r="I629" i="5"/>
  <c r="A629" i="5"/>
  <c r="M628" i="5"/>
  <c r="E628" i="5"/>
  <c r="Q627" i="5"/>
  <c r="I627" i="5"/>
  <c r="A627" i="5"/>
  <c r="M626" i="5"/>
  <c r="E626" i="5"/>
  <c r="Q625" i="5"/>
  <c r="I625" i="5"/>
  <c r="A625" i="5"/>
  <c r="M624" i="5"/>
  <c r="E624" i="5"/>
  <c r="Q623" i="5"/>
  <c r="I623" i="5"/>
  <c r="A623" i="5"/>
  <c r="M622" i="5"/>
  <c r="E622" i="5"/>
  <c r="Q621" i="5"/>
  <c r="I621" i="5"/>
  <c r="A621" i="5"/>
  <c r="M620" i="5"/>
  <c r="E620" i="5"/>
  <c r="Q619" i="5"/>
  <c r="I619" i="5"/>
  <c r="A619" i="5"/>
  <c r="M618" i="5"/>
  <c r="E618" i="5"/>
  <c r="Q617" i="5"/>
  <c r="I617" i="5"/>
  <c r="A617" i="5"/>
  <c r="M616" i="5"/>
  <c r="E616" i="5"/>
  <c r="Q615" i="5"/>
  <c r="I615" i="5"/>
  <c r="A615" i="5"/>
  <c r="M614" i="5"/>
  <c r="E614" i="5"/>
  <c r="Q613" i="5"/>
  <c r="I613" i="5"/>
  <c r="A613" i="5"/>
  <c r="M612" i="5"/>
  <c r="E612" i="5"/>
  <c r="Q611" i="5"/>
  <c r="I611" i="5"/>
  <c r="A611" i="5"/>
  <c r="M610" i="5"/>
  <c r="E610" i="5"/>
  <c r="Q609" i="5"/>
  <c r="I609" i="5"/>
  <c r="A609" i="5"/>
  <c r="M608" i="5"/>
  <c r="E608" i="5"/>
  <c r="Q607" i="5"/>
  <c r="I607" i="5"/>
  <c r="A607" i="5"/>
  <c r="M606" i="5"/>
  <c r="E606" i="5"/>
  <c r="Q605" i="5"/>
  <c r="I605" i="5"/>
  <c r="A605" i="5"/>
  <c r="M604" i="5"/>
  <c r="E604" i="5"/>
  <c r="Q603" i="5"/>
  <c r="I603" i="5"/>
  <c r="A603" i="5"/>
  <c r="M602" i="5"/>
  <c r="E602" i="5"/>
  <c r="Q601" i="5"/>
  <c r="I601" i="5"/>
  <c r="A601" i="5"/>
  <c r="M600" i="5"/>
  <c r="E600" i="5"/>
  <c r="Q599" i="5"/>
  <c r="I599" i="5"/>
  <c r="A599" i="5"/>
  <c r="M598" i="5"/>
  <c r="E598" i="5"/>
  <c r="Q597" i="5"/>
  <c r="I597" i="5"/>
  <c r="A597" i="5"/>
  <c r="M596" i="5"/>
  <c r="E596" i="5"/>
  <c r="Q595" i="5"/>
  <c r="I595" i="5"/>
  <c r="A595" i="5"/>
  <c r="M594" i="5"/>
  <c r="E594" i="5"/>
  <c r="Q593" i="5"/>
  <c r="I593" i="5"/>
  <c r="A593" i="5"/>
  <c r="M592" i="5"/>
  <c r="E592" i="5"/>
  <c r="Q591" i="5"/>
  <c r="I591" i="5"/>
  <c r="A591" i="5"/>
  <c r="M590" i="5"/>
  <c r="E590" i="5"/>
  <c r="Q589" i="5"/>
  <c r="I589" i="5"/>
  <c r="A589" i="5"/>
  <c r="M588" i="5"/>
  <c r="E588" i="5"/>
  <c r="Q587" i="5"/>
  <c r="I587" i="5"/>
  <c r="A587" i="5"/>
  <c r="M586" i="5"/>
  <c r="E586" i="5"/>
  <c r="Q585" i="5"/>
  <c r="I585" i="5"/>
  <c r="A585" i="5"/>
  <c r="M584" i="5"/>
  <c r="E584" i="5"/>
  <c r="Q583" i="5"/>
  <c r="I583" i="5"/>
  <c r="A583" i="5"/>
  <c r="M582" i="5"/>
  <c r="E582" i="5"/>
  <c r="Q581" i="5"/>
  <c r="I581" i="5"/>
  <c r="A581" i="5"/>
  <c r="M580" i="5"/>
  <c r="Q579" i="5"/>
  <c r="A579" i="5"/>
  <c r="E578" i="5"/>
  <c r="I577" i="5"/>
  <c r="M576" i="5"/>
  <c r="Q575" i="5"/>
  <c r="A575" i="5"/>
  <c r="E574" i="5"/>
  <c r="I573" i="5"/>
  <c r="M572" i="5"/>
  <c r="Q571" i="5"/>
  <c r="A571" i="5"/>
  <c r="E570" i="5"/>
  <c r="I569" i="5"/>
  <c r="M568" i="5"/>
  <c r="Q567" i="5"/>
  <c r="A567" i="5"/>
  <c r="E566" i="5"/>
  <c r="I565" i="5"/>
  <c r="M564" i="5"/>
  <c r="Q563" i="5"/>
  <c r="A563" i="5"/>
  <c r="E562" i="5"/>
  <c r="I561" i="5"/>
  <c r="M560" i="5"/>
  <c r="Q559" i="5"/>
  <c r="A559" i="5"/>
  <c r="E558" i="5"/>
  <c r="I557" i="5"/>
  <c r="M556" i="5"/>
  <c r="Q555" i="5"/>
  <c r="A555" i="5"/>
  <c r="E554" i="5"/>
  <c r="I553" i="5"/>
  <c r="M552" i="5"/>
  <c r="Q551" i="5"/>
  <c r="A551" i="5"/>
  <c r="E550" i="5"/>
  <c r="I549" i="5"/>
  <c r="M548" i="5"/>
  <c r="Q547" i="5"/>
  <c r="A547" i="5"/>
  <c r="E546" i="5"/>
  <c r="I545" i="5"/>
  <c r="M544" i="5"/>
  <c r="Q543" i="5"/>
  <c r="A543" i="5"/>
  <c r="E542" i="5"/>
  <c r="I541" i="5"/>
  <c r="M540" i="5"/>
  <c r="Q539" i="5"/>
  <c r="A539" i="5"/>
  <c r="E538" i="5"/>
  <c r="I537" i="5"/>
  <c r="M536" i="5"/>
  <c r="Q535" i="5"/>
  <c r="A535" i="5"/>
  <c r="E534" i="5"/>
  <c r="I533" i="5"/>
  <c r="M532" i="5"/>
  <c r="Q531" i="5"/>
  <c r="A531" i="5"/>
  <c r="E530" i="5"/>
  <c r="I529" i="5"/>
  <c r="M528" i="5"/>
  <c r="Q527" i="5"/>
  <c r="A527" i="5"/>
  <c r="E526" i="5"/>
  <c r="I525" i="5"/>
  <c r="M524" i="5"/>
  <c r="Q523" i="5"/>
  <c r="A523" i="5"/>
  <c r="E522" i="5"/>
  <c r="I521" i="5"/>
  <c r="M520" i="5"/>
  <c r="Q519" i="5"/>
  <c r="A519" i="5"/>
  <c r="E518" i="5"/>
  <c r="I517" i="5"/>
  <c r="M516" i="5"/>
  <c r="Q515" i="5"/>
  <c r="A515" i="5"/>
  <c r="E514" i="5"/>
  <c r="I513" i="5"/>
  <c r="M512" i="5"/>
  <c r="Q511" i="5"/>
  <c r="A511" i="5"/>
  <c r="E510" i="5"/>
  <c r="I509" i="5"/>
  <c r="M508" i="5"/>
  <c r="Q507" i="5"/>
  <c r="A507" i="5"/>
  <c r="E506" i="5"/>
  <c r="I505" i="5"/>
  <c r="M504" i="5"/>
  <c r="Q503" i="5"/>
  <c r="A503" i="5"/>
  <c r="E502" i="5"/>
  <c r="I501" i="5"/>
  <c r="M500" i="5"/>
  <c r="Q499" i="5"/>
  <c r="A499" i="5"/>
  <c r="E498" i="5"/>
  <c r="I497" i="5"/>
  <c r="M496" i="5"/>
  <c r="Q495" i="5"/>
  <c r="A495" i="5"/>
  <c r="E494" i="5"/>
  <c r="I493" i="5"/>
  <c r="M492" i="5"/>
  <c r="Q491" i="5"/>
  <c r="A491" i="5"/>
  <c r="E490" i="5"/>
  <c r="I489" i="5"/>
  <c r="M488" i="5"/>
  <c r="Q487" i="5"/>
  <c r="A487" i="5"/>
  <c r="E486" i="5"/>
  <c r="I485" i="5"/>
  <c r="M484" i="5"/>
  <c r="Q483" i="5"/>
  <c r="A483" i="5"/>
  <c r="E482" i="5"/>
  <c r="I481" i="5"/>
  <c r="M480" i="5"/>
  <c r="Q479" i="5"/>
  <c r="A479" i="5"/>
  <c r="E478" i="5"/>
  <c r="I477" i="5"/>
  <c r="M476" i="5"/>
  <c r="Q475" i="5"/>
  <c r="A475" i="5"/>
  <c r="E474" i="5"/>
  <c r="I473" i="5"/>
  <c r="M472" i="5"/>
  <c r="Q471" i="5"/>
  <c r="A471" i="5"/>
  <c r="E470" i="5"/>
  <c r="I469" i="5"/>
  <c r="M468" i="5"/>
  <c r="Q467" i="5"/>
  <c r="A467" i="5"/>
  <c r="E466" i="5"/>
  <c r="I465" i="5"/>
  <c r="M464" i="5"/>
  <c r="Q463" i="5"/>
  <c r="A463" i="5"/>
  <c r="E462" i="5"/>
  <c r="I461" i="5"/>
  <c r="N460" i="5"/>
  <c r="F460" i="5"/>
  <c r="P459" i="5"/>
  <c r="H459" i="5"/>
  <c r="R458" i="5"/>
  <c r="J458" i="5"/>
  <c r="B458" i="5"/>
  <c r="L457" i="5"/>
  <c r="D457" i="5"/>
  <c r="N456" i="5"/>
  <c r="F456" i="5"/>
  <c r="P455" i="5"/>
  <c r="H455" i="5"/>
  <c r="R454" i="5"/>
  <c r="J454" i="5"/>
  <c r="B454" i="5"/>
  <c r="L453" i="5"/>
  <c r="D453" i="5"/>
  <c r="N452" i="5"/>
  <c r="F452" i="5"/>
  <c r="P451" i="5"/>
  <c r="H451" i="5"/>
  <c r="R450" i="5"/>
  <c r="J450" i="5"/>
  <c r="B450" i="5"/>
  <c r="L449" i="5"/>
  <c r="D449" i="5"/>
  <c r="N448" i="5"/>
  <c r="F448" i="5"/>
  <c r="P447" i="5"/>
  <c r="H447" i="5"/>
  <c r="R446" i="5"/>
  <c r="J446" i="5"/>
  <c r="B446" i="5"/>
  <c r="L445" i="5"/>
  <c r="D445" i="5"/>
  <c r="N444" i="5"/>
  <c r="F444" i="5"/>
  <c r="P443" i="5"/>
  <c r="H443" i="5"/>
  <c r="R442" i="5"/>
  <c r="J442" i="5"/>
  <c r="B442" i="5"/>
  <c r="L441" i="5"/>
  <c r="D441" i="5"/>
  <c r="N440" i="5"/>
  <c r="F440" i="5"/>
  <c r="P439" i="5"/>
  <c r="H439" i="5"/>
  <c r="R438" i="5"/>
  <c r="J438" i="5"/>
  <c r="B438" i="5"/>
  <c r="L437" i="5"/>
  <c r="D437" i="5"/>
  <c r="N436" i="5"/>
  <c r="F436" i="5"/>
  <c r="R435" i="5"/>
  <c r="N435" i="5"/>
  <c r="J435" i="5"/>
  <c r="F435" i="5"/>
  <c r="B435" i="5"/>
  <c r="P434" i="5"/>
  <c r="L434" i="5"/>
  <c r="H434" i="5"/>
  <c r="D434" i="5"/>
  <c r="R433" i="5"/>
  <c r="N433" i="5"/>
  <c r="J433" i="5"/>
  <c r="F433" i="5"/>
  <c r="B433" i="5"/>
  <c r="P432" i="5"/>
  <c r="L432" i="5"/>
  <c r="H432" i="5"/>
  <c r="D432" i="5"/>
  <c r="R431" i="5"/>
  <c r="N431" i="5"/>
  <c r="J431" i="5"/>
  <c r="F431" i="5"/>
  <c r="B431" i="5"/>
  <c r="P430" i="5"/>
  <c r="L430" i="5"/>
  <c r="H430" i="5"/>
  <c r="D430" i="5"/>
  <c r="R429" i="5"/>
  <c r="N429" i="5"/>
  <c r="J429" i="5"/>
  <c r="F429" i="5"/>
  <c r="B429" i="5"/>
  <c r="P428" i="5"/>
  <c r="L428" i="5"/>
  <c r="H428" i="5"/>
  <c r="D428" i="5"/>
  <c r="R427" i="5"/>
  <c r="N427" i="5"/>
  <c r="J427" i="5"/>
  <c r="F427" i="5"/>
  <c r="B427" i="5"/>
  <c r="P426" i="5"/>
  <c r="L426" i="5"/>
  <c r="H426" i="5"/>
  <c r="D426" i="5"/>
  <c r="R425" i="5"/>
  <c r="N425" i="5"/>
  <c r="J425" i="5"/>
  <c r="F425" i="5"/>
  <c r="B425" i="5"/>
  <c r="P424" i="5"/>
  <c r="L424" i="5"/>
  <c r="H424" i="5"/>
  <c r="D424" i="5"/>
  <c r="R423" i="5"/>
  <c r="N423" i="5"/>
  <c r="J423" i="5"/>
  <c r="F423" i="5"/>
  <c r="B423" i="5"/>
  <c r="P422" i="5"/>
  <c r="L422" i="5"/>
  <c r="H422" i="5"/>
  <c r="D422" i="5"/>
  <c r="R421" i="5"/>
  <c r="N421" i="5"/>
  <c r="J421" i="5"/>
  <c r="F421" i="5"/>
  <c r="B421" i="5"/>
  <c r="P420" i="5"/>
  <c r="L420" i="5"/>
  <c r="H420" i="5"/>
  <c r="D420" i="5"/>
  <c r="R419" i="5"/>
  <c r="N419" i="5"/>
  <c r="J419" i="5"/>
  <c r="F419" i="5"/>
  <c r="B419" i="5"/>
  <c r="P418" i="5"/>
  <c r="L418" i="5"/>
  <c r="H418" i="5"/>
  <c r="D418" i="5"/>
  <c r="R417" i="5"/>
  <c r="N417" i="5"/>
  <c r="J417" i="5"/>
  <c r="F417" i="5"/>
  <c r="B417" i="5"/>
  <c r="P416" i="5"/>
  <c r="L416" i="5"/>
  <c r="H416" i="5"/>
  <c r="D416" i="5"/>
  <c r="R415" i="5"/>
  <c r="N415" i="5"/>
  <c r="J415" i="5"/>
  <c r="F415" i="5"/>
  <c r="B415" i="5"/>
  <c r="P414" i="5"/>
  <c r="L414" i="5"/>
  <c r="H414" i="5"/>
  <c r="D414" i="5"/>
  <c r="R413" i="5"/>
  <c r="N413" i="5"/>
  <c r="J413" i="5"/>
  <c r="F413" i="5"/>
  <c r="B413" i="5"/>
  <c r="P412" i="5"/>
  <c r="L412" i="5"/>
  <c r="H412" i="5"/>
  <c r="D412" i="5"/>
  <c r="R411" i="5"/>
  <c r="N411" i="5"/>
  <c r="J411" i="5"/>
  <c r="F411" i="5"/>
  <c r="B411" i="5"/>
  <c r="P410" i="5"/>
  <c r="L410" i="5"/>
  <c r="H410" i="5"/>
  <c r="D410" i="5"/>
  <c r="R409" i="5"/>
  <c r="N409" i="5"/>
  <c r="J409" i="5"/>
  <c r="F409" i="5"/>
  <c r="B409" i="5"/>
  <c r="P408" i="5"/>
  <c r="L408" i="5"/>
  <c r="H408" i="5"/>
  <c r="D408" i="5"/>
  <c r="R407" i="5"/>
  <c r="N407" i="5"/>
  <c r="J407" i="5"/>
  <c r="F407" i="5"/>
  <c r="B407" i="5"/>
  <c r="P406" i="5"/>
  <c r="L406" i="5"/>
  <c r="H406" i="5"/>
  <c r="D406" i="5"/>
  <c r="R405" i="5"/>
  <c r="N405" i="5"/>
  <c r="J405" i="5"/>
  <c r="F405" i="5"/>
  <c r="B405" i="5"/>
  <c r="P404" i="5"/>
  <c r="L404" i="5"/>
  <c r="H404" i="5"/>
  <c r="D404" i="5"/>
  <c r="R403" i="5"/>
  <c r="N403" i="5"/>
  <c r="J403" i="5"/>
  <c r="F403" i="5"/>
  <c r="B403" i="5"/>
  <c r="P402" i="5"/>
  <c r="L402" i="5"/>
  <c r="H402" i="5"/>
  <c r="D402" i="5"/>
  <c r="R401" i="5"/>
  <c r="N401" i="5"/>
  <c r="J401" i="5"/>
  <c r="F401" i="5"/>
  <c r="B401" i="5"/>
  <c r="P400" i="5"/>
  <c r="L400" i="5"/>
  <c r="H400" i="5"/>
  <c r="D400" i="5"/>
  <c r="R399" i="5"/>
  <c r="N399" i="5"/>
  <c r="J399" i="5"/>
  <c r="F399" i="5"/>
  <c r="B399" i="5"/>
  <c r="P398" i="5"/>
  <c r="L398" i="5"/>
  <c r="H398" i="5"/>
  <c r="D398" i="5"/>
  <c r="R397" i="5"/>
  <c r="N397" i="5"/>
  <c r="J397" i="5"/>
  <c r="F397" i="5"/>
  <c r="B397" i="5"/>
  <c r="P396" i="5"/>
  <c r="L396" i="5"/>
  <c r="H396" i="5"/>
  <c r="D396" i="5"/>
  <c r="R395" i="5"/>
  <c r="N395" i="5"/>
  <c r="J395" i="5"/>
  <c r="F395" i="5"/>
  <c r="B395" i="5"/>
  <c r="P394" i="5"/>
  <c r="L394" i="5"/>
  <c r="H394" i="5"/>
  <c r="D394" i="5"/>
  <c r="R393" i="5"/>
  <c r="N393" i="5"/>
  <c r="J393" i="5"/>
  <c r="F393" i="5"/>
  <c r="B393" i="5"/>
  <c r="P392" i="5"/>
  <c r="L392" i="5"/>
  <c r="H392" i="5"/>
  <c r="D392" i="5"/>
  <c r="R391" i="5"/>
  <c r="N391" i="5"/>
  <c r="J391" i="5"/>
  <c r="F391" i="5"/>
  <c r="B391" i="5"/>
  <c r="P390" i="5"/>
  <c r="L390" i="5"/>
  <c r="H390" i="5"/>
  <c r="D390" i="5"/>
  <c r="R389" i="5"/>
  <c r="N389" i="5"/>
  <c r="J389" i="5"/>
  <c r="F389" i="5"/>
  <c r="B389" i="5"/>
  <c r="P388" i="5"/>
  <c r="L388" i="5"/>
  <c r="H388" i="5"/>
  <c r="D388" i="5"/>
  <c r="R387" i="5"/>
  <c r="N387" i="5"/>
  <c r="J387" i="5"/>
  <c r="F387" i="5"/>
  <c r="B387" i="5"/>
  <c r="P386" i="5"/>
  <c r="L386" i="5"/>
  <c r="H386" i="5"/>
  <c r="D386" i="5"/>
  <c r="R385" i="5"/>
  <c r="N385" i="5"/>
  <c r="J385" i="5"/>
  <c r="F385" i="5"/>
  <c r="B385" i="5"/>
  <c r="P384" i="5"/>
  <c r="L384" i="5"/>
  <c r="H384" i="5"/>
  <c r="D384" i="5"/>
  <c r="R383" i="5"/>
  <c r="N383" i="5"/>
  <c r="J383" i="5"/>
  <c r="F383" i="5"/>
  <c r="B383" i="5"/>
  <c r="P382" i="5"/>
  <c r="L382" i="5"/>
  <c r="H382" i="5"/>
  <c r="D382" i="5"/>
  <c r="R381" i="5"/>
  <c r="N381" i="5"/>
  <c r="J381" i="5"/>
  <c r="F381" i="5"/>
  <c r="B381" i="5"/>
  <c r="P380" i="5"/>
  <c r="L380" i="5"/>
  <c r="H380" i="5"/>
  <c r="D380" i="5"/>
  <c r="R379" i="5"/>
  <c r="N379" i="5"/>
  <c r="J379" i="5"/>
  <c r="F379" i="5"/>
  <c r="B379" i="5"/>
  <c r="P378" i="5"/>
  <c r="L378" i="5"/>
  <c r="H378" i="5"/>
  <c r="D378" i="5"/>
  <c r="R377" i="5"/>
  <c r="N377" i="5"/>
  <c r="J377" i="5"/>
  <c r="F377" i="5"/>
  <c r="B377" i="5"/>
  <c r="P376" i="5"/>
  <c r="L376" i="5"/>
  <c r="H376" i="5"/>
  <c r="D376" i="5"/>
  <c r="R375" i="5"/>
  <c r="N375" i="5"/>
  <c r="J375" i="5"/>
  <c r="F375" i="5"/>
  <c r="B375" i="5"/>
  <c r="P374" i="5"/>
  <c r="L374" i="5"/>
  <c r="H374" i="5"/>
  <c r="D374" i="5"/>
  <c r="R373" i="5"/>
  <c r="N373" i="5"/>
  <c r="J373" i="5"/>
  <c r="F373" i="5"/>
  <c r="B373" i="5"/>
  <c r="P372" i="5"/>
  <c r="L372" i="5"/>
  <c r="H372" i="5"/>
  <c r="D372" i="5"/>
  <c r="R371" i="5"/>
  <c r="N371" i="5"/>
  <c r="J371" i="5"/>
  <c r="F371" i="5"/>
  <c r="B371" i="5"/>
  <c r="P370" i="5"/>
  <c r="L370" i="5"/>
  <c r="H370" i="5"/>
  <c r="D370" i="5"/>
  <c r="R369" i="5"/>
  <c r="N369" i="5"/>
  <c r="J369" i="5"/>
  <c r="F369" i="5"/>
  <c r="B369" i="5"/>
  <c r="P368" i="5"/>
  <c r="L368" i="5"/>
  <c r="H368" i="5"/>
  <c r="D368" i="5"/>
  <c r="R367" i="5"/>
  <c r="N367" i="5"/>
  <c r="J367" i="5"/>
  <c r="F367" i="5"/>
  <c r="B367" i="5"/>
  <c r="P366" i="5"/>
  <c r="L366" i="5"/>
  <c r="H366" i="5"/>
  <c r="D366" i="5"/>
  <c r="R365" i="5"/>
  <c r="N365" i="5"/>
  <c r="J365" i="5"/>
  <c r="F365" i="5"/>
  <c r="B365" i="5"/>
  <c r="P364" i="5"/>
  <c r="L364" i="5"/>
  <c r="H364" i="5"/>
  <c r="D364" i="5"/>
  <c r="R363" i="5"/>
  <c r="N363" i="5"/>
  <c r="J363" i="5"/>
  <c r="F363" i="5"/>
  <c r="B363" i="5"/>
  <c r="P362" i="5"/>
  <c r="L362" i="5"/>
  <c r="H362" i="5"/>
  <c r="D362" i="5"/>
  <c r="R361" i="5"/>
  <c r="N361" i="5"/>
  <c r="J361" i="5"/>
  <c r="F361" i="5"/>
  <c r="B361" i="5"/>
  <c r="P360" i="5"/>
  <c r="L360" i="5"/>
  <c r="H360" i="5"/>
  <c r="D360" i="5"/>
  <c r="R359" i="5"/>
  <c r="N359" i="5"/>
  <c r="J359" i="5"/>
  <c r="F359" i="5"/>
  <c r="B359" i="5"/>
  <c r="P358" i="5"/>
  <c r="L358" i="5"/>
  <c r="H358" i="5"/>
  <c r="D358" i="5"/>
  <c r="R357" i="5"/>
  <c r="N357" i="5"/>
  <c r="J357" i="5"/>
  <c r="F357" i="5"/>
  <c r="B357" i="5"/>
  <c r="P356" i="5"/>
  <c r="L356" i="5"/>
  <c r="H356" i="5"/>
  <c r="D356" i="5"/>
  <c r="R355" i="5"/>
  <c r="N355" i="5"/>
  <c r="J355" i="5"/>
  <c r="F355" i="5"/>
  <c r="B355" i="5"/>
  <c r="P354" i="5"/>
  <c r="L354" i="5"/>
  <c r="H354" i="5"/>
  <c r="D354" i="5"/>
  <c r="R353" i="5"/>
  <c r="N353" i="5"/>
  <c r="J353" i="5"/>
  <c r="F353" i="5"/>
  <c r="B353" i="5"/>
  <c r="P352" i="5"/>
  <c r="L352" i="5"/>
  <c r="H352" i="5"/>
  <c r="D352" i="5"/>
  <c r="R351" i="5"/>
  <c r="N351" i="5"/>
  <c r="J351" i="5"/>
  <c r="K580" i="5"/>
  <c r="C580" i="5"/>
  <c r="O579" i="5"/>
  <c r="G579" i="5"/>
  <c r="S578" i="5"/>
  <c r="K578" i="5"/>
  <c r="C578" i="5"/>
  <c r="O577" i="5"/>
  <c r="G577" i="5"/>
  <c r="S576" i="5"/>
  <c r="K576" i="5"/>
  <c r="C576" i="5"/>
  <c r="O575" i="5"/>
  <c r="G575" i="5"/>
  <c r="S574" i="5"/>
  <c r="K574" i="5"/>
  <c r="C574" i="5"/>
  <c r="O573" i="5"/>
  <c r="G573" i="5"/>
  <c r="S572" i="5"/>
  <c r="K572" i="5"/>
  <c r="C572" i="5"/>
  <c r="O571" i="5"/>
  <c r="G571" i="5"/>
  <c r="S570" i="5"/>
  <c r="K570" i="5"/>
  <c r="C570" i="5"/>
  <c r="O569" i="5"/>
  <c r="G569" i="5"/>
  <c r="S568" i="5"/>
  <c r="K568" i="5"/>
  <c r="C568" i="5"/>
  <c r="O567" i="5"/>
  <c r="G567" i="5"/>
  <c r="S566" i="5"/>
  <c r="K566" i="5"/>
  <c r="C566" i="5"/>
  <c r="O565" i="5"/>
  <c r="G565" i="5"/>
  <c r="S564" i="5"/>
  <c r="K564" i="5"/>
  <c r="C564" i="5"/>
  <c r="O563" i="5"/>
  <c r="G563" i="5"/>
  <c r="S562" i="5"/>
  <c r="K562" i="5"/>
  <c r="C562" i="5"/>
  <c r="O561" i="5"/>
  <c r="G561" i="5"/>
  <c r="S560" i="5"/>
  <c r="K560" i="5"/>
  <c r="C560" i="5"/>
  <c r="O559" i="5"/>
  <c r="G559" i="5"/>
  <c r="S558" i="5"/>
  <c r="K558" i="5"/>
  <c r="C558" i="5"/>
  <c r="O557" i="5"/>
  <c r="G557" i="5"/>
  <c r="S556" i="5"/>
  <c r="K556" i="5"/>
  <c r="C556" i="5"/>
  <c r="O555" i="5"/>
  <c r="G555" i="5"/>
  <c r="S554" i="5"/>
  <c r="K554" i="5"/>
  <c r="C554" i="5"/>
  <c r="O553" i="5"/>
  <c r="G553" i="5"/>
  <c r="S552" i="5"/>
  <c r="K552" i="5"/>
  <c r="C552" i="5"/>
  <c r="O551" i="5"/>
  <c r="G551" i="5"/>
  <c r="S550" i="5"/>
  <c r="K550" i="5"/>
  <c r="C550" i="5"/>
  <c r="O549" i="5"/>
  <c r="G549" i="5"/>
  <c r="S548" i="5"/>
  <c r="K548" i="5"/>
  <c r="C548" i="5"/>
  <c r="O547" i="5"/>
  <c r="G547" i="5"/>
  <c r="S546" i="5"/>
  <c r="K546" i="5"/>
  <c r="C546" i="5"/>
  <c r="O545" i="5"/>
  <c r="G545" i="5"/>
  <c r="S544" i="5"/>
  <c r="K544" i="5"/>
  <c r="C544" i="5"/>
  <c r="O543" i="5"/>
  <c r="G543" i="5"/>
  <c r="S542" i="5"/>
  <c r="K542" i="5"/>
  <c r="C542" i="5"/>
  <c r="O541" i="5"/>
  <c r="G541" i="5"/>
  <c r="S540" i="5"/>
  <c r="K540" i="5"/>
  <c r="C540" i="5"/>
  <c r="O539" i="5"/>
  <c r="G539" i="5"/>
  <c r="S538" i="5"/>
  <c r="K538" i="5"/>
  <c r="C538" i="5"/>
  <c r="O537" i="5"/>
  <c r="G537" i="5"/>
  <c r="S536" i="5"/>
  <c r="K536" i="5"/>
  <c r="C536" i="5"/>
  <c r="O535" i="5"/>
  <c r="G535" i="5"/>
  <c r="S534" i="5"/>
  <c r="K534" i="5"/>
  <c r="C534" i="5"/>
  <c r="O533" i="5"/>
  <c r="G533" i="5"/>
  <c r="S532" i="5"/>
  <c r="K532" i="5"/>
  <c r="C532" i="5"/>
  <c r="O531" i="5"/>
  <c r="G531" i="5"/>
  <c r="S530" i="5"/>
  <c r="K530" i="5"/>
  <c r="C530" i="5"/>
  <c r="O529" i="5"/>
  <c r="G529" i="5"/>
  <c r="S528" i="5"/>
  <c r="K528" i="5"/>
  <c r="C528" i="5"/>
  <c r="O527" i="5"/>
  <c r="G527" i="5"/>
  <c r="S526" i="5"/>
  <c r="K526" i="5"/>
  <c r="C526" i="5"/>
  <c r="O525" i="5"/>
  <c r="G525" i="5"/>
  <c r="S524" i="5"/>
  <c r="K524" i="5"/>
  <c r="C524" i="5"/>
  <c r="O523" i="5"/>
  <c r="G523" i="5"/>
  <c r="S522" i="5"/>
  <c r="K522" i="5"/>
  <c r="C522" i="5"/>
  <c r="O521" i="5"/>
  <c r="G521" i="5"/>
  <c r="S520" i="5"/>
  <c r="K520" i="5"/>
  <c r="C520" i="5"/>
  <c r="O519" i="5"/>
  <c r="G519" i="5"/>
  <c r="S518" i="5"/>
  <c r="K518" i="5"/>
  <c r="C518" i="5"/>
  <c r="O517" i="5"/>
  <c r="G517" i="5"/>
  <c r="S516" i="5"/>
  <c r="K516" i="5"/>
  <c r="C516" i="5"/>
  <c r="O515" i="5"/>
  <c r="G515" i="5"/>
  <c r="S514" i="5"/>
  <c r="K514" i="5"/>
  <c r="C514" i="5"/>
  <c r="O513" i="5"/>
  <c r="G513" i="5"/>
  <c r="S512" i="5"/>
  <c r="K512" i="5"/>
  <c r="C512" i="5"/>
  <c r="O511" i="5"/>
  <c r="G511" i="5"/>
  <c r="S510" i="5"/>
  <c r="K510" i="5"/>
  <c r="C510" i="5"/>
  <c r="O509" i="5"/>
  <c r="G509" i="5"/>
  <c r="S508" i="5"/>
  <c r="K508" i="5"/>
  <c r="C508" i="5"/>
  <c r="O507" i="5"/>
  <c r="G507" i="5"/>
  <c r="S506" i="5"/>
  <c r="K506" i="5"/>
  <c r="C506" i="5"/>
  <c r="O505" i="5"/>
  <c r="G505" i="5"/>
  <c r="S504" i="5"/>
  <c r="K504" i="5"/>
  <c r="C504" i="5"/>
  <c r="O503" i="5"/>
  <c r="G503" i="5"/>
  <c r="S502" i="5"/>
  <c r="K502" i="5"/>
  <c r="C502" i="5"/>
  <c r="O501" i="5"/>
  <c r="G501" i="5"/>
  <c r="S500" i="5"/>
  <c r="K500" i="5"/>
  <c r="C500" i="5"/>
  <c r="O499" i="5"/>
  <c r="G499" i="5"/>
  <c r="S498" i="5"/>
  <c r="K498" i="5"/>
  <c r="C498" i="5"/>
  <c r="O497" i="5"/>
  <c r="G497" i="5"/>
  <c r="S496" i="5"/>
  <c r="K496" i="5"/>
  <c r="C496" i="5"/>
  <c r="O495" i="5"/>
  <c r="G495" i="5"/>
  <c r="S494" i="5"/>
  <c r="K494" i="5"/>
  <c r="C494" i="5"/>
  <c r="O493" i="5"/>
  <c r="G493" i="5"/>
  <c r="S492" i="5"/>
  <c r="K492" i="5"/>
  <c r="C492" i="5"/>
  <c r="O491" i="5"/>
  <c r="G491" i="5"/>
  <c r="S490" i="5"/>
  <c r="K490" i="5"/>
  <c r="C490" i="5"/>
  <c r="O489" i="5"/>
  <c r="G489" i="5"/>
  <c r="S488" i="5"/>
  <c r="K488" i="5"/>
  <c r="C488" i="5"/>
  <c r="O487" i="5"/>
  <c r="G487" i="5"/>
  <c r="S486" i="5"/>
  <c r="K486" i="5"/>
  <c r="C486" i="5"/>
  <c r="O485" i="5"/>
  <c r="G485" i="5"/>
  <c r="S484" i="5"/>
  <c r="K484" i="5"/>
  <c r="C484" i="5"/>
  <c r="O483" i="5"/>
  <c r="G483" i="5"/>
  <c r="S482" i="5"/>
  <c r="K482" i="5"/>
  <c r="C482" i="5"/>
  <c r="O481" i="5"/>
  <c r="G481" i="5"/>
  <c r="S480" i="5"/>
  <c r="K480" i="5"/>
  <c r="C480" i="5"/>
  <c r="O479" i="5"/>
  <c r="G479" i="5"/>
  <c r="S478" i="5"/>
  <c r="K478" i="5"/>
  <c r="C478" i="5"/>
  <c r="O477" i="5"/>
  <c r="G477" i="5"/>
  <c r="S476" i="5"/>
  <c r="K476" i="5"/>
  <c r="C476" i="5"/>
  <c r="O475" i="5"/>
  <c r="G475" i="5"/>
  <c r="S474" i="5"/>
  <c r="K474" i="5"/>
  <c r="C474" i="5"/>
  <c r="O473" i="5"/>
  <c r="G473" i="5"/>
  <c r="S472" i="5"/>
  <c r="K472" i="5"/>
  <c r="C472" i="5"/>
  <c r="O471" i="5"/>
  <c r="G471" i="5"/>
  <c r="S470" i="5"/>
  <c r="K470" i="5"/>
  <c r="C470" i="5"/>
  <c r="O469" i="5"/>
  <c r="G469" i="5"/>
  <c r="S468" i="5"/>
  <c r="K468" i="5"/>
  <c r="C468" i="5"/>
  <c r="O467" i="5"/>
  <c r="G467" i="5"/>
  <c r="S466" i="5"/>
  <c r="K466" i="5"/>
  <c r="C466" i="5"/>
  <c r="O465" i="5"/>
  <c r="G465" i="5"/>
  <c r="S464" i="5"/>
  <c r="K464" i="5"/>
  <c r="C464" i="5"/>
  <c r="O463" i="5"/>
  <c r="G463" i="5"/>
  <c r="S462" i="5"/>
  <c r="K462" i="5"/>
  <c r="C462" i="5"/>
  <c r="O461" i="5"/>
  <c r="G461" i="5"/>
  <c r="S460" i="5"/>
  <c r="M460" i="5"/>
  <c r="I460" i="5"/>
  <c r="E460" i="5"/>
  <c r="A460" i="5"/>
  <c r="Q459" i="5"/>
  <c r="M459" i="5"/>
  <c r="I459" i="5"/>
  <c r="E459" i="5"/>
  <c r="A459" i="5"/>
  <c r="Q458" i="5"/>
  <c r="M458" i="5"/>
  <c r="I458" i="5"/>
  <c r="E458" i="5"/>
  <c r="A458" i="5"/>
  <c r="Q457" i="5"/>
  <c r="M457" i="5"/>
  <c r="I457" i="5"/>
  <c r="E457" i="5"/>
  <c r="A457" i="5"/>
  <c r="Q456" i="5"/>
  <c r="M456" i="5"/>
  <c r="I456" i="5"/>
  <c r="E456" i="5"/>
  <c r="A456" i="5"/>
  <c r="Q455" i="5"/>
  <c r="M455" i="5"/>
  <c r="I455" i="5"/>
  <c r="E455" i="5"/>
  <c r="A455" i="5"/>
  <c r="Q454" i="5"/>
  <c r="M454" i="5"/>
  <c r="I454" i="5"/>
  <c r="E454" i="5"/>
  <c r="A454" i="5"/>
  <c r="Q453" i="5"/>
  <c r="M453" i="5"/>
  <c r="I453" i="5"/>
  <c r="E453" i="5"/>
  <c r="A453" i="5"/>
  <c r="Q452" i="5"/>
  <c r="M452" i="5"/>
  <c r="I452" i="5"/>
  <c r="E452" i="5"/>
  <c r="A452" i="5"/>
  <c r="Q451" i="5"/>
  <c r="M451" i="5"/>
  <c r="I451" i="5"/>
  <c r="E451" i="5"/>
  <c r="A451" i="5"/>
  <c r="Q450" i="5"/>
  <c r="M450" i="5"/>
  <c r="I450" i="5"/>
  <c r="E450" i="5"/>
  <c r="A450" i="5"/>
  <c r="Q449" i="5"/>
  <c r="M449" i="5"/>
  <c r="I449" i="5"/>
  <c r="E449" i="5"/>
  <c r="A449" i="5"/>
  <c r="Q448" i="5"/>
  <c r="M448" i="5"/>
  <c r="I448" i="5"/>
  <c r="E448" i="5"/>
  <c r="A448" i="5"/>
  <c r="Q447" i="5"/>
  <c r="M447" i="5"/>
  <c r="I447" i="5"/>
  <c r="E447" i="5"/>
  <c r="A447" i="5"/>
  <c r="Q446" i="5"/>
  <c r="M446" i="5"/>
  <c r="I446" i="5"/>
  <c r="E446" i="5"/>
  <c r="A446" i="5"/>
  <c r="Q445" i="5"/>
  <c r="M445" i="5"/>
  <c r="I445" i="5"/>
  <c r="E445" i="5"/>
  <c r="A445" i="5"/>
  <c r="Q444" i="5"/>
  <c r="M444" i="5"/>
  <c r="I444" i="5"/>
  <c r="E444" i="5"/>
  <c r="A444" i="5"/>
  <c r="Q443" i="5"/>
  <c r="M443" i="5"/>
  <c r="I443" i="5"/>
  <c r="E443" i="5"/>
  <c r="A443" i="5"/>
  <c r="Q442" i="5"/>
  <c r="M442" i="5"/>
  <c r="I442" i="5"/>
  <c r="E442" i="5"/>
  <c r="A442" i="5"/>
  <c r="Q441" i="5"/>
  <c r="M441" i="5"/>
  <c r="I441" i="5"/>
  <c r="E441" i="5"/>
  <c r="A441" i="5"/>
  <c r="Q440" i="5"/>
  <c r="M440" i="5"/>
  <c r="I440" i="5"/>
  <c r="E440" i="5"/>
  <c r="A440" i="5"/>
  <c r="Q439" i="5"/>
  <c r="M439" i="5"/>
  <c r="I439" i="5"/>
  <c r="E439" i="5"/>
  <c r="A439" i="5"/>
  <c r="Q438" i="5"/>
  <c r="M438" i="5"/>
  <c r="I438" i="5"/>
  <c r="E438" i="5"/>
  <c r="A438" i="5"/>
  <c r="Q437" i="5"/>
  <c r="M437" i="5"/>
  <c r="I437" i="5"/>
  <c r="E437" i="5"/>
  <c r="A437" i="5"/>
  <c r="Q436" i="5"/>
  <c r="M436" i="5"/>
  <c r="I436" i="5"/>
  <c r="E436" i="5"/>
  <c r="A436" i="5"/>
  <c r="Q435" i="5"/>
  <c r="M435" i="5"/>
  <c r="I435" i="5"/>
  <c r="E435" i="5"/>
  <c r="A435" i="5"/>
  <c r="Q434" i="5"/>
  <c r="M434" i="5"/>
  <c r="I434" i="5"/>
  <c r="E434" i="5"/>
  <c r="A434" i="5"/>
  <c r="Q433" i="5"/>
  <c r="M433" i="5"/>
  <c r="I433" i="5"/>
  <c r="E433" i="5"/>
  <c r="A433" i="5"/>
  <c r="Q432" i="5"/>
  <c r="M432" i="5"/>
  <c r="I432" i="5"/>
  <c r="E432" i="5"/>
  <c r="A432" i="5"/>
  <c r="Q431" i="5"/>
  <c r="M431" i="5"/>
  <c r="I431" i="5"/>
  <c r="E431" i="5"/>
  <c r="A431" i="5"/>
  <c r="Q430" i="5"/>
  <c r="M430" i="5"/>
  <c r="I430" i="5"/>
  <c r="E430" i="5"/>
  <c r="A430" i="5"/>
  <c r="Q429" i="5"/>
  <c r="M429" i="5"/>
  <c r="I429" i="5"/>
  <c r="E429" i="5"/>
  <c r="A429" i="5"/>
  <c r="Q428" i="5"/>
  <c r="M428" i="5"/>
  <c r="I428" i="5"/>
  <c r="E428" i="5"/>
  <c r="A428" i="5"/>
  <c r="Q427" i="5"/>
  <c r="M427" i="5"/>
  <c r="I427" i="5"/>
  <c r="E427" i="5"/>
  <c r="A427" i="5"/>
  <c r="Q426" i="5"/>
  <c r="M426" i="5"/>
  <c r="I426" i="5"/>
  <c r="E426" i="5"/>
  <c r="A426" i="5"/>
  <c r="Q425" i="5"/>
  <c r="M425" i="5"/>
  <c r="I425" i="5"/>
  <c r="E425" i="5"/>
  <c r="A425" i="5"/>
  <c r="Q424" i="5"/>
  <c r="M424" i="5"/>
  <c r="I424" i="5"/>
  <c r="E424" i="5"/>
  <c r="A424" i="5"/>
  <c r="Q423" i="5"/>
  <c r="M423" i="5"/>
  <c r="I423" i="5"/>
  <c r="E423" i="5"/>
  <c r="A423" i="5"/>
  <c r="Q422" i="5"/>
  <c r="M422" i="5"/>
  <c r="I422" i="5"/>
  <c r="E422" i="5"/>
  <c r="A422" i="5"/>
  <c r="Q421" i="5"/>
  <c r="M421" i="5"/>
  <c r="I421" i="5"/>
  <c r="E421" i="5"/>
  <c r="A421" i="5"/>
  <c r="Q420" i="5"/>
  <c r="M420" i="5"/>
  <c r="I420" i="5"/>
  <c r="E420" i="5"/>
  <c r="A420" i="5"/>
  <c r="Q419" i="5"/>
  <c r="M419" i="5"/>
  <c r="I419" i="5"/>
  <c r="E419" i="5"/>
  <c r="A419" i="5"/>
  <c r="Q418" i="5"/>
  <c r="M418" i="5"/>
  <c r="I418" i="5"/>
  <c r="A418" i="5"/>
  <c r="M417" i="5"/>
  <c r="E417" i="5"/>
  <c r="Q416" i="5"/>
  <c r="I416" i="5"/>
  <c r="A416" i="5"/>
  <c r="M415" i="5"/>
  <c r="E415" i="5"/>
  <c r="Q414" i="5"/>
  <c r="I414" i="5"/>
  <c r="A414" i="5"/>
  <c r="M413" i="5"/>
  <c r="E413" i="5"/>
  <c r="Q412" i="5"/>
  <c r="I412" i="5"/>
  <c r="A412" i="5"/>
  <c r="M411" i="5"/>
  <c r="E411" i="5"/>
  <c r="Q410" i="5"/>
  <c r="I410" i="5"/>
  <c r="A410" i="5"/>
  <c r="M409" i="5"/>
  <c r="E409" i="5"/>
  <c r="Q408" i="5"/>
  <c r="I408" i="5"/>
  <c r="A408" i="5"/>
  <c r="M407" i="5"/>
  <c r="E407" i="5"/>
  <c r="Q406" i="5"/>
  <c r="I406" i="5"/>
  <c r="A406" i="5"/>
  <c r="M405" i="5"/>
  <c r="E405" i="5"/>
  <c r="Q404" i="5"/>
  <c r="I404" i="5"/>
  <c r="A404" i="5"/>
  <c r="M403" i="5"/>
  <c r="E403" i="5"/>
  <c r="Q402" i="5"/>
  <c r="I402" i="5"/>
  <c r="A402" i="5"/>
  <c r="M401" i="5"/>
  <c r="E401" i="5"/>
  <c r="Q400" i="5"/>
  <c r="I400" i="5"/>
  <c r="A400" i="5"/>
  <c r="M399" i="5"/>
  <c r="E399" i="5"/>
  <c r="Q398" i="5"/>
  <c r="I398" i="5"/>
  <c r="A398" i="5"/>
  <c r="M397" i="5"/>
  <c r="E397" i="5"/>
  <c r="Q396" i="5"/>
  <c r="I396" i="5"/>
  <c r="A396" i="5"/>
  <c r="M395" i="5"/>
  <c r="E395" i="5"/>
  <c r="Q394" i="5"/>
  <c r="I394" i="5"/>
  <c r="A394" i="5"/>
  <c r="M393" i="5"/>
  <c r="E393" i="5"/>
  <c r="Q392" i="5"/>
  <c r="I392" i="5"/>
  <c r="A392" i="5"/>
  <c r="M391" i="5"/>
  <c r="E391" i="5"/>
  <c r="Q390" i="5"/>
  <c r="I390" i="5"/>
  <c r="A390" i="5"/>
  <c r="M389" i="5"/>
  <c r="E389" i="5"/>
  <c r="Q388" i="5"/>
  <c r="I388" i="5"/>
  <c r="A388" i="5"/>
  <c r="M387" i="5"/>
  <c r="E387" i="5"/>
  <c r="Q386" i="5"/>
  <c r="I386" i="5"/>
  <c r="A386" i="5"/>
  <c r="M385" i="5"/>
  <c r="E385" i="5"/>
  <c r="Q384" i="5"/>
  <c r="I384" i="5"/>
  <c r="A384" i="5"/>
  <c r="M383" i="5"/>
  <c r="E383" i="5"/>
  <c r="Q382" i="5"/>
  <c r="I382" i="5"/>
  <c r="A382" i="5"/>
  <c r="M381" i="5"/>
  <c r="E381" i="5"/>
  <c r="Q380" i="5"/>
  <c r="I380" i="5"/>
  <c r="A380" i="5"/>
  <c r="M379" i="5"/>
  <c r="E379" i="5"/>
  <c r="Q378" i="5"/>
  <c r="I378" i="5"/>
  <c r="A378" i="5"/>
  <c r="M377" i="5"/>
  <c r="E377" i="5"/>
  <c r="Q376" i="5"/>
  <c r="I376" i="5"/>
  <c r="A376" i="5"/>
  <c r="M375" i="5"/>
  <c r="E375" i="5"/>
  <c r="Q374" i="5"/>
  <c r="I374" i="5"/>
  <c r="A374" i="5"/>
  <c r="M373" i="5"/>
  <c r="E373" i="5"/>
  <c r="Q372" i="5"/>
  <c r="I372" i="5"/>
  <c r="A372" i="5"/>
  <c r="M371" i="5"/>
  <c r="E371" i="5"/>
  <c r="Q370" i="5"/>
  <c r="I370" i="5"/>
  <c r="A370" i="5"/>
  <c r="M369" i="5"/>
  <c r="E369" i="5"/>
  <c r="Q368" i="5"/>
  <c r="I368" i="5"/>
  <c r="A368" i="5"/>
  <c r="M367" i="5"/>
  <c r="E367" i="5"/>
  <c r="Q366" i="5"/>
  <c r="I366" i="5"/>
  <c r="A366" i="5"/>
  <c r="M365" i="5"/>
  <c r="E365" i="5"/>
  <c r="C418" i="5"/>
  <c r="O417" i="5"/>
  <c r="G417" i="5"/>
  <c r="S416" i="5"/>
  <c r="K416" i="5"/>
  <c r="C416" i="5"/>
  <c r="O415" i="5"/>
  <c r="G415" i="5"/>
  <c r="S414" i="5"/>
  <c r="K414" i="5"/>
  <c r="C414" i="5"/>
  <c r="O413" i="5"/>
  <c r="G413" i="5"/>
  <c r="S412" i="5"/>
  <c r="K412" i="5"/>
  <c r="C412" i="5"/>
  <c r="O411" i="5"/>
  <c r="G411" i="5"/>
  <c r="S410" i="5"/>
  <c r="K410" i="5"/>
  <c r="C410" i="5"/>
  <c r="O409" i="5"/>
  <c r="G409" i="5"/>
  <c r="S408" i="5"/>
  <c r="K408" i="5"/>
  <c r="C408" i="5"/>
  <c r="O407" i="5"/>
  <c r="G407" i="5"/>
  <c r="S406" i="5"/>
  <c r="K406" i="5"/>
  <c r="C406" i="5"/>
  <c r="O405" i="5"/>
  <c r="G405" i="5"/>
  <c r="S404" i="5"/>
  <c r="K404" i="5"/>
  <c r="C404" i="5"/>
  <c r="O403" i="5"/>
  <c r="G403" i="5"/>
  <c r="S402" i="5"/>
  <c r="K402" i="5"/>
  <c r="C402" i="5"/>
  <c r="O401" i="5"/>
  <c r="G401" i="5"/>
  <c r="S400" i="5"/>
  <c r="K400" i="5"/>
  <c r="C400" i="5"/>
  <c r="O399" i="5"/>
  <c r="G399" i="5"/>
  <c r="S398" i="5"/>
  <c r="K398" i="5"/>
  <c r="C398" i="5"/>
  <c r="O397" i="5"/>
  <c r="G397" i="5"/>
  <c r="S396" i="5"/>
  <c r="K396" i="5"/>
  <c r="C396" i="5"/>
  <c r="O395" i="5"/>
  <c r="G395" i="5"/>
  <c r="S394" i="5"/>
  <c r="K394" i="5"/>
  <c r="C394" i="5"/>
  <c r="O393" i="5"/>
  <c r="G393" i="5"/>
  <c r="S392" i="5"/>
  <c r="K392" i="5"/>
  <c r="C392" i="5"/>
  <c r="O391" i="5"/>
  <c r="G391" i="5"/>
  <c r="S390" i="5"/>
  <c r="K390" i="5"/>
  <c r="C390" i="5"/>
  <c r="O389" i="5"/>
  <c r="G389" i="5"/>
  <c r="S388" i="5"/>
  <c r="K388" i="5"/>
  <c r="C388" i="5"/>
  <c r="O387" i="5"/>
  <c r="G387" i="5"/>
  <c r="S386" i="5"/>
  <c r="K386" i="5"/>
  <c r="C386" i="5"/>
  <c r="O385" i="5"/>
  <c r="G385" i="5"/>
  <c r="S384" i="5"/>
  <c r="K384" i="5"/>
  <c r="C384" i="5"/>
  <c r="O383" i="5"/>
  <c r="G383" i="5"/>
  <c r="S382" i="5"/>
  <c r="K382" i="5"/>
  <c r="C382" i="5"/>
  <c r="O381" i="5"/>
  <c r="G381" i="5"/>
  <c r="S380" i="5"/>
  <c r="K380" i="5"/>
  <c r="C380" i="5"/>
  <c r="O379" i="5"/>
  <c r="G379" i="5"/>
  <c r="S378" i="5"/>
  <c r="K378" i="5"/>
  <c r="C378" i="5"/>
  <c r="O377" i="5"/>
  <c r="G377" i="5"/>
  <c r="S376" i="5"/>
  <c r="K376" i="5"/>
  <c r="C376" i="5"/>
  <c r="O375" i="5"/>
  <c r="G375" i="5"/>
  <c r="S374" i="5"/>
  <c r="K374" i="5"/>
  <c r="C374" i="5"/>
  <c r="O373" i="5"/>
  <c r="G373" i="5"/>
  <c r="S372" i="5"/>
  <c r="K372" i="5"/>
  <c r="C372" i="5"/>
  <c r="O371" i="5"/>
  <c r="G371" i="5"/>
  <c r="S370" i="5"/>
  <c r="K370" i="5"/>
  <c r="C370" i="5"/>
  <c r="O369" i="5"/>
  <c r="G369" i="5"/>
  <c r="S368" i="5"/>
  <c r="K368" i="5"/>
  <c r="C368" i="5"/>
  <c r="O367" i="5"/>
  <c r="G367" i="5"/>
  <c r="S366" i="5"/>
  <c r="K366" i="5"/>
  <c r="C366" i="5"/>
  <c r="O365" i="5"/>
  <c r="G365" i="5"/>
  <c r="S364" i="5"/>
  <c r="K364" i="5"/>
  <c r="C364" i="5"/>
  <c r="O363" i="5"/>
  <c r="G363" i="5"/>
  <c r="S362" i="5"/>
  <c r="K362" i="5"/>
  <c r="C362" i="5"/>
  <c r="O361" i="5"/>
  <c r="G361" i="5"/>
  <c r="S360" i="5"/>
  <c r="K360" i="5"/>
  <c r="C360" i="5"/>
  <c r="O359" i="5"/>
  <c r="G359" i="5"/>
  <c r="S358" i="5"/>
  <c r="K358" i="5"/>
  <c r="C358" i="5"/>
  <c r="O357" i="5"/>
  <c r="G357" i="5"/>
  <c r="S356" i="5"/>
  <c r="K356" i="5"/>
  <c r="C356" i="5"/>
  <c r="O355" i="5"/>
  <c r="G355" i="5"/>
  <c r="S354" i="5"/>
  <c r="K354" i="5"/>
  <c r="C354" i="5"/>
  <c r="O353" i="5"/>
  <c r="G353" i="5"/>
  <c r="S352" i="5"/>
  <c r="K352" i="5"/>
  <c r="C352" i="5"/>
  <c r="O351" i="5"/>
  <c r="G351" i="5"/>
  <c r="C351" i="5"/>
  <c r="S350" i="5"/>
  <c r="O350" i="5"/>
  <c r="K350" i="5"/>
  <c r="G350" i="5"/>
  <c r="C350" i="5"/>
  <c r="S349" i="5"/>
  <c r="O349" i="5"/>
  <c r="K349" i="5"/>
  <c r="G349" i="5"/>
  <c r="C349" i="5"/>
  <c r="S348" i="5"/>
  <c r="O348" i="5"/>
  <c r="K348" i="5"/>
  <c r="G348" i="5"/>
  <c r="C348" i="5"/>
  <c r="S347" i="5"/>
  <c r="O347" i="5"/>
  <c r="K347" i="5"/>
  <c r="G347" i="5"/>
  <c r="C347" i="5"/>
  <c r="S346" i="5"/>
  <c r="O346" i="5"/>
  <c r="K346" i="5"/>
  <c r="G346" i="5"/>
  <c r="C346" i="5"/>
  <c r="S345" i="5"/>
  <c r="O345" i="5"/>
  <c r="K345" i="5"/>
  <c r="G345" i="5"/>
  <c r="C345" i="5"/>
  <c r="S344" i="5"/>
  <c r="O344" i="5"/>
  <c r="K344" i="5"/>
  <c r="G344" i="5"/>
  <c r="C344" i="5"/>
  <c r="S343" i="5"/>
  <c r="O343" i="5"/>
  <c r="K343" i="5"/>
  <c r="G343" i="5"/>
  <c r="C343" i="5"/>
  <c r="S342" i="5"/>
  <c r="O342" i="5"/>
  <c r="K342" i="5"/>
  <c r="G342" i="5"/>
  <c r="C342" i="5"/>
  <c r="S341" i="5"/>
  <c r="O341" i="5"/>
  <c r="K341" i="5"/>
  <c r="G341" i="5"/>
  <c r="C341" i="5"/>
  <c r="S340" i="5"/>
  <c r="O340" i="5"/>
  <c r="K340" i="5"/>
  <c r="G340" i="5"/>
  <c r="C340" i="5"/>
  <c r="S339" i="5"/>
  <c r="O339" i="5"/>
  <c r="K339" i="5"/>
  <c r="G339" i="5"/>
  <c r="C339" i="5"/>
  <c r="S338" i="5"/>
  <c r="O338" i="5"/>
  <c r="K338" i="5"/>
  <c r="G338" i="5"/>
  <c r="C338" i="5"/>
  <c r="S337" i="5"/>
  <c r="O337" i="5"/>
  <c r="K337" i="5"/>
  <c r="G337" i="5"/>
  <c r="C337" i="5"/>
  <c r="S336" i="5"/>
  <c r="O336" i="5"/>
  <c r="K336" i="5"/>
  <c r="G336" i="5"/>
  <c r="C336" i="5"/>
  <c r="S335" i="5"/>
  <c r="O335" i="5"/>
  <c r="K335" i="5"/>
  <c r="G335" i="5"/>
  <c r="C335" i="5"/>
  <c r="S334" i="5"/>
  <c r="O334" i="5"/>
  <c r="K334" i="5"/>
  <c r="G334" i="5"/>
  <c r="C334" i="5"/>
  <c r="S333" i="5"/>
  <c r="O333" i="5"/>
  <c r="K333" i="5"/>
  <c r="G333" i="5"/>
  <c r="C333" i="5"/>
  <c r="S332" i="5"/>
  <c r="O332" i="5"/>
  <c r="K332" i="5"/>
  <c r="G332" i="5"/>
  <c r="C332" i="5"/>
  <c r="S331" i="5"/>
  <c r="O331" i="5"/>
  <c r="K331" i="5"/>
  <c r="G331" i="5"/>
  <c r="C331" i="5"/>
  <c r="S330" i="5"/>
  <c r="O330" i="5"/>
  <c r="K330" i="5"/>
  <c r="G330" i="5"/>
  <c r="C330" i="5"/>
  <c r="S329" i="5"/>
  <c r="O329" i="5"/>
  <c r="K329" i="5"/>
  <c r="G329" i="5"/>
  <c r="C329" i="5"/>
  <c r="S328" i="5"/>
  <c r="O328" i="5"/>
  <c r="K328" i="5"/>
  <c r="G328" i="5"/>
  <c r="C328" i="5"/>
  <c r="S327" i="5"/>
  <c r="O327" i="5"/>
  <c r="K327" i="5"/>
  <c r="G327" i="5"/>
  <c r="C327" i="5"/>
  <c r="S326" i="5"/>
  <c r="O326" i="5"/>
  <c r="K326" i="5"/>
  <c r="G326" i="5"/>
  <c r="C326" i="5"/>
  <c r="S325" i="5"/>
  <c r="O325" i="5"/>
  <c r="K325" i="5"/>
  <c r="G325" i="5"/>
  <c r="C325" i="5"/>
  <c r="S324" i="5"/>
  <c r="O324" i="5"/>
  <c r="K324" i="5"/>
  <c r="G324" i="5"/>
  <c r="C324" i="5"/>
  <c r="S323" i="5"/>
  <c r="O323" i="5"/>
  <c r="K323" i="5"/>
  <c r="G323" i="5"/>
  <c r="C323" i="5"/>
  <c r="S322" i="5"/>
  <c r="O322" i="5"/>
  <c r="K322" i="5"/>
  <c r="G322" i="5"/>
  <c r="C322" i="5"/>
  <c r="S321" i="5"/>
  <c r="O321" i="5"/>
  <c r="K321" i="5"/>
  <c r="G321" i="5"/>
  <c r="C321" i="5"/>
  <c r="S320" i="5"/>
  <c r="O320" i="5"/>
  <c r="K320" i="5"/>
  <c r="G320" i="5"/>
  <c r="C320" i="5"/>
  <c r="S319" i="5"/>
  <c r="O319" i="5"/>
  <c r="K319" i="5"/>
  <c r="G319" i="5"/>
  <c r="C319" i="5"/>
  <c r="S318" i="5"/>
  <c r="O318" i="5"/>
  <c r="K318" i="5"/>
  <c r="G318" i="5"/>
  <c r="C318" i="5"/>
  <c r="S317" i="5"/>
  <c r="O317" i="5"/>
  <c r="K317" i="5"/>
  <c r="G317" i="5"/>
  <c r="C317" i="5"/>
  <c r="S316" i="5"/>
  <c r="O316" i="5"/>
  <c r="K316" i="5"/>
  <c r="G316" i="5"/>
  <c r="C316" i="5"/>
  <c r="S315" i="5"/>
  <c r="O315" i="5"/>
  <c r="K315" i="5"/>
  <c r="G315" i="5"/>
  <c r="C315" i="5"/>
  <c r="S314" i="5"/>
  <c r="O314" i="5"/>
  <c r="K314" i="5"/>
  <c r="G314" i="5"/>
  <c r="C314" i="5"/>
  <c r="S313" i="5"/>
  <c r="O313" i="5"/>
  <c r="K313" i="5"/>
  <c r="G313" i="5"/>
  <c r="C313" i="5"/>
  <c r="S312" i="5"/>
  <c r="O312" i="5"/>
  <c r="K312" i="5"/>
  <c r="G312" i="5"/>
  <c r="C312" i="5"/>
  <c r="S311" i="5"/>
  <c r="O311" i="5"/>
  <c r="K311" i="5"/>
  <c r="G311" i="5"/>
  <c r="C311" i="5"/>
  <c r="S310" i="5"/>
  <c r="O310" i="5"/>
  <c r="K310" i="5"/>
  <c r="G310" i="5"/>
  <c r="C310" i="5"/>
  <c r="S309" i="5"/>
  <c r="O309" i="5"/>
  <c r="K309" i="5"/>
  <c r="G309" i="5"/>
  <c r="C309" i="5"/>
  <c r="S308" i="5"/>
  <c r="O308" i="5"/>
  <c r="K308" i="5"/>
  <c r="G308" i="5"/>
  <c r="C308" i="5"/>
  <c r="S307" i="5"/>
  <c r="O307" i="5"/>
  <c r="K307" i="5"/>
  <c r="G307" i="5"/>
  <c r="C307" i="5"/>
  <c r="S306" i="5"/>
  <c r="O306" i="5"/>
  <c r="K306" i="5"/>
  <c r="G306" i="5"/>
  <c r="C306" i="5"/>
  <c r="S305" i="5"/>
  <c r="O305" i="5"/>
  <c r="K305" i="5"/>
  <c r="G305" i="5"/>
  <c r="C305" i="5"/>
  <c r="S304" i="5"/>
  <c r="O304" i="5"/>
  <c r="K304" i="5"/>
  <c r="G304" i="5"/>
  <c r="C304" i="5"/>
  <c r="S303" i="5"/>
  <c r="O303" i="5"/>
  <c r="K303" i="5"/>
  <c r="G303" i="5"/>
  <c r="C303" i="5"/>
  <c r="S302" i="5"/>
  <c r="O302" i="5"/>
  <c r="K302" i="5"/>
  <c r="G302" i="5"/>
  <c r="C302" i="5"/>
  <c r="S301" i="5"/>
  <c r="O301" i="5"/>
  <c r="K301" i="5"/>
  <c r="G301" i="5"/>
  <c r="C301" i="5"/>
  <c r="S300" i="5"/>
  <c r="O300" i="5"/>
  <c r="K300" i="5"/>
  <c r="G300" i="5"/>
  <c r="C300" i="5"/>
  <c r="S299" i="5"/>
  <c r="O299" i="5"/>
  <c r="K299" i="5"/>
  <c r="G299" i="5"/>
  <c r="C299" i="5"/>
  <c r="S298" i="5"/>
  <c r="O298" i="5"/>
  <c r="K298" i="5"/>
  <c r="G298" i="5"/>
  <c r="C298" i="5"/>
  <c r="S297" i="5"/>
  <c r="O297" i="5"/>
  <c r="K297" i="5"/>
  <c r="G297" i="5"/>
  <c r="C297" i="5"/>
  <c r="S296" i="5"/>
  <c r="O296" i="5"/>
  <c r="K296" i="5"/>
  <c r="G296" i="5"/>
  <c r="C296" i="5"/>
  <c r="S295" i="5"/>
  <c r="O295" i="5"/>
  <c r="K295" i="5"/>
  <c r="G295" i="5"/>
  <c r="C295" i="5"/>
  <c r="S294" i="5"/>
  <c r="O294" i="5"/>
  <c r="K294" i="5"/>
  <c r="G294" i="5"/>
  <c r="C294" i="5"/>
  <c r="S293" i="5"/>
  <c r="O293" i="5"/>
  <c r="K293" i="5"/>
  <c r="G293" i="5"/>
  <c r="C293" i="5"/>
  <c r="S292" i="5"/>
  <c r="O292" i="5"/>
  <c r="K292" i="5"/>
  <c r="G292" i="5"/>
  <c r="C292" i="5"/>
  <c r="S291" i="5"/>
  <c r="O291" i="5"/>
  <c r="K291" i="5"/>
  <c r="G291" i="5"/>
  <c r="C291" i="5"/>
  <c r="S290" i="5"/>
  <c r="O290" i="5"/>
  <c r="K290" i="5"/>
  <c r="G290" i="5"/>
  <c r="C290" i="5"/>
  <c r="S289" i="5"/>
  <c r="O289" i="5"/>
  <c r="K289" i="5"/>
  <c r="G289" i="5"/>
  <c r="C289" i="5"/>
  <c r="S288" i="5"/>
  <c r="O288" i="5"/>
  <c r="K288" i="5"/>
  <c r="G288" i="5"/>
  <c r="C288" i="5"/>
  <c r="S287" i="5"/>
  <c r="O287" i="5"/>
  <c r="K287" i="5"/>
  <c r="G287" i="5"/>
  <c r="C287" i="5"/>
  <c r="S286" i="5"/>
  <c r="O286" i="5"/>
  <c r="K286" i="5"/>
  <c r="G286" i="5"/>
  <c r="C286" i="5"/>
  <c r="S285" i="5"/>
  <c r="O285" i="5"/>
  <c r="K285" i="5"/>
  <c r="G285" i="5"/>
  <c r="C285" i="5"/>
  <c r="S284" i="5"/>
  <c r="O284" i="5"/>
  <c r="K284" i="5"/>
  <c r="G284" i="5"/>
  <c r="C284" i="5"/>
  <c r="S283" i="5"/>
  <c r="O283" i="5"/>
  <c r="K283" i="5"/>
  <c r="G283" i="5"/>
  <c r="C283" i="5"/>
  <c r="S282" i="5"/>
  <c r="O282" i="5"/>
  <c r="K282" i="5"/>
  <c r="G282" i="5"/>
  <c r="C282" i="5"/>
  <c r="S281" i="5"/>
  <c r="O281" i="5"/>
  <c r="K281" i="5"/>
  <c r="G281" i="5"/>
  <c r="C281" i="5"/>
  <c r="S280" i="5"/>
  <c r="O280" i="5"/>
  <c r="K280" i="5"/>
  <c r="G280" i="5"/>
  <c r="C280" i="5"/>
  <c r="S279" i="5"/>
  <c r="O279" i="5"/>
  <c r="K279" i="5"/>
  <c r="G279" i="5"/>
  <c r="C279" i="5"/>
  <c r="S278" i="5"/>
  <c r="O278" i="5"/>
  <c r="K278" i="5"/>
  <c r="G278" i="5"/>
  <c r="C278" i="5"/>
  <c r="S277" i="5"/>
  <c r="O277" i="5"/>
  <c r="K277" i="5"/>
  <c r="G277" i="5"/>
  <c r="C277" i="5"/>
  <c r="S276" i="5"/>
  <c r="O276" i="5"/>
  <c r="K276" i="5"/>
  <c r="G276" i="5"/>
  <c r="C276" i="5"/>
  <c r="S275" i="5"/>
  <c r="O275" i="5"/>
  <c r="K275" i="5"/>
  <c r="G275" i="5"/>
  <c r="C275" i="5"/>
  <c r="S274" i="5"/>
  <c r="O274" i="5"/>
  <c r="K274" i="5"/>
  <c r="G274" i="5"/>
  <c r="C274" i="5"/>
  <c r="S273" i="5"/>
  <c r="O273" i="5"/>
  <c r="K273" i="5"/>
  <c r="G273" i="5"/>
  <c r="C273" i="5"/>
  <c r="S272" i="5"/>
  <c r="O272" i="5"/>
  <c r="K272" i="5"/>
  <c r="G272" i="5"/>
  <c r="C272" i="5"/>
  <c r="S271" i="5"/>
  <c r="O271" i="5"/>
  <c r="K271" i="5"/>
  <c r="G271" i="5"/>
  <c r="C271" i="5"/>
  <c r="S270" i="5"/>
  <c r="O270" i="5"/>
  <c r="K270" i="5"/>
  <c r="G270" i="5"/>
  <c r="C270" i="5"/>
  <c r="S269" i="5"/>
  <c r="O269" i="5"/>
  <c r="K269" i="5"/>
  <c r="G269" i="5"/>
  <c r="C269" i="5"/>
  <c r="S268" i="5"/>
  <c r="O268" i="5"/>
  <c r="K268" i="5"/>
  <c r="G268" i="5"/>
  <c r="C268" i="5"/>
  <c r="S267" i="5"/>
  <c r="O267" i="5"/>
  <c r="K267" i="5"/>
  <c r="G267" i="5"/>
  <c r="C267" i="5"/>
  <c r="S266" i="5"/>
  <c r="O266" i="5"/>
  <c r="K266" i="5"/>
  <c r="G266" i="5"/>
  <c r="C266" i="5"/>
  <c r="S265" i="5"/>
  <c r="O265" i="5"/>
  <c r="K265" i="5"/>
  <c r="G265" i="5"/>
  <c r="C265" i="5"/>
  <c r="S264" i="5"/>
  <c r="O264" i="5"/>
  <c r="K264" i="5"/>
  <c r="G264" i="5"/>
  <c r="C264" i="5"/>
  <c r="S263" i="5"/>
  <c r="O263" i="5"/>
  <c r="K263" i="5"/>
  <c r="G263" i="5"/>
  <c r="C263" i="5"/>
  <c r="S262" i="5"/>
  <c r="O262" i="5"/>
  <c r="K262" i="5"/>
  <c r="G262" i="5"/>
  <c r="C262" i="5"/>
  <c r="S261" i="5"/>
  <c r="O261" i="5"/>
  <c r="K261" i="5"/>
  <c r="G261" i="5"/>
  <c r="C261" i="5"/>
  <c r="S260" i="5"/>
  <c r="O260" i="5"/>
  <c r="K260" i="5"/>
  <c r="G260" i="5"/>
  <c r="C260" i="5"/>
  <c r="S259" i="5"/>
  <c r="O259" i="5"/>
  <c r="K259" i="5"/>
  <c r="G259" i="5"/>
  <c r="C259" i="5"/>
  <c r="S258" i="5"/>
  <c r="O258" i="5"/>
  <c r="K258" i="5"/>
  <c r="G258" i="5"/>
  <c r="C258" i="5"/>
  <c r="S257" i="5"/>
  <c r="O257" i="5"/>
  <c r="K257" i="5"/>
  <c r="G257" i="5"/>
  <c r="C257" i="5"/>
  <c r="S256" i="5"/>
  <c r="O256" i="5"/>
  <c r="K256" i="5"/>
  <c r="G256" i="5"/>
  <c r="C256" i="5"/>
  <c r="S255" i="5"/>
  <c r="O255" i="5"/>
  <c r="K255" i="5"/>
  <c r="G255" i="5"/>
  <c r="C255" i="5"/>
  <c r="S254" i="5"/>
  <c r="O254" i="5"/>
  <c r="K254" i="5"/>
  <c r="G254" i="5"/>
  <c r="C254" i="5"/>
  <c r="S253" i="5"/>
  <c r="O253" i="5"/>
  <c r="K253" i="5"/>
  <c r="G253" i="5"/>
  <c r="C253" i="5"/>
  <c r="S252" i="5"/>
  <c r="O252" i="5"/>
  <c r="K252" i="5"/>
  <c r="G252" i="5"/>
  <c r="C252" i="5"/>
  <c r="S251" i="5"/>
  <c r="O251" i="5"/>
  <c r="K251" i="5"/>
  <c r="G251" i="5"/>
  <c r="C251" i="5"/>
  <c r="S250" i="5"/>
  <c r="O250" i="5"/>
  <c r="K250" i="5"/>
  <c r="G250" i="5"/>
  <c r="C250" i="5"/>
  <c r="S249" i="5"/>
  <c r="O249" i="5"/>
  <c r="K249" i="5"/>
  <c r="G249" i="5"/>
  <c r="C249" i="5"/>
  <c r="S248" i="5"/>
  <c r="O248" i="5"/>
  <c r="K248" i="5"/>
  <c r="G248" i="5"/>
  <c r="C248" i="5"/>
  <c r="S247" i="5"/>
  <c r="O247" i="5"/>
  <c r="K247" i="5"/>
  <c r="G247" i="5"/>
  <c r="C247" i="5"/>
  <c r="S246" i="5"/>
  <c r="O246" i="5"/>
  <c r="K246" i="5"/>
  <c r="G246" i="5"/>
  <c r="C246" i="5"/>
  <c r="S245" i="5"/>
  <c r="O245" i="5"/>
  <c r="K245" i="5"/>
  <c r="G245" i="5"/>
  <c r="C245" i="5"/>
  <c r="S244" i="5"/>
  <c r="O244" i="5"/>
  <c r="K244" i="5"/>
  <c r="G244" i="5"/>
  <c r="C244" i="5"/>
  <c r="S243" i="5"/>
  <c r="O243" i="5"/>
  <c r="K243" i="5"/>
  <c r="G243" i="5"/>
  <c r="C243" i="5"/>
  <c r="S242" i="5"/>
  <c r="O242" i="5"/>
  <c r="K242" i="5"/>
  <c r="G242" i="5"/>
  <c r="C242" i="5"/>
  <c r="S241" i="5"/>
  <c r="O241" i="5"/>
  <c r="K241" i="5"/>
  <c r="G241" i="5"/>
  <c r="C241" i="5"/>
  <c r="S240" i="5"/>
  <c r="O240" i="5"/>
  <c r="K240" i="5"/>
  <c r="G240" i="5"/>
  <c r="C240" i="5"/>
  <c r="S239" i="5"/>
  <c r="O239" i="5"/>
  <c r="K239" i="5"/>
  <c r="G239" i="5"/>
  <c r="C239" i="5"/>
  <c r="S238" i="5"/>
  <c r="O238" i="5"/>
  <c r="K238" i="5"/>
  <c r="G238" i="5"/>
  <c r="C238" i="5"/>
  <c r="S237" i="5"/>
  <c r="O237" i="5"/>
  <c r="K237" i="5"/>
  <c r="G237" i="5"/>
  <c r="C237" i="5"/>
  <c r="S236" i="5"/>
  <c r="O236" i="5"/>
  <c r="K236" i="5"/>
  <c r="G236" i="5"/>
  <c r="C236" i="5"/>
  <c r="S235" i="5"/>
  <c r="O235" i="5"/>
  <c r="K235" i="5"/>
  <c r="G235" i="5"/>
  <c r="C235" i="5"/>
  <c r="S234" i="5"/>
  <c r="O234" i="5"/>
  <c r="K234" i="5"/>
  <c r="G234" i="5"/>
  <c r="C234" i="5"/>
  <c r="S233" i="5"/>
  <c r="O233" i="5"/>
  <c r="K233" i="5"/>
  <c r="G233" i="5"/>
  <c r="C233" i="5"/>
  <c r="S232" i="5"/>
  <c r="O232" i="5"/>
  <c r="K232" i="5"/>
  <c r="G232" i="5"/>
  <c r="C232" i="5"/>
  <c r="S231" i="5"/>
  <c r="O231" i="5"/>
  <c r="K231" i="5"/>
  <c r="G231" i="5"/>
  <c r="C231" i="5"/>
  <c r="S230" i="5"/>
  <c r="O230" i="5"/>
  <c r="K230" i="5"/>
  <c r="G230" i="5"/>
  <c r="C230" i="5"/>
  <c r="S229" i="5"/>
  <c r="O229" i="5"/>
  <c r="K229" i="5"/>
  <c r="G229" i="5"/>
  <c r="C229" i="5"/>
  <c r="S228" i="5"/>
  <c r="O228" i="5"/>
  <c r="K228" i="5"/>
  <c r="G228" i="5"/>
  <c r="C228" i="5"/>
  <c r="S227" i="5"/>
  <c r="O227" i="5"/>
  <c r="K227" i="5"/>
  <c r="G227" i="5"/>
  <c r="C227" i="5"/>
  <c r="S226" i="5"/>
  <c r="O226" i="5"/>
  <c r="K226" i="5"/>
  <c r="G226" i="5"/>
  <c r="C226" i="5"/>
  <c r="S225" i="5"/>
  <c r="O225" i="5"/>
  <c r="K225" i="5"/>
  <c r="G225" i="5"/>
  <c r="C225" i="5"/>
  <c r="S224" i="5"/>
  <c r="O224" i="5"/>
  <c r="K224" i="5"/>
  <c r="G224" i="5"/>
  <c r="C224" i="5"/>
  <c r="S223" i="5"/>
  <c r="O223" i="5"/>
  <c r="K223" i="5"/>
  <c r="G223" i="5"/>
  <c r="C223" i="5"/>
  <c r="S222" i="5"/>
  <c r="O222" i="5"/>
  <c r="K222" i="5"/>
  <c r="G222" i="5"/>
  <c r="C222" i="5"/>
  <c r="S221" i="5"/>
  <c r="O221" i="5"/>
  <c r="K221" i="5"/>
  <c r="G221" i="5"/>
  <c r="C221" i="5"/>
  <c r="S220" i="5"/>
  <c r="O220" i="5"/>
  <c r="K220" i="5"/>
  <c r="G220" i="5"/>
  <c r="C220" i="5"/>
  <c r="S219" i="5"/>
  <c r="O219" i="5"/>
  <c r="K219" i="5"/>
  <c r="G219" i="5"/>
  <c r="C219" i="5"/>
  <c r="S218" i="5"/>
  <c r="O218" i="5"/>
  <c r="K218" i="5"/>
  <c r="G218" i="5"/>
  <c r="C218" i="5"/>
  <c r="S217" i="5"/>
  <c r="O217" i="5"/>
  <c r="K217" i="5"/>
  <c r="G217" i="5"/>
  <c r="C217" i="5"/>
  <c r="S216" i="5"/>
  <c r="O216" i="5"/>
  <c r="K216" i="5"/>
  <c r="G216" i="5"/>
  <c r="C216" i="5"/>
  <c r="S215" i="5"/>
  <c r="O215" i="5"/>
  <c r="K215" i="5"/>
  <c r="G215" i="5"/>
  <c r="C215" i="5"/>
  <c r="S214" i="5"/>
  <c r="O214" i="5"/>
  <c r="K214" i="5"/>
  <c r="G214" i="5"/>
  <c r="C214" i="5"/>
  <c r="S213" i="5"/>
  <c r="O213" i="5"/>
  <c r="K213" i="5"/>
  <c r="G213" i="5"/>
  <c r="C213" i="5"/>
  <c r="S212" i="5"/>
  <c r="O212" i="5"/>
  <c r="K212" i="5"/>
  <c r="G212" i="5"/>
  <c r="C212" i="5"/>
  <c r="S211" i="5"/>
  <c r="O211" i="5"/>
  <c r="K211" i="5"/>
  <c r="G211" i="5"/>
  <c r="C211" i="5"/>
  <c r="S210" i="5"/>
  <c r="O210" i="5"/>
  <c r="K210" i="5"/>
  <c r="G210" i="5"/>
  <c r="C210" i="5"/>
  <c r="S209" i="5"/>
  <c r="O209" i="5"/>
  <c r="K209" i="5"/>
  <c r="G209" i="5"/>
  <c r="C209" i="5"/>
  <c r="S208" i="5"/>
  <c r="O208" i="5"/>
  <c r="K208" i="5"/>
  <c r="G208" i="5"/>
  <c r="C208" i="5"/>
  <c r="S207" i="5"/>
  <c r="O207" i="5"/>
  <c r="K207" i="5"/>
  <c r="G207" i="5"/>
  <c r="C207" i="5"/>
  <c r="S206" i="5"/>
  <c r="O206" i="5"/>
  <c r="K206" i="5"/>
  <c r="G206" i="5"/>
  <c r="C206" i="5"/>
  <c r="S205" i="5"/>
  <c r="O205" i="5"/>
  <c r="K205" i="5"/>
  <c r="G205" i="5"/>
  <c r="C205" i="5"/>
  <c r="S204" i="5"/>
  <c r="O204" i="5"/>
  <c r="K204" i="5"/>
  <c r="G204" i="5"/>
  <c r="C204" i="5"/>
  <c r="S203" i="5"/>
  <c r="O203" i="5"/>
  <c r="K203" i="5"/>
  <c r="G203" i="5"/>
  <c r="C203" i="5"/>
  <c r="S202" i="5"/>
  <c r="O202" i="5"/>
  <c r="K202" i="5"/>
  <c r="G202" i="5"/>
  <c r="C202" i="5"/>
  <c r="S201" i="5"/>
  <c r="O201" i="5"/>
  <c r="K201" i="5"/>
  <c r="G201" i="5"/>
  <c r="C201" i="5"/>
  <c r="S200" i="5"/>
  <c r="O200" i="5"/>
  <c r="K200" i="5"/>
  <c r="G200" i="5"/>
  <c r="C200" i="5"/>
  <c r="S199" i="5"/>
  <c r="O199" i="5"/>
  <c r="K199" i="5"/>
  <c r="G199" i="5"/>
  <c r="C199" i="5"/>
  <c r="S198" i="5"/>
  <c r="O198" i="5"/>
  <c r="K198" i="5"/>
  <c r="G198" i="5"/>
  <c r="C198" i="5"/>
  <c r="S197" i="5"/>
  <c r="O197" i="5"/>
  <c r="K197" i="5"/>
  <c r="G197" i="5"/>
  <c r="C197" i="5"/>
  <c r="S196" i="5"/>
  <c r="O196" i="5"/>
  <c r="K196" i="5"/>
  <c r="G196" i="5"/>
  <c r="C196" i="5"/>
  <c r="S195" i="5"/>
  <c r="O195" i="5"/>
  <c r="K195" i="5"/>
  <c r="G195" i="5"/>
  <c r="C195" i="5"/>
  <c r="S194" i="5"/>
  <c r="O194" i="5"/>
  <c r="K194" i="5"/>
  <c r="G194" i="5"/>
  <c r="C194" i="5"/>
  <c r="S193" i="5"/>
  <c r="O193" i="5"/>
  <c r="K193" i="5"/>
  <c r="G193" i="5"/>
  <c r="C193" i="5"/>
  <c r="S192" i="5"/>
  <c r="O192" i="5"/>
  <c r="K192" i="5"/>
  <c r="G192" i="5"/>
  <c r="C192" i="5"/>
  <c r="S191" i="5"/>
  <c r="O191" i="5"/>
  <c r="K191" i="5"/>
  <c r="G191" i="5"/>
  <c r="C191" i="5"/>
  <c r="S190" i="5"/>
  <c r="O190" i="5"/>
  <c r="K190" i="5"/>
  <c r="G190" i="5"/>
  <c r="C190" i="5"/>
  <c r="S189" i="5"/>
  <c r="O189" i="5"/>
  <c r="K189" i="5"/>
  <c r="G189" i="5"/>
  <c r="C189" i="5"/>
  <c r="S188" i="5"/>
  <c r="O188" i="5"/>
  <c r="K188" i="5"/>
  <c r="G188" i="5"/>
  <c r="C188" i="5"/>
  <c r="S187" i="5"/>
  <c r="O187" i="5"/>
  <c r="K187" i="5"/>
  <c r="G187" i="5"/>
  <c r="C187" i="5"/>
  <c r="S186" i="5"/>
  <c r="O186" i="5"/>
  <c r="K186" i="5"/>
  <c r="G186" i="5"/>
  <c r="C186" i="5"/>
  <c r="S185" i="5"/>
  <c r="O185" i="5"/>
  <c r="K185" i="5"/>
  <c r="G185" i="5"/>
  <c r="C185" i="5"/>
  <c r="S184" i="5"/>
  <c r="O184" i="5"/>
  <c r="K184" i="5"/>
  <c r="G184" i="5"/>
  <c r="C184" i="5"/>
  <c r="S183" i="5"/>
  <c r="O183" i="5"/>
  <c r="K183" i="5"/>
  <c r="G183" i="5"/>
  <c r="C183" i="5"/>
  <c r="S182" i="5"/>
  <c r="O182" i="5"/>
  <c r="K182" i="5"/>
  <c r="G182" i="5"/>
  <c r="C182" i="5"/>
  <c r="S181" i="5"/>
  <c r="O181" i="5"/>
  <c r="K181" i="5"/>
  <c r="G181" i="5"/>
  <c r="C181" i="5"/>
  <c r="S180" i="5"/>
  <c r="O180" i="5"/>
  <c r="K180" i="5"/>
  <c r="G180" i="5"/>
  <c r="A365" i="5"/>
  <c r="E364" i="5"/>
  <c r="I363" i="5"/>
  <c r="M362" i="5"/>
  <c r="Q361" i="5"/>
  <c r="A361" i="5"/>
  <c r="E360" i="5"/>
  <c r="I359" i="5"/>
  <c r="M358" i="5"/>
  <c r="Q357" i="5"/>
  <c r="A357" i="5"/>
  <c r="E356" i="5"/>
  <c r="I355" i="5"/>
  <c r="M354" i="5"/>
  <c r="Q353" i="5"/>
  <c r="A353" i="5"/>
  <c r="E352" i="5"/>
  <c r="I351" i="5"/>
  <c r="P350" i="5"/>
  <c r="H350" i="5"/>
  <c r="P349" i="5"/>
  <c r="H349" i="5"/>
  <c r="P348" i="5"/>
  <c r="H348" i="5"/>
  <c r="P347" i="5"/>
  <c r="H347" i="5"/>
  <c r="P346" i="5"/>
  <c r="H346" i="5"/>
  <c r="P345" i="5"/>
  <c r="H345" i="5"/>
  <c r="P344" i="5"/>
  <c r="H344" i="5"/>
  <c r="P343" i="5"/>
  <c r="H343" i="5"/>
  <c r="P342" i="5"/>
  <c r="H342" i="5"/>
  <c r="P341" i="5"/>
  <c r="H341" i="5"/>
  <c r="P340" i="5"/>
  <c r="H340" i="5"/>
  <c r="P339" i="5"/>
  <c r="H339" i="5"/>
  <c r="P338" i="5"/>
  <c r="H338" i="5"/>
  <c r="P337" i="5"/>
  <c r="H337" i="5"/>
  <c r="P336" i="5"/>
  <c r="H336" i="5"/>
  <c r="P335" i="5"/>
  <c r="H335" i="5"/>
  <c r="P334" i="5"/>
  <c r="H334" i="5"/>
  <c r="P333" i="5"/>
  <c r="H333" i="5"/>
  <c r="P332" i="5"/>
  <c r="H332" i="5"/>
  <c r="P331" i="5"/>
  <c r="H331" i="5"/>
  <c r="P330" i="5"/>
  <c r="H330" i="5"/>
  <c r="P329" i="5"/>
  <c r="H329" i="5"/>
  <c r="P328" i="5"/>
  <c r="H328" i="5"/>
  <c r="P327" i="5"/>
  <c r="H327" i="5"/>
  <c r="P326" i="5"/>
  <c r="H326" i="5"/>
  <c r="P325" i="5"/>
  <c r="H325" i="5"/>
  <c r="P324" i="5"/>
  <c r="H324" i="5"/>
  <c r="P323" i="5"/>
  <c r="H323" i="5"/>
  <c r="P322" i="5"/>
  <c r="H322" i="5"/>
  <c r="P321" i="5"/>
  <c r="H321" i="5"/>
  <c r="P320" i="5"/>
  <c r="H320" i="5"/>
  <c r="P319" i="5"/>
  <c r="H319" i="5"/>
  <c r="P318" i="5"/>
  <c r="H318" i="5"/>
  <c r="P317" i="5"/>
  <c r="H317" i="5"/>
  <c r="P316" i="5"/>
  <c r="H316" i="5"/>
  <c r="P315" i="5"/>
  <c r="H315" i="5"/>
  <c r="P314" i="5"/>
  <c r="H314" i="5"/>
  <c r="P313" i="5"/>
  <c r="H313" i="5"/>
  <c r="P312" i="5"/>
  <c r="H312" i="5"/>
  <c r="P311" i="5"/>
  <c r="H311" i="5"/>
  <c r="P310" i="5"/>
  <c r="H310" i="5"/>
  <c r="P309" i="5"/>
  <c r="H309" i="5"/>
  <c r="P308" i="5"/>
  <c r="H308" i="5"/>
  <c r="P307" i="5"/>
  <c r="H307" i="5"/>
  <c r="P306" i="5"/>
  <c r="H306" i="5"/>
  <c r="P305" i="5"/>
  <c r="H305" i="5"/>
  <c r="P304" i="5"/>
  <c r="H304" i="5"/>
  <c r="P303" i="5"/>
  <c r="H303" i="5"/>
  <c r="P302" i="5"/>
  <c r="H302" i="5"/>
  <c r="P301" i="5"/>
  <c r="H301" i="5"/>
  <c r="P300" i="5"/>
  <c r="H300" i="5"/>
  <c r="P299" i="5"/>
  <c r="H299" i="5"/>
  <c r="P298" i="5"/>
  <c r="H298" i="5"/>
  <c r="P297" i="5"/>
  <c r="H297" i="5"/>
  <c r="P296" i="5"/>
  <c r="H296" i="5"/>
  <c r="P295" i="5"/>
  <c r="H295" i="5"/>
  <c r="P294" i="5"/>
  <c r="H294" i="5"/>
  <c r="P293" i="5"/>
  <c r="H293" i="5"/>
  <c r="P292" i="5"/>
  <c r="H292" i="5"/>
  <c r="P291" i="5"/>
  <c r="H291" i="5"/>
  <c r="P290" i="5"/>
  <c r="H290" i="5"/>
  <c r="P289" i="5"/>
  <c r="H289" i="5"/>
  <c r="P288" i="5"/>
  <c r="H288" i="5"/>
  <c r="P287" i="5"/>
  <c r="H287" i="5"/>
  <c r="P286" i="5"/>
  <c r="H286" i="5"/>
  <c r="P285" i="5"/>
  <c r="H285" i="5"/>
  <c r="P284" i="5"/>
  <c r="H284" i="5"/>
  <c r="P283" i="5"/>
  <c r="H283" i="5"/>
  <c r="P282" i="5"/>
  <c r="H282" i="5"/>
  <c r="P281" i="5"/>
  <c r="H281" i="5"/>
  <c r="P280" i="5"/>
  <c r="H280" i="5"/>
  <c r="P279" i="5"/>
  <c r="H279" i="5"/>
  <c r="P278" i="5"/>
  <c r="H278" i="5"/>
  <c r="P277" i="5"/>
  <c r="H277" i="5"/>
  <c r="P276" i="5"/>
  <c r="H276" i="5"/>
  <c r="P275" i="5"/>
  <c r="H275" i="5"/>
  <c r="P274" i="5"/>
  <c r="H274" i="5"/>
  <c r="P273" i="5"/>
  <c r="H273" i="5"/>
  <c r="P272" i="5"/>
  <c r="H272" i="5"/>
  <c r="P271" i="5"/>
  <c r="H271" i="5"/>
  <c r="P270" i="5"/>
  <c r="H270" i="5"/>
  <c r="P269" i="5"/>
  <c r="H269" i="5"/>
  <c r="P268" i="5"/>
  <c r="H268" i="5"/>
  <c r="P267" i="5"/>
  <c r="H267" i="5"/>
  <c r="P266" i="5"/>
  <c r="H266" i="5"/>
  <c r="P265" i="5"/>
  <c r="H265" i="5"/>
  <c r="P264" i="5"/>
  <c r="H264" i="5"/>
  <c r="P263" i="5"/>
  <c r="H263" i="5"/>
  <c r="P262" i="5"/>
  <c r="H262" i="5"/>
  <c r="P261" i="5"/>
  <c r="H261" i="5"/>
  <c r="P260" i="5"/>
  <c r="H260" i="5"/>
  <c r="P259" i="5"/>
  <c r="H259" i="5"/>
  <c r="P258" i="5"/>
  <c r="H258" i="5"/>
  <c r="P257" i="5"/>
  <c r="H257" i="5"/>
  <c r="P256" i="5"/>
  <c r="H256" i="5"/>
  <c r="P255" i="5"/>
  <c r="H255" i="5"/>
  <c r="P254" i="5"/>
  <c r="H254" i="5"/>
  <c r="P253" i="5"/>
  <c r="H253" i="5"/>
  <c r="P252" i="5"/>
  <c r="H252" i="5"/>
  <c r="P251" i="5"/>
  <c r="H251" i="5"/>
  <c r="P250" i="5"/>
  <c r="H250" i="5"/>
  <c r="P249" i="5"/>
  <c r="H249" i="5"/>
  <c r="P248" i="5"/>
  <c r="H248" i="5"/>
  <c r="P247" i="5"/>
  <c r="H247" i="5"/>
  <c r="P246" i="5"/>
  <c r="H246" i="5"/>
  <c r="P245" i="5"/>
  <c r="H245" i="5"/>
  <c r="P244" i="5"/>
  <c r="H244" i="5"/>
  <c r="P243" i="5"/>
  <c r="H243" i="5"/>
  <c r="P242" i="5"/>
  <c r="H242" i="5"/>
  <c r="P241" i="5"/>
  <c r="H241" i="5"/>
  <c r="P240" i="5"/>
  <c r="H240" i="5"/>
  <c r="P239" i="5"/>
  <c r="H239" i="5"/>
  <c r="P238" i="5"/>
  <c r="H238" i="5"/>
  <c r="P237" i="5"/>
  <c r="H237" i="5"/>
  <c r="P236" i="5"/>
  <c r="H236" i="5"/>
  <c r="P235" i="5"/>
  <c r="H235" i="5"/>
  <c r="P234" i="5"/>
  <c r="H234" i="5"/>
  <c r="P233" i="5"/>
  <c r="H233" i="5"/>
  <c r="P232" i="5"/>
  <c r="H232" i="5"/>
  <c r="P231" i="5"/>
  <c r="H231" i="5"/>
  <c r="P230" i="5"/>
  <c r="H230" i="5"/>
  <c r="P229" i="5"/>
  <c r="H229" i="5"/>
  <c r="P228" i="5"/>
  <c r="H228" i="5"/>
  <c r="P227" i="5"/>
  <c r="H227" i="5"/>
  <c r="P226" i="5"/>
  <c r="H226" i="5"/>
  <c r="P225" i="5"/>
  <c r="H225" i="5"/>
  <c r="P224" i="5"/>
  <c r="H224" i="5"/>
  <c r="P223" i="5"/>
  <c r="H223" i="5"/>
  <c r="P222" i="5"/>
  <c r="H222" i="5"/>
  <c r="P221" i="5"/>
  <c r="H221" i="5"/>
  <c r="P220" i="5"/>
  <c r="H220" i="5"/>
  <c r="P219" i="5"/>
  <c r="H219" i="5"/>
  <c r="P218" i="5"/>
  <c r="H218" i="5"/>
  <c r="P217" i="5"/>
  <c r="H217" i="5"/>
  <c r="P216" i="5"/>
  <c r="H216" i="5"/>
  <c r="P215" i="5"/>
  <c r="H215" i="5"/>
  <c r="P214" i="5"/>
  <c r="H214" i="5"/>
  <c r="P213" i="5"/>
  <c r="H213" i="5"/>
  <c r="P212" i="5"/>
  <c r="H212" i="5"/>
  <c r="P211" i="5"/>
  <c r="H211" i="5"/>
  <c r="P210" i="5"/>
  <c r="H210" i="5"/>
  <c r="P209" i="5"/>
  <c r="H209" i="5"/>
  <c r="P208" i="5"/>
  <c r="H208" i="5"/>
  <c r="P207" i="5"/>
  <c r="H207" i="5"/>
  <c r="P206" i="5"/>
  <c r="H206" i="5"/>
  <c r="P205" i="5"/>
  <c r="H205" i="5"/>
  <c r="P204" i="5"/>
  <c r="H204" i="5"/>
  <c r="P203" i="5"/>
  <c r="H203" i="5"/>
  <c r="P202" i="5"/>
  <c r="H202" i="5"/>
  <c r="P201" i="5"/>
  <c r="H201" i="5"/>
  <c r="P200" i="5"/>
  <c r="H200" i="5"/>
  <c r="P199" i="5"/>
  <c r="H199" i="5"/>
  <c r="P198" i="5"/>
  <c r="H198" i="5"/>
  <c r="P197" i="5"/>
  <c r="H197" i="5"/>
  <c r="P196" i="5"/>
  <c r="H196" i="5"/>
  <c r="P195" i="5"/>
  <c r="H195" i="5"/>
  <c r="P194" i="5"/>
  <c r="H194" i="5"/>
  <c r="P193" i="5"/>
  <c r="H193" i="5"/>
  <c r="P192" i="5"/>
  <c r="H192" i="5"/>
  <c r="P191" i="5"/>
  <c r="H191" i="5"/>
  <c r="P190" i="5"/>
  <c r="H190" i="5"/>
  <c r="P189" i="5"/>
  <c r="H189" i="5"/>
  <c r="P188" i="5"/>
  <c r="H188" i="5"/>
  <c r="P187" i="5"/>
  <c r="H187" i="5"/>
  <c r="P186" i="5"/>
  <c r="H186" i="5"/>
  <c r="P185" i="5"/>
  <c r="H185" i="5"/>
  <c r="P184" i="5"/>
  <c r="H184" i="5"/>
  <c r="P183" i="5"/>
  <c r="H183" i="5"/>
  <c r="P182" i="5"/>
  <c r="H182" i="5"/>
  <c r="P181" i="5"/>
  <c r="H181" i="5"/>
  <c r="P180" i="5"/>
  <c r="H180" i="5"/>
  <c r="B180" i="5"/>
  <c r="P179" i="5"/>
  <c r="L179" i="5"/>
  <c r="H179" i="5"/>
  <c r="D179" i="5"/>
  <c r="R178" i="5"/>
  <c r="N178" i="5"/>
  <c r="J178" i="5"/>
  <c r="F178" i="5"/>
  <c r="B178" i="5"/>
  <c r="P177" i="5"/>
  <c r="L177" i="5"/>
  <c r="H177" i="5"/>
  <c r="D177" i="5"/>
  <c r="R176" i="5"/>
  <c r="N176" i="5"/>
  <c r="J176" i="5"/>
  <c r="F176" i="5"/>
  <c r="B176" i="5"/>
  <c r="P175" i="5"/>
  <c r="L175" i="5"/>
  <c r="H175" i="5"/>
  <c r="D175" i="5"/>
  <c r="R174" i="5"/>
  <c r="N174" i="5"/>
  <c r="J174" i="5"/>
  <c r="F174" i="5"/>
  <c r="B174" i="5"/>
  <c r="P173" i="5"/>
  <c r="L173" i="5"/>
  <c r="H173" i="5"/>
  <c r="D173" i="5"/>
  <c r="R172" i="5"/>
  <c r="N172" i="5"/>
  <c r="J172" i="5"/>
  <c r="F172" i="5"/>
  <c r="B172" i="5"/>
  <c r="P171" i="5"/>
  <c r="L171" i="5"/>
  <c r="H171" i="5"/>
  <c r="D171" i="5"/>
  <c r="R170" i="5"/>
  <c r="N170" i="5"/>
  <c r="J170" i="5"/>
  <c r="F170" i="5"/>
  <c r="B170" i="5"/>
  <c r="P169" i="5"/>
  <c r="L169" i="5"/>
  <c r="H169" i="5"/>
  <c r="D169" i="5"/>
  <c r="R168" i="5"/>
  <c r="N168" i="5"/>
  <c r="J168" i="5"/>
  <c r="F168" i="5"/>
  <c r="B168" i="5"/>
  <c r="P167" i="5"/>
  <c r="L167" i="5"/>
  <c r="H167" i="5"/>
  <c r="D167" i="5"/>
  <c r="R166" i="5"/>
  <c r="N166" i="5"/>
  <c r="J166" i="5"/>
  <c r="F166" i="5"/>
  <c r="B166" i="5"/>
  <c r="P165" i="5"/>
  <c r="L165" i="5"/>
  <c r="H165" i="5"/>
  <c r="D165" i="5"/>
  <c r="R164" i="5"/>
  <c r="N164" i="5"/>
  <c r="J164" i="5"/>
  <c r="F164" i="5"/>
  <c r="B164" i="5"/>
  <c r="P163" i="5"/>
  <c r="L163" i="5"/>
  <c r="H163" i="5"/>
  <c r="D163" i="5"/>
  <c r="R162" i="5"/>
  <c r="N162" i="5"/>
  <c r="J162" i="5"/>
  <c r="F162" i="5"/>
  <c r="B162" i="5"/>
  <c r="P161" i="5"/>
  <c r="L161" i="5"/>
  <c r="H161" i="5"/>
  <c r="D161" i="5"/>
  <c r="R160" i="5"/>
  <c r="N160" i="5"/>
  <c r="J160" i="5"/>
  <c r="F160" i="5"/>
  <c r="B160" i="5"/>
  <c r="P159" i="5"/>
  <c r="L159" i="5"/>
  <c r="H159" i="5"/>
  <c r="D159" i="5"/>
  <c r="R158" i="5"/>
  <c r="N158" i="5"/>
  <c r="J158" i="5"/>
  <c r="F158" i="5"/>
  <c r="B158" i="5"/>
  <c r="P157" i="5"/>
  <c r="L157" i="5"/>
  <c r="H157" i="5"/>
  <c r="D157" i="5"/>
  <c r="R156" i="5"/>
  <c r="N156" i="5"/>
  <c r="J156" i="5"/>
  <c r="F156" i="5"/>
  <c r="B156" i="5"/>
  <c r="P155" i="5"/>
  <c r="L155" i="5"/>
  <c r="H155" i="5"/>
  <c r="D155" i="5"/>
  <c r="R154" i="5"/>
  <c r="N154" i="5"/>
  <c r="J154" i="5"/>
  <c r="F154" i="5"/>
  <c r="B154" i="5"/>
  <c r="P153" i="5"/>
  <c r="L153" i="5"/>
  <c r="H153" i="5"/>
  <c r="D153" i="5"/>
  <c r="R152" i="5"/>
  <c r="N152" i="5"/>
  <c r="J152" i="5"/>
  <c r="F152" i="5"/>
  <c r="B152" i="5"/>
  <c r="P151" i="5"/>
  <c r="L151" i="5"/>
  <c r="H151" i="5"/>
  <c r="D151" i="5"/>
  <c r="R150" i="5"/>
  <c r="N150" i="5"/>
  <c r="J150" i="5"/>
  <c r="F150" i="5"/>
  <c r="B150" i="5"/>
  <c r="P149" i="5"/>
  <c r="L149" i="5"/>
  <c r="H149" i="5"/>
  <c r="D149" i="5"/>
  <c r="R148" i="5"/>
  <c r="N148" i="5"/>
  <c r="J148" i="5"/>
  <c r="F148" i="5"/>
  <c r="B148" i="5"/>
  <c r="P147" i="5"/>
  <c r="L147" i="5"/>
  <c r="H147" i="5"/>
  <c r="D147" i="5"/>
  <c r="R146" i="5"/>
  <c r="N146" i="5"/>
  <c r="J146" i="5"/>
  <c r="F146" i="5"/>
  <c r="B146" i="5"/>
  <c r="P145" i="5"/>
  <c r="L145" i="5"/>
  <c r="H145" i="5"/>
  <c r="D145" i="5"/>
  <c r="R144" i="5"/>
  <c r="N144" i="5"/>
  <c r="J144" i="5"/>
  <c r="F144" i="5"/>
  <c r="B144" i="5"/>
  <c r="P143" i="5"/>
  <c r="L143" i="5"/>
  <c r="H143" i="5"/>
  <c r="D143" i="5"/>
  <c r="R142" i="5"/>
  <c r="N142" i="5"/>
  <c r="J142" i="5"/>
  <c r="F142" i="5"/>
  <c r="B142" i="5"/>
  <c r="P141" i="5"/>
  <c r="L141" i="5"/>
  <c r="H141" i="5"/>
  <c r="D141" i="5"/>
  <c r="R140" i="5"/>
  <c r="N140" i="5"/>
  <c r="J140" i="5"/>
  <c r="F140" i="5"/>
  <c r="B140" i="5"/>
  <c r="P139" i="5"/>
  <c r="L139" i="5"/>
  <c r="H139" i="5"/>
  <c r="D139" i="5"/>
  <c r="R138" i="5"/>
  <c r="N138" i="5"/>
  <c r="J138" i="5"/>
  <c r="F138" i="5"/>
  <c r="B138" i="5"/>
  <c r="P137" i="5"/>
  <c r="L137" i="5"/>
  <c r="H137" i="5"/>
  <c r="D137" i="5"/>
  <c r="R136" i="5"/>
  <c r="N136" i="5"/>
  <c r="J136" i="5"/>
  <c r="F136" i="5"/>
  <c r="B136" i="5"/>
  <c r="P135" i="5"/>
  <c r="L135" i="5"/>
  <c r="H135" i="5"/>
  <c r="D135" i="5"/>
  <c r="R134" i="5"/>
  <c r="N134" i="5"/>
  <c r="J134" i="5"/>
  <c r="F134" i="5"/>
  <c r="B134" i="5"/>
  <c r="P133" i="5"/>
  <c r="L133" i="5"/>
  <c r="H133" i="5"/>
  <c r="D133" i="5"/>
  <c r="R132" i="5"/>
  <c r="N132" i="5"/>
  <c r="J132" i="5"/>
  <c r="F132" i="5"/>
  <c r="B132" i="5"/>
  <c r="P131" i="5"/>
  <c r="L131" i="5"/>
  <c r="H131" i="5"/>
  <c r="D131" i="5"/>
  <c r="R130" i="5"/>
  <c r="N130" i="5"/>
  <c r="J130" i="5"/>
  <c r="F130" i="5"/>
  <c r="B130" i="5"/>
  <c r="P129" i="5"/>
  <c r="L129" i="5"/>
  <c r="H129" i="5"/>
  <c r="D129" i="5"/>
  <c r="R128" i="5"/>
  <c r="N128" i="5"/>
  <c r="J128" i="5"/>
  <c r="F128" i="5"/>
  <c r="B128" i="5"/>
  <c r="P127" i="5"/>
  <c r="L127" i="5"/>
  <c r="H127" i="5"/>
  <c r="D127" i="5"/>
  <c r="R126" i="5"/>
  <c r="N126" i="5"/>
  <c r="J126" i="5"/>
  <c r="F126" i="5"/>
  <c r="B126" i="5"/>
  <c r="P125" i="5"/>
  <c r="L125" i="5"/>
  <c r="H125" i="5"/>
  <c r="D125" i="5"/>
  <c r="R124" i="5"/>
  <c r="N124" i="5"/>
  <c r="J124" i="5"/>
  <c r="F124" i="5"/>
  <c r="B124" i="5"/>
  <c r="P123" i="5"/>
  <c r="L123" i="5"/>
  <c r="H123" i="5"/>
  <c r="D123" i="5"/>
  <c r="R122" i="5"/>
  <c r="N122" i="5"/>
  <c r="J122" i="5"/>
  <c r="F122" i="5"/>
  <c r="B122" i="5"/>
  <c r="P121" i="5"/>
  <c r="L121" i="5"/>
  <c r="H121" i="5"/>
  <c r="D121" i="5"/>
  <c r="R120" i="5"/>
  <c r="N120" i="5"/>
  <c r="J120" i="5"/>
  <c r="F120" i="5"/>
  <c r="B120" i="5"/>
  <c r="P119" i="5"/>
  <c r="L119" i="5"/>
  <c r="H119" i="5"/>
  <c r="D119" i="5"/>
  <c r="R118" i="5"/>
  <c r="N118" i="5"/>
  <c r="J118" i="5"/>
  <c r="F118" i="5"/>
  <c r="B118" i="5"/>
  <c r="P117" i="5"/>
  <c r="L117" i="5"/>
  <c r="H117" i="5"/>
  <c r="D117" i="5"/>
  <c r="R116" i="5"/>
  <c r="N116" i="5"/>
  <c r="J116" i="5"/>
  <c r="F116" i="5"/>
  <c r="B116" i="5"/>
  <c r="P115" i="5"/>
  <c r="L115" i="5"/>
  <c r="H115" i="5"/>
  <c r="D115" i="5"/>
  <c r="R114" i="5"/>
  <c r="N114" i="5"/>
  <c r="J114" i="5"/>
  <c r="F114" i="5"/>
  <c r="B114" i="5"/>
  <c r="P113" i="5"/>
  <c r="L113" i="5"/>
  <c r="H113" i="5"/>
  <c r="D113" i="5"/>
  <c r="R112" i="5"/>
  <c r="N112" i="5"/>
  <c r="J112" i="5"/>
  <c r="F112" i="5"/>
  <c r="B112" i="5"/>
  <c r="P111" i="5"/>
  <c r="L111" i="5"/>
  <c r="H111" i="5"/>
  <c r="D111" i="5"/>
  <c r="R110" i="5"/>
  <c r="N110" i="5"/>
  <c r="J110" i="5"/>
  <c r="F110" i="5"/>
  <c r="B110" i="5"/>
  <c r="P109" i="5"/>
  <c r="L109" i="5"/>
  <c r="H109" i="5"/>
  <c r="D109" i="5"/>
  <c r="R108" i="5"/>
  <c r="N108" i="5"/>
  <c r="J108" i="5"/>
  <c r="F108" i="5"/>
  <c r="B108" i="5"/>
  <c r="P107" i="5"/>
  <c r="L107" i="5"/>
  <c r="H107" i="5"/>
  <c r="D107" i="5"/>
  <c r="R106" i="5"/>
  <c r="N106" i="5"/>
  <c r="J106" i="5"/>
  <c r="F106" i="5"/>
  <c r="B106" i="5"/>
  <c r="P105" i="5"/>
  <c r="L105" i="5"/>
  <c r="H105" i="5"/>
  <c r="D105" i="5"/>
  <c r="R104" i="5"/>
  <c r="N104" i="5"/>
  <c r="J104" i="5"/>
  <c r="F104" i="5"/>
  <c r="B104" i="5"/>
  <c r="P103" i="5"/>
  <c r="L103" i="5"/>
  <c r="H103" i="5"/>
  <c r="D103" i="5"/>
  <c r="R102" i="5"/>
  <c r="N102" i="5"/>
  <c r="J102" i="5"/>
  <c r="F102" i="5"/>
  <c r="B102" i="5"/>
  <c r="P101" i="5"/>
  <c r="L101" i="5"/>
  <c r="H101" i="5"/>
  <c r="D101" i="5"/>
  <c r="R100" i="5"/>
  <c r="N100" i="5"/>
  <c r="J100" i="5"/>
  <c r="F100" i="5"/>
  <c r="B100" i="5"/>
  <c r="P99" i="5"/>
  <c r="L99" i="5"/>
  <c r="H99" i="5"/>
  <c r="D99" i="5"/>
  <c r="R98" i="5"/>
  <c r="N98" i="5"/>
  <c r="J98" i="5"/>
  <c r="F98" i="5"/>
  <c r="B98" i="5"/>
  <c r="P97" i="5"/>
  <c r="L97" i="5"/>
  <c r="H97" i="5"/>
  <c r="D97" i="5"/>
  <c r="R96" i="5"/>
  <c r="N96" i="5"/>
  <c r="J96" i="5"/>
  <c r="F96" i="5"/>
  <c r="B96" i="5"/>
  <c r="P95" i="5"/>
  <c r="L95" i="5"/>
  <c r="H95" i="5"/>
  <c r="D95" i="5"/>
  <c r="R94" i="5"/>
  <c r="N94" i="5"/>
  <c r="J94" i="5"/>
  <c r="F94" i="5"/>
  <c r="B94" i="5"/>
  <c r="P93" i="5"/>
  <c r="L93" i="5"/>
  <c r="H93" i="5"/>
  <c r="D93" i="5"/>
  <c r="R92" i="5"/>
  <c r="N92" i="5"/>
  <c r="J92" i="5"/>
  <c r="F92" i="5"/>
  <c r="B92" i="5"/>
  <c r="P91" i="5"/>
  <c r="L91" i="5"/>
  <c r="H91" i="5"/>
  <c r="D91" i="5"/>
  <c r="R90" i="5"/>
  <c r="N90" i="5"/>
  <c r="J90" i="5"/>
  <c r="F90" i="5"/>
  <c r="B90" i="5"/>
  <c r="P89" i="5"/>
  <c r="L89" i="5"/>
  <c r="H89" i="5"/>
  <c r="D89" i="5"/>
  <c r="R88" i="5"/>
  <c r="N88" i="5"/>
  <c r="J88" i="5"/>
  <c r="F88" i="5"/>
  <c r="B88" i="5"/>
  <c r="P87" i="5"/>
  <c r="L87" i="5"/>
  <c r="H87" i="5"/>
  <c r="D87" i="5"/>
  <c r="R86" i="5"/>
  <c r="N86" i="5"/>
  <c r="J86" i="5"/>
  <c r="F86" i="5"/>
  <c r="B86" i="5"/>
  <c r="P85" i="5"/>
  <c r="L85" i="5"/>
  <c r="H85" i="5"/>
  <c r="D85" i="5"/>
  <c r="R84" i="5"/>
  <c r="N84" i="5"/>
  <c r="J84" i="5"/>
  <c r="F84" i="5"/>
  <c r="B84" i="5"/>
  <c r="P83" i="5"/>
  <c r="L83" i="5"/>
  <c r="H83" i="5"/>
  <c r="D83" i="5"/>
  <c r="R82" i="5"/>
  <c r="N82" i="5"/>
  <c r="J82" i="5"/>
  <c r="F82" i="5"/>
  <c r="B82" i="5"/>
  <c r="P81" i="5"/>
  <c r="L81" i="5"/>
  <c r="H81" i="5"/>
  <c r="D81" i="5"/>
  <c r="R80" i="5"/>
  <c r="N80" i="5"/>
  <c r="J80" i="5"/>
  <c r="F80" i="5"/>
  <c r="B80" i="5"/>
  <c r="P79" i="5"/>
  <c r="L79" i="5"/>
  <c r="H79" i="5"/>
  <c r="D79" i="5"/>
  <c r="R78" i="5"/>
  <c r="N78" i="5"/>
  <c r="J78" i="5"/>
  <c r="F78" i="5"/>
  <c r="B78" i="5"/>
  <c r="P77" i="5"/>
  <c r="L77" i="5"/>
  <c r="H77" i="5"/>
  <c r="D77" i="5"/>
  <c r="R76" i="5"/>
  <c r="N76" i="5"/>
  <c r="J76" i="5"/>
  <c r="F76" i="5"/>
  <c r="B76" i="5"/>
  <c r="P75" i="5"/>
  <c r="L75" i="5"/>
  <c r="H75" i="5"/>
  <c r="D75" i="5"/>
  <c r="R74" i="5"/>
  <c r="N74" i="5"/>
  <c r="J74" i="5"/>
  <c r="F74" i="5"/>
  <c r="B74" i="5"/>
  <c r="P73" i="5"/>
  <c r="L73" i="5"/>
  <c r="H73" i="5"/>
  <c r="D73" i="5"/>
  <c r="R72" i="5"/>
  <c r="N72" i="5"/>
  <c r="J72" i="5"/>
  <c r="F72" i="5"/>
  <c r="B72" i="5"/>
  <c r="P71" i="5"/>
  <c r="L71" i="5"/>
  <c r="H71" i="5"/>
  <c r="D71" i="5"/>
  <c r="R70" i="5"/>
  <c r="N70" i="5"/>
  <c r="J70" i="5"/>
  <c r="F70" i="5"/>
  <c r="B70" i="5"/>
  <c r="P69" i="5"/>
  <c r="L69" i="5"/>
  <c r="H69" i="5"/>
  <c r="D69" i="5"/>
  <c r="R68" i="5"/>
  <c r="N68" i="5"/>
  <c r="J68" i="5"/>
  <c r="F68" i="5"/>
  <c r="B68" i="5"/>
  <c r="P67" i="5"/>
  <c r="L67" i="5"/>
  <c r="H67" i="5"/>
  <c r="D67" i="5"/>
  <c r="R66" i="5"/>
  <c r="N66" i="5"/>
  <c r="J66" i="5"/>
  <c r="F66" i="5"/>
  <c r="B66" i="5"/>
  <c r="P65" i="5"/>
  <c r="L65" i="5"/>
  <c r="H65" i="5"/>
  <c r="D65" i="5"/>
  <c r="R64" i="5"/>
  <c r="N64" i="5"/>
  <c r="J64" i="5"/>
  <c r="F64" i="5"/>
  <c r="B64" i="5"/>
  <c r="P63" i="5"/>
  <c r="L63" i="5"/>
  <c r="H63" i="5"/>
  <c r="D63" i="5"/>
  <c r="R62" i="5"/>
  <c r="N62" i="5"/>
  <c r="J62" i="5"/>
  <c r="F62" i="5"/>
  <c r="B62" i="5"/>
  <c r="P61" i="5"/>
  <c r="L61" i="5"/>
  <c r="H61" i="5"/>
  <c r="D61" i="5"/>
  <c r="R60" i="5"/>
  <c r="N60" i="5"/>
  <c r="J60" i="5"/>
  <c r="F60" i="5"/>
  <c r="B60" i="5"/>
  <c r="P59" i="5"/>
  <c r="L59" i="5"/>
  <c r="H59" i="5"/>
  <c r="D59" i="5"/>
  <c r="R58" i="5"/>
  <c r="N58" i="5"/>
  <c r="J58" i="5"/>
  <c r="F58" i="5"/>
  <c r="B58" i="5"/>
  <c r="P57" i="5"/>
  <c r="L57" i="5"/>
  <c r="H57" i="5"/>
  <c r="D57" i="5"/>
  <c r="R56" i="5"/>
  <c r="N56" i="5"/>
  <c r="J56" i="5"/>
  <c r="F56" i="5"/>
  <c r="B56" i="5"/>
  <c r="P55" i="5"/>
  <c r="L55" i="5"/>
  <c r="H55" i="5"/>
  <c r="D55" i="5"/>
  <c r="R54" i="5"/>
  <c r="N54" i="5"/>
  <c r="J54" i="5"/>
  <c r="F54" i="5"/>
  <c r="B54" i="5"/>
  <c r="P53" i="5"/>
  <c r="L53" i="5"/>
  <c r="H53" i="5"/>
  <c r="D53" i="5"/>
  <c r="R52" i="5"/>
  <c r="N52" i="5"/>
  <c r="J52" i="5"/>
  <c r="F52" i="5"/>
  <c r="B52" i="5"/>
  <c r="P51" i="5"/>
  <c r="L51" i="5"/>
  <c r="H51" i="5"/>
  <c r="D51" i="5"/>
  <c r="R50" i="5"/>
  <c r="N50" i="5"/>
  <c r="J50" i="5"/>
  <c r="F50" i="5"/>
  <c r="B50" i="5"/>
  <c r="P49" i="5"/>
  <c r="L49" i="5"/>
  <c r="H49" i="5"/>
  <c r="D49" i="5"/>
  <c r="R48" i="5"/>
  <c r="N48" i="5"/>
  <c r="J48" i="5"/>
  <c r="F48" i="5"/>
  <c r="B48" i="5"/>
  <c r="P47" i="5"/>
  <c r="L47" i="5"/>
  <c r="H47" i="5"/>
  <c r="D47" i="5"/>
  <c r="R46" i="5"/>
  <c r="N46" i="5"/>
  <c r="J46" i="5"/>
  <c r="F46" i="5"/>
  <c r="B46" i="5"/>
  <c r="P45" i="5"/>
  <c r="L45" i="5"/>
  <c r="H45" i="5"/>
  <c r="D45" i="5"/>
  <c r="R44" i="5"/>
  <c r="N44" i="5"/>
  <c r="J44" i="5"/>
  <c r="F44" i="5"/>
  <c r="B44" i="5"/>
  <c r="P43" i="5"/>
  <c r="L43" i="5"/>
  <c r="H43" i="5"/>
  <c r="D43" i="5"/>
  <c r="R42" i="5"/>
  <c r="N42" i="5"/>
  <c r="J42" i="5"/>
  <c r="F42" i="5"/>
  <c r="B42" i="5"/>
  <c r="P41" i="5"/>
  <c r="L41" i="5"/>
  <c r="H41" i="5"/>
  <c r="D41" i="5"/>
  <c r="R40" i="5"/>
  <c r="N40" i="5"/>
  <c r="J40" i="5"/>
  <c r="F40" i="5"/>
  <c r="B40" i="5"/>
  <c r="P39" i="5"/>
  <c r="L39" i="5"/>
  <c r="H39" i="5"/>
  <c r="D39" i="5"/>
  <c r="R38" i="5"/>
  <c r="N38" i="5"/>
  <c r="J38" i="5"/>
  <c r="F38" i="5"/>
  <c r="B38" i="5"/>
  <c r="P37" i="5"/>
  <c r="L37" i="5"/>
  <c r="H37" i="5"/>
  <c r="D37" i="5"/>
  <c r="R36" i="5"/>
  <c r="N36" i="5"/>
  <c r="J36" i="5"/>
  <c r="F36" i="5"/>
  <c r="B36" i="5"/>
  <c r="P35" i="5"/>
  <c r="L35" i="5"/>
  <c r="H35" i="5"/>
  <c r="D35" i="5"/>
  <c r="R34" i="5"/>
  <c r="N34" i="5"/>
  <c r="J34" i="5"/>
  <c r="F34" i="5"/>
  <c r="B34" i="5"/>
  <c r="P33" i="5"/>
  <c r="L33" i="5"/>
  <c r="H33" i="5"/>
  <c r="D33" i="5"/>
  <c r="R32" i="5"/>
  <c r="N32" i="5"/>
  <c r="J32" i="5"/>
  <c r="F32" i="5"/>
  <c r="B32" i="5"/>
  <c r="P31" i="5"/>
  <c r="L31" i="5"/>
  <c r="H31" i="5"/>
  <c r="D31" i="5"/>
  <c r="R30" i="5"/>
  <c r="N30" i="5"/>
  <c r="J30" i="5"/>
  <c r="F30" i="5"/>
  <c r="B30" i="5"/>
  <c r="P29" i="5"/>
  <c r="L29" i="5"/>
  <c r="H29" i="5"/>
  <c r="D29" i="5"/>
  <c r="R28" i="5"/>
  <c r="N28" i="5"/>
  <c r="J28" i="5"/>
  <c r="F28" i="5"/>
  <c r="B28" i="5"/>
  <c r="P27" i="5"/>
  <c r="L27" i="5"/>
  <c r="H27" i="5"/>
  <c r="D27" i="5"/>
  <c r="R26" i="5"/>
  <c r="N26" i="5"/>
  <c r="J26" i="5"/>
  <c r="F26" i="5"/>
  <c r="B26" i="5"/>
  <c r="P25" i="5"/>
  <c r="L25" i="5"/>
  <c r="H25" i="5"/>
  <c r="D25" i="5"/>
  <c r="R24" i="5"/>
  <c r="N24" i="5"/>
  <c r="J24" i="5"/>
  <c r="F24" i="5"/>
  <c r="B24" i="5"/>
  <c r="P23" i="5"/>
  <c r="L23" i="5"/>
  <c r="H23" i="5"/>
  <c r="D23" i="5"/>
  <c r="R22" i="5"/>
  <c r="N22" i="5"/>
  <c r="J22" i="5"/>
  <c r="F22" i="5"/>
  <c r="B22" i="5"/>
  <c r="P21" i="5"/>
  <c r="L21" i="5"/>
  <c r="H21" i="5"/>
  <c r="D21" i="5"/>
  <c r="R20" i="5"/>
  <c r="N20" i="5"/>
  <c r="J20" i="5"/>
  <c r="F20" i="5"/>
  <c r="B20" i="5"/>
  <c r="P19" i="5"/>
  <c r="L19" i="5"/>
  <c r="H19" i="5"/>
  <c r="D19" i="5"/>
  <c r="R18" i="5"/>
  <c r="M762" i="5"/>
  <c r="J763" i="5"/>
  <c r="B759" i="5"/>
  <c r="R751" i="5"/>
  <c r="P744" i="5"/>
  <c r="N737" i="5"/>
  <c r="L730" i="5"/>
  <c r="J723" i="5"/>
  <c r="A761" i="5"/>
  <c r="E748" i="5"/>
  <c r="I735" i="5"/>
  <c r="M722" i="5"/>
  <c r="S750" i="5"/>
  <c r="G725" i="5"/>
  <c r="F716" i="5"/>
  <c r="N712" i="5"/>
  <c r="D709" i="5"/>
  <c r="L705" i="5"/>
  <c r="B702" i="5"/>
  <c r="J698" i="5"/>
  <c r="R694" i="5"/>
  <c r="H691" i="5"/>
  <c r="P687" i="5"/>
  <c r="F684" i="5"/>
  <c r="N680" i="5"/>
  <c r="D677" i="5"/>
  <c r="L673" i="5"/>
  <c r="B670" i="5"/>
  <c r="J666" i="5"/>
  <c r="R662" i="5"/>
  <c r="H659" i="5"/>
  <c r="P655" i="5"/>
  <c r="D653" i="5"/>
  <c r="H651" i="5"/>
  <c r="L649" i="5"/>
  <c r="P647" i="5"/>
  <c r="B646" i="5"/>
  <c r="F644" i="5"/>
  <c r="J642" i="5"/>
  <c r="N640" i="5"/>
  <c r="R638" i="5"/>
  <c r="D637" i="5"/>
  <c r="H635" i="5"/>
  <c r="L633" i="5"/>
  <c r="O756" i="5"/>
  <c r="S743" i="5"/>
  <c r="C731" i="5"/>
  <c r="M718" i="5"/>
  <c r="I715" i="5"/>
  <c r="E712" i="5"/>
  <c r="A709" i="5"/>
  <c r="Q705" i="5"/>
  <c r="M702" i="5"/>
  <c r="I699" i="5"/>
  <c r="E696" i="5"/>
  <c r="A693" i="5"/>
  <c r="Q689" i="5"/>
  <c r="M686" i="5"/>
  <c r="I683" i="5"/>
  <c r="E680" i="5"/>
  <c r="A677" i="5"/>
  <c r="Q673" i="5"/>
  <c r="M670" i="5"/>
  <c r="I667" i="5"/>
  <c r="E664" i="5"/>
  <c r="A661" i="5"/>
  <c r="Q657" i="5"/>
  <c r="M654" i="5"/>
  <c r="I651" i="5"/>
  <c r="E648" i="5"/>
  <c r="A645" i="5"/>
  <c r="Q641" i="5"/>
  <c r="M638" i="5"/>
  <c r="I635" i="5"/>
  <c r="N632" i="5"/>
  <c r="O758" i="5"/>
  <c r="C733" i="5"/>
  <c r="C716" i="5"/>
  <c r="O709" i="5"/>
  <c r="G703" i="5"/>
  <c r="S696" i="5"/>
  <c r="K690" i="5"/>
  <c r="C684" i="5"/>
  <c r="O677" i="5"/>
  <c r="G671" i="5"/>
  <c r="S664" i="5"/>
  <c r="K658" i="5"/>
  <c r="C652" i="5"/>
  <c r="O645" i="5"/>
  <c r="G639" i="5"/>
  <c r="C633" i="5"/>
  <c r="L630" i="5"/>
  <c r="N629" i="5"/>
  <c r="P628" i="5"/>
  <c r="R627" i="5"/>
  <c r="B627" i="5"/>
  <c r="D626" i="5"/>
  <c r="F625" i="5"/>
  <c r="H624" i="5"/>
  <c r="J623" i="5"/>
  <c r="L622" i="5"/>
  <c r="N621" i="5"/>
  <c r="P620" i="5"/>
  <c r="R619" i="5"/>
  <c r="B619" i="5"/>
  <c r="D618" i="5"/>
  <c r="F617" i="5"/>
  <c r="H616" i="5"/>
  <c r="J615" i="5"/>
  <c r="L614" i="5"/>
  <c r="N613" i="5"/>
  <c r="P612" i="5"/>
  <c r="R611" i="5"/>
  <c r="B611" i="5"/>
  <c r="D610" i="5"/>
  <c r="F609" i="5"/>
  <c r="H608" i="5"/>
  <c r="J607" i="5"/>
  <c r="L606" i="5"/>
  <c r="N605" i="5"/>
  <c r="P604" i="5"/>
  <c r="R603" i="5"/>
  <c r="B603" i="5"/>
  <c r="D602" i="5"/>
  <c r="F601" i="5"/>
  <c r="H600" i="5"/>
  <c r="J599" i="5"/>
  <c r="L598" i="5"/>
  <c r="N597" i="5"/>
  <c r="P596" i="5"/>
  <c r="R595" i="5"/>
  <c r="B595" i="5"/>
  <c r="D594" i="5"/>
  <c r="F593" i="5"/>
  <c r="H592" i="5"/>
  <c r="J591" i="5"/>
  <c r="L590" i="5"/>
  <c r="N589" i="5"/>
  <c r="P588" i="5"/>
  <c r="R587" i="5"/>
  <c r="B587" i="5"/>
  <c r="D586" i="5"/>
  <c r="F585" i="5"/>
  <c r="H584" i="5"/>
  <c r="J583" i="5"/>
  <c r="L582" i="5"/>
  <c r="N581" i="5"/>
  <c r="P580" i="5"/>
  <c r="R579" i="5"/>
  <c r="B579" i="5"/>
  <c r="D578" i="5"/>
  <c r="F577" i="5"/>
  <c r="H576" i="5"/>
  <c r="J575" i="5"/>
  <c r="L574" i="5"/>
  <c r="N573" i="5"/>
  <c r="P572" i="5"/>
  <c r="R571" i="5"/>
  <c r="B571" i="5"/>
  <c r="D570" i="5"/>
  <c r="F569" i="5"/>
  <c r="H568" i="5"/>
  <c r="J567" i="5"/>
  <c r="L566" i="5"/>
  <c r="N565" i="5"/>
  <c r="P564" i="5"/>
  <c r="R563" i="5"/>
  <c r="B563" i="5"/>
  <c r="D562" i="5"/>
  <c r="F561" i="5"/>
  <c r="H560" i="5"/>
  <c r="J559" i="5"/>
  <c r="L558" i="5"/>
  <c r="N557" i="5"/>
  <c r="P556" i="5"/>
  <c r="R555" i="5"/>
  <c r="B555" i="5"/>
  <c r="D554" i="5"/>
  <c r="F553" i="5"/>
  <c r="H552" i="5"/>
  <c r="J551" i="5"/>
  <c r="L550" i="5"/>
  <c r="N549" i="5"/>
  <c r="P548" i="5"/>
  <c r="R547" i="5"/>
  <c r="B547" i="5"/>
  <c r="D546" i="5"/>
  <c r="F545" i="5"/>
  <c r="H544" i="5"/>
  <c r="J543" i="5"/>
  <c r="L542" i="5"/>
  <c r="N541" i="5"/>
  <c r="P540" i="5"/>
  <c r="R539" i="5"/>
  <c r="B539" i="5"/>
  <c r="D538" i="5"/>
  <c r="F537" i="5"/>
  <c r="H536" i="5"/>
  <c r="J535" i="5"/>
  <c r="L534" i="5"/>
  <c r="N533" i="5"/>
  <c r="P532" i="5"/>
  <c r="R531" i="5"/>
  <c r="B531" i="5"/>
  <c r="D530" i="5"/>
  <c r="F529" i="5"/>
  <c r="H528" i="5"/>
  <c r="J527" i="5"/>
  <c r="L526" i="5"/>
  <c r="N525" i="5"/>
  <c r="P524" i="5"/>
  <c r="R523" i="5"/>
  <c r="B523" i="5"/>
  <c r="D522" i="5"/>
  <c r="F521" i="5"/>
  <c r="H520" i="5"/>
  <c r="J519" i="5"/>
  <c r="L518" i="5"/>
  <c r="N517" i="5"/>
  <c r="P516" i="5"/>
  <c r="R515" i="5"/>
  <c r="B515" i="5"/>
  <c r="D514" i="5"/>
  <c r="F513" i="5"/>
  <c r="H512" i="5"/>
  <c r="J511" i="5"/>
  <c r="L510" i="5"/>
  <c r="N509" i="5"/>
  <c r="P508" i="5"/>
  <c r="R507" i="5"/>
  <c r="B507" i="5"/>
  <c r="D506" i="5"/>
  <c r="F505" i="5"/>
  <c r="H504" i="5"/>
  <c r="J503" i="5"/>
  <c r="L502" i="5"/>
  <c r="N501" i="5"/>
  <c r="P500" i="5"/>
  <c r="R499" i="5"/>
  <c r="B499" i="5"/>
  <c r="D498" i="5"/>
  <c r="F497" i="5"/>
  <c r="H496" i="5"/>
  <c r="J495" i="5"/>
  <c r="L494" i="5"/>
  <c r="N493" i="5"/>
  <c r="P492" i="5"/>
  <c r="R491" i="5"/>
  <c r="B491" i="5"/>
  <c r="D490" i="5"/>
  <c r="F489" i="5"/>
  <c r="H488" i="5"/>
  <c r="J487" i="5"/>
  <c r="L486" i="5"/>
  <c r="N485" i="5"/>
  <c r="F776" i="5"/>
  <c r="J755" i="5"/>
  <c r="F741" i="5"/>
  <c r="B727" i="5"/>
  <c r="M754" i="5"/>
  <c r="A729" i="5"/>
  <c r="C738" i="5"/>
  <c r="J714" i="5"/>
  <c r="H707" i="5"/>
  <c r="F700" i="5"/>
  <c r="D693" i="5"/>
  <c r="B686" i="5"/>
  <c r="R678" i="5"/>
  <c r="P671" i="5"/>
  <c r="N664" i="5"/>
  <c r="L657" i="5"/>
  <c r="F652" i="5"/>
  <c r="N648" i="5"/>
  <c r="D645" i="5"/>
  <c r="L641" i="5"/>
  <c r="B638" i="5"/>
  <c r="J634" i="5"/>
  <c r="G750" i="5"/>
  <c r="O724" i="5"/>
  <c r="Q713" i="5"/>
  <c r="I707" i="5"/>
  <c r="A701" i="5"/>
  <c r="M694" i="5"/>
  <c r="E688" i="5"/>
  <c r="Q681" i="5"/>
  <c r="I675" i="5"/>
  <c r="A669" i="5"/>
  <c r="M662" i="5"/>
  <c r="E656" i="5"/>
  <c r="Q649" i="5"/>
  <c r="I643" i="5"/>
  <c r="A637" i="5"/>
  <c r="P631" i="5"/>
  <c r="G720" i="5"/>
  <c r="K706" i="5"/>
  <c r="O693" i="5"/>
  <c r="S680" i="5"/>
  <c r="C668" i="5"/>
  <c r="G655" i="5"/>
  <c r="K642" i="5"/>
  <c r="K631" i="5"/>
  <c r="F629" i="5"/>
  <c r="J627" i="5"/>
  <c r="N625" i="5"/>
  <c r="R623" i="5"/>
  <c r="D622" i="5"/>
  <c r="H620" i="5"/>
  <c r="L618" i="5"/>
  <c r="P616" i="5"/>
  <c r="B615" i="5"/>
  <c r="F613" i="5"/>
  <c r="J611" i="5"/>
  <c r="N609" i="5"/>
  <c r="R607" i="5"/>
  <c r="D606" i="5"/>
  <c r="H604" i="5"/>
  <c r="L602" i="5"/>
  <c r="P600" i="5"/>
  <c r="B599" i="5"/>
  <c r="F597" i="5"/>
  <c r="J595" i="5"/>
  <c r="N593" i="5"/>
  <c r="R591" i="5"/>
  <c r="D590" i="5"/>
  <c r="H588" i="5"/>
  <c r="L586" i="5"/>
  <c r="P584" i="5"/>
  <c r="B583" i="5"/>
  <c r="F581" i="5"/>
  <c r="J579" i="5"/>
  <c r="N577" i="5"/>
  <c r="R575" i="5"/>
  <c r="D574" i="5"/>
  <c r="H572" i="5"/>
  <c r="L570" i="5"/>
  <c r="P568" i="5"/>
  <c r="B567" i="5"/>
  <c r="F565" i="5"/>
  <c r="J563" i="5"/>
  <c r="N561" i="5"/>
  <c r="R559" i="5"/>
  <c r="D558" i="5"/>
  <c r="H556" i="5"/>
  <c r="L554" i="5"/>
  <c r="P552" i="5"/>
  <c r="B551" i="5"/>
  <c r="F549" i="5"/>
  <c r="J547" i="5"/>
  <c r="N545" i="5"/>
  <c r="R543" i="5"/>
  <c r="D542" i="5"/>
  <c r="H540" i="5"/>
  <c r="L538" i="5"/>
  <c r="P536" i="5"/>
  <c r="B535" i="5"/>
  <c r="F533" i="5"/>
  <c r="J531" i="5"/>
  <c r="N529" i="5"/>
  <c r="R527" i="5"/>
  <c r="D526" i="5"/>
  <c r="H524" i="5"/>
  <c r="L522" i="5"/>
  <c r="P520" i="5"/>
  <c r="B519" i="5"/>
  <c r="F517" i="5"/>
  <c r="J515" i="5"/>
  <c r="N513" i="5"/>
  <c r="R511" i="5"/>
  <c r="D510" i="5"/>
  <c r="H508" i="5"/>
  <c r="L506" i="5"/>
  <c r="P504" i="5"/>
  <c r="B503" i="5"/>
  <c r="F501" i="5"/>
  <c r="J499" i="5"/>
  <c r="N497" i="5"/>
  <c r="R495" i="5"/>
  <c r="D494" i="5"/>
  <c r="H492" i="5"/>
  <c r="L490" i="5"/>
  <c r="P488" i="5"/>
  <c r="B487" i="5"/>
  <c r="F485" i="5"/>
  <c r="H484" i="5"/>
  <c r="J483" i="5"/>
  <c r="L482" i="5"/>
  <c r="N481" i="5"/>
  <c r="P480" i="5"/>
  <c r="R479" i="5"/>
  <c r="B479" i="5"/>
  <c r="D478" i="5"/>
  <c r="F477" i="5"/>
  <c r="H476" i="5"/>
  <c r="J475" i="5"/>
  <c r="L474" i="5"/>
  <c r="N473" i="5"/>
  <c r="P472" i="5"/>
  <c r="R471" i="5"/>
  <c r="B471" i="5"/>
  <c r="D470" i="5"/>
  <c r="F469" i="5"/>
  <c r="H468" i="5"/>
  <c r="J467" i="5"/>
  <c r="L466" i="5"/>
  <c r="N465" i="5"/>
  <c r="P464" i="5"/>
  <c r="R463" i="5"/>
  <c r="B463" i="5"/>
  <c r="D462" i="5"/>
  <c r="F461" i="5"/>
  <c r="C761" i="5"/>
  <c r="G748" i="5"/>
  <c r="K735" i="5"/>
  <c r="O722" i="5"/>
  <c r="O716" i="5"/>
  <c r="K713" i="5"/>
  <c r="G710" i="5"/>
  <c r="C707" i="5"/>
  <c r="S703" i="5"/>
  <c r="O700" i="5"/>
  <c r="K697" i="5"/>
  <c r="G694" i="5"/>
  <c r="C691" i="5"/>
  <c r="S687" i="5"/>
  <c r="O684" i="5"/>
  <c r="K681" i="5"/>
  <c r="G678" i="5"/>
  <c r="C675" i="5"/>
  <c r="S671" i="5"/>
  <c r="O668" i="5"/>
  <c r="K665" i="5"/>
  <c r="G662" i="5"/>
  <c r="C659" i="5"/>
  <c r="S655" i="5"/>
  <c r="O652" i="5"/>
  <c r="K649" i="5"/>
  <c r="G646" i="5"/>
  <c r="C643" i="5"/>
  <c r="S639" i="5"/>
  <c r="O636" i="5"/>
  <c r="K633" i="5"/>
  <c r="Q631" i="5"/>
  <c r="Q630" i="5"/>
  <c r="A630" i="5"/>
  <c r="E629" i="5"/>
  <c r="I628" i="5"/>
  <c r="M627" i="5"/>
  <c r="Q626" i="5"/>
  <c r="A626" i="5"/>
  <c r="E625" i="5"/>
  <c r="I624" i="5"/>
  <c r="M623" i="5"/>
  <c r="Q622" i="5"/>
  <c r="A622" i="5"/>
  <c r="E621" i="5"/>
  <c r="I620" i="5"/>
  <c r="M619" i="5"/>
  <c r="Q618" i="5"/>
  <c r="A618" i="5"/>
  <c r="E617" i="5"/>
  <c r="I616" i="5"/>
  <c r="M615" i="5"/>
  <c r="Q614" i="5"/>
  <c r="A614" i="5"/>
  <c r="E613" i="5"/>
  <c r="I612" i="5"/>
  <c r="M611" i="5"/>
  <c r="Q610" i="5"/>
  <c r="A610" i="5"/>
  <c r="E609" i="5"/>
  <c r="I608" i="5"/>
  <c r="M607" i="5"/>
  <c r="Q606" i="5"/>
  <c r="A606" i="5"/>
  <c r="E605" i="5"/>
  <c r="I604" i="5"/>
  <c r="M603" i="5"/>
  <c r="Q602" i="5"/>
  <c r="A602" i="5"/>
  <c r="E601" i="5"/>
  <c r="I600" i="5"/>
  <c r="M599" i="5"/>
  <c r="Q598" i="5"/>
  <c r="A598" i="5"/>
  <c r="E597" i="5"/>
  <c r="I596" i="5"/>
  <c r="M595" i="5"/>
  <c r="Q594" i="5"/>
  <c r="A594" i="5"/>
  <c r="E593" i="5"/>
  <c r="I592" i="5"/>
  <c r="M591" i="5"/>
  <c r="Q590" i="5"/>
  <c r="A590" i="5"/>
  <c r="E589" i="5"/>
  <c r="I588" i="5"/>
  <c r="M587" i="5"/>
  <c r="Q586" i="5"/>
  <c r="A586" i="5"/>
  <c r="E585" i="5"/>
  <c r="I584" i="5"/>
  <c r="M583" i="5"/>
  <c r="Q582" i="5"/>
  <c r="A582" i="5"/>
  <c r="E581" i="5"/>
  <c r="E580" i="5"/>
  <c r="M578" i="5"/>
  <c r="A577" i="5"/>
  <c r="I575" i="5"/>
  <c r="Q573" i="5"/>
  <c r="E572" i="5"/>
  <c r="M570" i="5"/>
  <c r="A569" i="5"/>
  <c r="I567" i="5"/>
  <c r="Q565" i="5"/>
  <c r="E564" i="5"/>
  <c r="M562" i="5"/>
  <c r="A561" i="5"/>
  <c r="I559" i="5"/>
  <c r="Q557" i="5"/>
  <c r="E556" i="5"/>
  <c r="M554" i="5"/>
  <c r="A553" i="5"/>
  <c r="I551" i="5"/>
  <c r="Q549" i="5"/>
  <c r="E548" i="5"/>
  <c r="M546" i="5"/>
  <c r="A545" i="5"/>
  <c r="I543" i="5"/>
  <c r="Q541" i="5"/>
  <c r="E540" i="5"/>
  <c r="M538" i="5"/>
  <c r="A537" i="5"/>
  <c r="I535" i="5"/>
  <c r="Q533" i="5"/>
  <c r="E532" i="5"/>
  <c r="M530" i="5"/>
  <c r="A529" i="5"/>
  <c r="I527" i="5"/>
  <c r="Q525" i="5"/>
  <c r="E524" i="5"/>
  <c r="M522" i="5"/>
  <c r="A521" i="5"/>
  <c r="I519" i="5"/>
  <c r="Q517" i="5"/>
  <c r="E516" i="5"/>
  <c r="M514" i="5"/>
  <c r="A513" i="5"/>
  <c r="I511" i="5"/>
  <c r="Q509" i="5"/>
  <c r="E508" i="5"/>
  <c r="M506" i="5"/>
  <c r="A505" i="5"/>
  <c r="I503" i="5"/>
  <c r="Q501" i="5"/>
  <c r="E500" i="5"/>
  <c r="M498" i="5"/>
  <c r="A497" i="5"/>
  <c r="I495" i="5"/>
  <c r="Q493" i="5"/>
  <c r="E492" i="5"/>
  <c r="M490" i="5"/>
  <c r="A489" i="5"/>
  <c r="I487" i="5"/>
  <c r="Q485" i="5"/>
  <c r="E484" i="5"/>
  <c r="M482" i="5"/>
  <c r="A481" i="5"/>
  <c r="I479" i="5"/>
  <c r="Q477" i="5"/>
  <c r="E476" i="5"/>
  <c r="M474" i="5"/>
  <c r="A473" i="5"/>
  <c r="I471" i="5"/>
  <c r="Q469" i="5"/>
  <c r="E468" i="5"/>
  <c r="M466" i="5"/>
  <c r="A465" i="5"/>
  <c r="I463" i="5"/>
  <c r="Q461" i="5"/>
  <c r="J460" i="5"/>
  <c r="L459" i="5"/>
  <c r="N458" i="5"/>
  <c r="P457" i="5"/>
  <c r="R456" i="5"/>
  <c r="B456" i="5"/>
  <c r="D455" i="5"/>
  <c r="F454" i="5"/>
  <c r="H453" i="5"/>
  <c r="J452" i="5"/>
  <c r="L451" i="5"/>
  <c r="N450" i="5"/>
  <c r="P449" i="5"/>
  <c r="R448" i="5"/>
  <c r="B448" i="5"/>
  <c r="D447" i="5"/>
  <c r="F446" i="5"/>
  <c r="H445" i="5"/>
  <c r="J444" i="5"/>
  <c r="L443" i="5"/>
  <c r="N442" i="5"/>
  <c r="P441" i="5"/>
  <c r="R440" i="5"/>
  <c r="B440" i="5"/>
  <c r="D439" i="5"/>
  <c r="F438" i="5"/>
  <c r="H437" i="5"/>
  <c r="J436" i="5"/>
  <c r="P435" i="5"/>
  <c r="H435" i="5"/>
  <c r="R434" i="5"/>
  <c r="J434" i="5"/>
  <c r="B434" i="5"/>
  <c r="L433" i="5"/>
  <c r="D433" i="5"/>
  <c r="N432" i="5"/>
  <c r="F432" i="5"/>
  <c r="P431" i="5"/>
  <c r="H431" i="5"/>
  <c r="R430" i="5"/>
  <c r="J430" i="5"/>
  <c r="B430" i="5"/>
  <c r="L429" i="5"/>
  <c r="D429" i="5"/>
  <c r="N428" i="5"/>
  <c r="F428" i="5"/>
  <c r="P427" i="5"/>
  <c r="H427" i="5"/>
  <c r="R426" i="5"/>
  <c r="J426" i="5"/>
  <c r="B426" i="5"/>
  <c r="L425" i="5"/>
  <c r="D425" i="5"/>
  <c r="N424" i="5"/>
  <c r="F424" i="5"/>
  <c r="P423" i="5"/>
  <c r="H423" i="5"/>
  <c r="R422" i="5"/>
  <c r="J422" i="5"/>
  <c r="B422" i="5"/>
  <c r="L421" i="5"/>
  <c r="D421" i="5"/>
  <c r="N420" i="5"/>
  <c r="F420" i="5"/>
  <c r="P419" i="5"/>
  <c r="H419" i="5"/>
  <c r="R418" i="5"/>
  <c r="J418" i="5"/>
  <c r="B418" i="5"/>
  <c r="L417" i="5"/>
  <c r="D417" i="5"/>
  <c r="N416" i="5"/>
  <c r="F416" i="5"/>
  <c r="P415" i="5"/>
  <c r="H415" i="5"/>
  <c r="R414" i="5"/>
  <c r="J414" i="5"/>
  <c r="B414" i="5"/>
  <c r="L413" i="5"/>
  <c r="D413" i="5"/>
  <c r="N412" i="5"/>
  <c r="F412" i="5"/>
  <c r="P411" i="5"/>
  <c r="H411" i="5"/>
  <c r="R410" i="5"/>
  <c r="J410" i="5"/>
  <c r="B410" i="5"/>
  <c r="L409" i="5"/>
  <c r="D409" i="5"/>
  <c r="N408" i="5"/>
  <c r="F408" i="5"/>
  <c r="P407" i="5"/>
  <c r="H407" i="5"/>
  <c r="R406" i="5"/>
  <c r="J406" i="5"/>
  <c r="B406" i="5"/>
  <c r="L405" i="5"/>
  <c r="D405" i="5"/>
  <c r="N404" i="5"/>
  <c r="F404" i="5"/>
  <c r="P403" i="5"/>
  <c r="H403" i="5"/>
  <c r="R402" i="5"/>
  <c r="J402" i="5"/>
  <c r="B402" i="5"/>
  <c r="L401" i="5"/>
  <c r="D401" i="5"/>
  <c r="N400" i="5"/>
  <c r="F400" i="5"/>
  <c r="P399" i="5"/>
  <c r="H399" i="5"/>
  <c r="R398" i="5"/>
  <c r="J398" i="5"/>
  <c r="B398" i="5"/>
  <c r="L397" i="5"/>
  <c r="D397" i="5"/>
  <c r="N396" i="5"/>
  <c r="F396" i="5"/>
  <c r="P395" i="5"/>
  <c r="H395" i="5"/>
  <c r="R394" i="5"/>
  <c r="J394" i="5"/>
  <c r="B394" i="5"/>
  <c r="L393" i="5"/>
  <c r="D393" i="5"/>
  <c r="N392" i="5"/>
  <c r="F392" i="5"/>
  <c r="P391" i="5"/>
  <c r="H391" i="5"/>
  <c r="R390" i="5"/>
  <c r="J390" i="5"/>
  <c r="B390" i="5"/>
  <c r="L389" i="5"/>
  <c r="D389" i="5"/>
  <c r="N388" i="5"/>
  <c r="F388" i="5"/>
  <c r="P387" i="5"/>
  <c r="H387" i="5"/>
  <c r="R386" i="5"/>
  <c r="J386" i="5"/>
  <c r="B386" i="5"/>
  <c r="L385" i="5"/>
  <c r="D385" i="5"/>
  <c r="N384" i="5"/>
  <c r="F384" i="5"/>
  <c r="P383" i="5"/>
  <c r="H383" i="5"/>
  <c r="R382" i="5"/>
  <c r="J382" i="5"/>
  <c r="B382" i="5"/>
  <c r="L381" i="5"/>
  <c r="D381" i="5"/>
  <c r="N380" i="5"/>
  <c r="F380" i="5"/>
  <c r="P379" i="5"/>
  <c r="H379" i="5"/>
  <c r="R378" i="5"/>
  <c r="J378" i="5"/>
  <c r="B378" i="5"/>
  <c r="L377" i="5"/>
  <c r="D377" i="5"/>
  <c r="N376" i="5"/>
  <c r="F376" i="5"/>
  <c r="P375" i="5"/>
  <c r="H375" i="5"/>
  <c r="R374" i="5"/>
  <c r="J374" i="5"/>
  <c r="B374" i="5"/>
  <c r="L373" i="5"/>
  <c r="D373" i="5"/>
  <c r="N372" i="5"/>
  <c r="F372" i="5"/>
  <c r="P371" i="5"/>
  <c r="H371" i="5"/>
  <c r="R370" i="5"/>
  <c r="J370" i="5"/>
  <c r="B370" i="5"/>
  <c r="L369" i="5"/>
  <c r="D369" i="5"/>
  <c r="N368" i="5"/>
  <c r="F368" i="5"/>
  <c r="P367" i="5"/>
  <c r="H367" i="5"/>
  <c r="R366" i="5"/>
  <c r="J366" i="5"/>
  <c r="B366" i="5"/>
  <c r="L765" i="5"/>
  <c r="D734" i="5"/>
  <c r="Q741" i="5"/>
  <c r="B718" i="5"/>
  <c r="P703" i="5"/>
  <c r="L689" i="5"/>
  <c r="H675" i="5"/>
  <c r="D661" i="5"/>
  <c r="J650" i="5"/>
  <c r="H643" i="5"/>
  <c r="F636" i="5"/>
  <c r="K737" i="5"/>
  <c r="M710" i="5"/>
  <c r="Q697" i="5"/>
  <c r="A685" i="5"/>
  <c r="E672" i="5"/>
  <c r="I659" i="5"/>
  <c r="M646" i="5"/>
  <c r="Q633" i="5"/>
  <c r="S712" i="5"/>
  <c r="G687" i="5"/>
  <c r="O661" i="5"/>
  <c r="C636" i="5"/>
  <c r="H628" i="5"/>
  <c r="P624" i="5"/>
  <c r="F621" i="5"/>
  <c r="N617" i="5"/>
  <c r="D614" i="5"/>
  <c r="L610" i="5"/>
  <c r="B607" i="5"/>
  <c r="J603" i="5"/>
  <c r="R599" i="5"/>
  <c r="H596" i="5"/>
  <c r="P592" i="5"/>
  <c r="F589" i="5"/>
  <c r="N585" i="5"/>
  <c r="D582" i="5"/>
  <c r="L578" i="5"/>
  <c r="B575" i="5"/>
  <c r="J571" i="5"/>
  <c r="R567" i="5"/>
  <c r="H564" i="5"/>
  <c r="P560" i="5"/>
  <c r="F557" i="5"/>
  <c r="N553" i="5"/>
  <c r="D550" i="5"/>
  <c r="L546" i="5"/>
  <c r="B543" i="5"/>
  <c r="J539" i="5"/>
  <c r="R535" i="5"/>
  <c r="H532" i="5"/>
  <c r="P528" i="5"/>
  <c r="F525" i="5"/>
  <c r="N521" i="5"/>
  <c r="D518" i="5"/>
  <c r="L514" i="5"/>
  <c r="B511" i="5"/>
  <c r="J507" i="5"/>
  <c r="R503" i="5"/>
  <c r="H500" i="5"/>
  <c r="P496" i="5"/>
  <c r="F493" i="5"/>
  <c r="N489" i="5"/>
  <c r="D486" i="5"/>
  <c r="R483" i="5"/>
  <c r="D482" i="5"/>
  <c r="H480" i="5"/>
  <c r="L478" i="5"/>
  <c r="P476" i="5"/>
  <c r="B475" i="5"/>
  <c r="F473" i="5"/>
  <c r="J471" i="5"/>
  <c r="N469" i="5"/>
  <c r="R467" i="5"/>
  <c r="D466" i="5"/>
  <c r="H464" i="5"/>
  <c r="L462" i="5"/>
  <c r="P460" i="5"/>
  <c r="S741" i="5"/>
  <c r="G718" i="5"/>
  <c r="S711" i="5"/>
  <c r="K705" i="5"/>
  <c r="C699" i="5"/>
  <c r="O692" i="5"/>
  <c r="G686" i="5"/>
  <c r="S679" i="5"/>
  <c r="K673" i="5"/>
  <c r="C667" i="5"/>
  <c r="O660" i="5"/>
  <c r="G654" i="5"/>
  <c r="S647" i="5"/>
  <c r="K641" i="5"/>
  <c r="C635" i="5"/>
  <c r="E631" i="5"/>
  <c r="M629" i="5"/>
  <c r="A628" i="5"/>
  <c r="I626" i="5"/>
  <c r="Q624" i="5"/>
  <c r="E623" i="5"/>
  <c r="M621" i="5"/>
  <c r="A620" i="5"/>
  <c r="I618" i="5"/>
  <c r="Q616" i="5"/>
  <c r="E615" i="5"/>
  <c r="M613" i="5"/>
  <c r="A612" i="5"/>
  <c r="I610" i="5"/>
  <c r="Q608" i="5"/>
  <c r="E607" i="5"/>
  <c r="M605" i="5"/>
  <c r="A604" i="5"/>
  <c r="I602" i="5"/>
  <c r="Q600" i="5"/>
  <c r="E599" i="5"/>
  <c r="M597" i="5"/>
  <c r="A596" i="5"/>
  <c r="I594" i="5"/>
  <c r="Q592" i="5"/>
  <c r="E591" i="5"/>
  <c r="M589" i="5"/>
  <c r="A588" i="5"/>
  <c r="I586" i="5"/>
  <c r="Q584" i="5"/>
  <c r="E583" i="5"/>
  <c r="M581" i="5"/>
  <c r="I579" i="5"/>
  <c r="E576" i="5"/>
  <c r="A573" i="5"/>
  <c r="Q569" i="5"/>
  <c r="M566" i="5"/>
  <c r="I563" i="5"/>
  <c r="E560" i="5"/>
  <c r="A557" i="5"/>
  <c r="Q553" i="5"/>
  <c r="M550" i="5"/>
  <c r="I547" i="5"/>
  <c r="E544" i="5"/>
  <c r="A541" i="5"/>
  <c r="Q537" i="5"/>
  <c r="M534" i="5"/>
  <c r="I531" i="5"/>
  <c r="E528" i="5"/>
  <c r="A525" i="5"/>
  <c r="Q521" i="5"/>
  <c r="M518" i="5"/>
  <c r="I515" i="5"/>
  <c r="E512" i="5"/>
  <c r="A509" i="5"/>
  <c r="Q505" i="5"/>
  <c r="M502" i="5"/>
  <c r="I499" i="5"/>
  <c r="E496" i="5"/>
  <c r="A493" i="5"/>
  <c r="Q489" i="5"/>
  <c r="M486" i="5"/>
  <c r="I483" i="5"/>
  <c r="E480" i="5"/>
  <c r="A477" i="5"/>
  <c r="Q473" i="5"/>
  <c r="M470" i="5"/>
  <c r="I467" i="5"/>
  <c r="E464" i="5"/>
  <c r="A461" i="5"/>
  <c r="D459" i="5"/>
  <c r="H457" i="5"/>
  <c r="L455" i="5"/>
  <c r="P453" i="5"/>
  <c r="B452" i="5"/>
  <c r="F450" i="5"/>
  <c r="J448" i="5"/>
  <c r="N446" i="5"/>
  <c r="R444" i="5"/>
  <c r="D443" i="5"/>
  <c r="H441" i="5"/>
  <c r="L439" i="5"/>
  <c r="P437" i="5"/>
  <c r="B436" i="5"/>
  <c r="D435" i="5"/>
  <c r="F434" i="5"/>
  <c r="H433" i="5"/>
  <c r="J432" i="5"/>
  <c r="L431" i="5"/>
  <c r="N430" i="5"/>
  <c r="P429" i="5"/>
  <c r="R428" i="5"/>
  <c r="B428" i="5"/>
  <c r="D427" i="5"/>
  <c r="F426" i="5"/>
  <c r="H425" i="5"/>
  <c r="J424" i="5"/>
  <c r="L423" i="5"/>
  <c r="N422" i="5"/>
  <c r="P421" i="5"/>
  <c r="R420" i="5"/>
  <c r="B420" i="5"/>
  <c r="D419" i="5"/>
  <c r="F418" i="5"/>
  <c r="H417" i="5"/>
  <c r="J416" i="5"/>
  <c r="L415" i="5"/>
  <c r="N414" i="5"/>
  <c r="P413" i="5"/>
  <c r="R412" i="5"/>
  <c r="B412" i="5"/>
  <c r="D411" i="5"/>
  <c r="F410" i="5"/>
  <c r="H409" i="5"/>
  <c r="J408" i="5"/>
  <c r="L407" i="5"/>
  <c r="N406" i="5"/>
  <c r="P405" i="5"/>
  <c r="R404" i="5"/>
  <c r="B404" i="5"/>
  <c r="D403" i="5"/>
  <c r="F402" i="5"/>
  <c r="H401" i="5"/>
  <c r="J400" i="5"/>
  <c r="L399" i="5"/>
  <c r="N398" i="5"/>
  <c r="P397" i="5"/>
  <c r="R396" i="5"/>
  <c r="B396" i="5"/>
  <c r="D395" i="5"/>
  <c r="F394" i="5"/>
  <c r="H393" i="5"/>
  <c r="J392" i="5"/>
  <c r="L391" i="5"/>
  <c r="N390" i="5"/>
  <c r="P389" i="5"/>
  <c r="R388" i="5"/>
  <c r="B388" i="5"/>
  <c r="D387" i="5"/>
  <c r="F386" i="5"/>
  <c r="H385" i="5"/>
  <c r="J384" i="5"/>
  <c r="L383" i="5"/>
  <c r="N382" i="5"/>
  <c r="P381" i="5"/>
  <c r="R380" i="5"/>
  <c r="B380" i="5"/>
  <c r="D379" i="5"/>
  <c r="F378" i="5"/>
  <c r="H377" i="5"/>
  <c r="J376" i="5"/>
  <c r="L375" i="5"/>
  <c r="N374" i="5"/>
  <c r="P373" i="5"/>
  <c r="R372" i="5"/>
  <c r="B372" i="5"/>
  <c r="D371" i="5"/>
  <c r="F370" i="5"/>
  <c r="H369" i="5"/>
  <c r="J368" i="5"/>
  <c r="L367" i="5"/>
  <c r="N366" i="5"/>
  <c r="P365" i="5"/>
  <c r="H365" i="5"/>
  <c r="R364" i="5"/>
  <c r="J364" i="5"/>
  <c r="B364" i="5"/>
  <c r="L363" i="5"/>
  <c r="D363" i="5"/>
  <c r="N362" i="5"/>
  <c r="F362" i="5"/>
  <c r="P361" i="5"/>
  <c r="H361" i="5"/>
  <c r="R360" i="5"/>
  <c r="J360" i="5"/>
  <c r="B360" i="5"/>
  <c r="L359" i="5"/>
  <c r="D359" i="5"/>
  <c r="N358" i="5"/>
  <c r="F358" i="5"/>
  <c r="P357" i="5"/>
  <c r="H357" i="5"/>
  <c r="R356" i="5"/>
  <c r="J356" i="5"/>
  <c r="B356" i="5"/>
  <c r="L355" i="5"/>
  <c r="D355" i="5"/>
  <c r="N354" i="5"/>
  <c r="F354" i="5"/>
  <c r="P353" i="5"/>
  <c r="H353" i="5"/>
  <c r="R352" i="5"/>
  <c r="J352" i="5"/>
  <c r="B352" i="5"/>
  <c r="L351" i="5"/>
  <c r="G580" i="5"/>
  <c r="K579" i="5"/>
  <c r="O578" i="5"/>
  <c r="S577" i="5"/>
  <c r="C577" i="5"/>
  <c r="G576" i="5"/>
  <c r="K575" i="5"/>
  <c r="O574" i="5"/>
  <c r="S573" i="5"/>
  <c r="C573" i="5"/>
  <c r="G572" i="5"/>
  <c r="K571" i="5"/>
  <c r="O570" i="5"/>
  <c r="S569" i="5"/>
  <c r="C569" i="5"/>
  <c r="G568" i="5"/>
  <c r="K567" i="5"/>
  <c r="O566" i="5"/>
  <c r="S565" i="5"/>
  <c r="C565" i="5"/>
  <c r="G564" i="5"/>
  <c r="K563" i="5"/>
  <c r="O562" i="5"/>
  <c r="S561" i="5"/>
  <c r="C561" i="5"/>
  <c r="G560" i="5"/>
  <c r="K559" i="5"/>
  <c r="O558" i="5"/>
  <c r="S557" i="5"/>
  <c r="C557" i="5"/>
  <c r="G556" i="5"/>
  <c r="K555" i="5"/>
  <c r="O554" i="5"/>
  <c r="S553" i="5"/>
  <c r="C553" i="5"/>
  <c r="G552" i="5"/>
  <c r="K551" i="5"/>
  <c r="O550" i="5"/>
  <c r="S549" i="5"/>
  <c r="C549" i="5"/>
  <c r="G548" i="5"/>
  <c r="K547" i="5"/>
  <c r="O546" i="5"/>
  <c r="S545" i="5"/>
  <c r="C545" i="5"/>
  <c r="G544" i="5"/>
  <c r="K543" i="5"/>
  <c r="O542" i="5"/>
  <c r="S541" i="5"/>
  <c r="C541" i="5"/>
  <c r="G540" i="5"/>
  <c r="K539" i="5"/>
  <c r="O538" i="5"/>
  <c r="S537" i="5"/>
  <c r="C537" i="5"/>
  <c r="G536" i="5"/>
  <c r="K535" i="5"/>
  <c r="O534" i="5"/>
  <c r="S533" i="5"/>
  <c r="C533" i="5"/>
  <c r="G532" i="5"/>
  <c r="K531" i="5"/>
  <c r="O530" i="5"/>
  <c r="S529" i="5"/>
  <c r="C529" i="5"/>
  <c r="G528" i="5"/>
  <c r="K527" i="5"/>
  <c r="O526" i="5"/>
  <c r="S525" i="5"/>
  <c r="C525" i="5"/>
  <c r="G524" i="5"/>
  <c r="K523" i="5"/>
  <c r="O522" i="5"/>
  <c r="S521" i="5"/>
  <c r="C521" i="5"/>
  <c r="G520" i="5"/>
  <c r="K519" i="5"/>
  <c r="O518" i="5"/>
  <c r="S517" i="5"/>
  <c r="C517" i="5"/>
  <c r="G516" i="5"/>
  <c r="K515" i="5"/>
  <c r="O514" i="5"/>
  <c r="S513" i="5"/>
  <c r="C513" i="5"/>
  <c r="G512" i="5"/>
  <c r="K511" i="5"/>
  <c r="O510" i="5"/>
  <c r="S509" i="5"/>
  <c r="C509" i="5"/>
  <c r="G508" i="5"/>
  <c r="K507" i="5"/>
  <c r="O506" i="5"/>
  <c r="S505" i="5"/>
  <c r="C505" i="5"/>
  <c r="G504" i="5"/>
  <c r="K503" i="5"/>
  <c r="O502" i="5"/>
  <c r="S501" i="5"/>
  <c r="C501" i="5"/>
  <c r="G500" i="5"/>
  <c r="K499" i="5"/>
  <c r="O498" i="5"/>
  <c r="S497" i="5"/>
  <c r="C497" i="5"/>
  <c r="G496" i="5"/>
  <c r="K495" i="5"/>
  <c r="O494" i="5"/>
  <c r="S493" i="5"/>
  <c r="C493" i="5"/>
  <c r="G492" i="5"/>
  <c r="K491" i="5"/>
  <c r="O490" i="5"/>
  <c r="S489" i="5"/>
  <c r="C489" i="5"/>
  <c r="G488" i="5"/>
  <c r="K487" i="5"/>
  <c r="O486" i="5"/>
  <c r="S485" i="5"/>
  <c r="C485" i="5"/>
  <c r="G484" i="5"/>
  <c r="K483" i="5"/>
  <c r="O482" i="5"/>
  <c r="S481" i="5"/>
  <c r="C481" i="5"/>
  <c r="G480" i="5"/>
  <c r="K479" i="5"/>
  <c r="O478" i="5"/>
  <c r="S477" i="5"/>
  <c r="C477" i="5"/>
  <c r="G476" i="5"/>
  <c r="K475" i="5"/>
  <c r="O474" i="5"/>
  <c r="S473" i="5"/>
  <c r="C473" i="5"/>
  <c r="G472" i="5"/>
  <c r="K471" i="5"/>
  <c r="O470" i="5"/>
  <c r="S469" i="5"/>
  <c r="C469" i="5"/>
  <c r="G468" i="5"/>
  <c r="K467" i="5"/>
  <c r="O466" i="5"/>
  <c r="S465" i="5"/>
  <c r="C465" i="5"/>
  <c r="G464" i="5"/>
  <c r="K463" i="5"/>
  <c r="O462" i="5"/>
  <c r="S461" i="5"/>
  <c r="C461" i="5"/>
  <c r="K460" i="5"/>
  <c r="C460" i="5"/>
  <c r="O459" i="5"/>
  <c r="G459" i="5"/>
  <c r="S458" i="5"/>
  <c r="K458" i="5"/>
  <c r="C458" i="5"/>
  <c r="O457" i="5"/>
  <c r="G457" i="5"/>
  <c r="S456" i="5"/>
  <c r="K456" i="5"/>
  <c r="C456" i="5"/>
  <c r="O455" i="5"/>
  <c r="G455" i="5"/>
  <c r="S454" i="5"/>
  <c r="K454" i="5"/>
  <c r="C454" i="5"/>
  <c r="O453" i="5"/>
  <c r="G453" i="5"/>
  <c r="S452" i="5"/>
  <c r="K452" i="5"/>
  <c r="C452" i="5"/>
  <c r="O451" i="5"/>
  <c r="G451" i="5"/>
  <c r="S450" i="5"/>
  <c r="K450" i="5"/>
  <c r="C450" i="5"/>
  <c r="O449" i="5"/>
  <c r="G449" i="5"/>
  <c r="S448" i="5"/>
  <c r="K448" i="5"/>
  <c r="C448" i="5"/>
  <c r="O447" i="5"/>
  <c r="G447" i="5"/>
  <c r="S446" i="5"/>
  <c r="K446" i="5"/>
  <c r="C446" i="5"/>
  <c r="O445" i="5"/>
  <c r="G445" i="5"/>
  <c r="S444" i="5"/>
  <c r="K444" i="5"/>
  <c r="C444" i="5"/>
  <c r="O443" i="5"/>
  <c r="G443" i="5"/>
  <c r="S442" i="5"/>
  <c r="K442" i="5"/>
  <c r="C442" i="5"/>
  <c r="O441" i="5"/>
  <c r="G441" i="5"/>
  <c r="S440" i="5"/>
  <c r="K440" i="5"/>
  <c r="C440" i="5"/>
  <c r="O439" i="5"/>
  <c r="G439" i="5"/>
  <c r="S438" i="5"/>
  <c r="K438" i="5"/>
  <c r="C438" i="5"/>
  <c r="O437" i="5"/>
  <c r="G437" i="5"/>
  <c r="S436" i="5"/>
  <c r="K436" i="5"/>
  <c r="C436" i="5"/>
  <c r="O435" i="5"/>
  <c r="G435" i="5"/>
  <c r="S434" i="5"/>
  <c r="K434" i="5"/>
  <c r="C434" i="5"/>
  <c r="O433" i="5"/>
  <c r="G433" i="5"/>
  <c r="S432" i="5"/>
  <c r="K432" i="5"/>
  <c r="C432" i="5"/>
  <c r="O431" i="5"/>
  <c r="G431" i="5"/>
  <c r="S430" i="5"/>
  <c r="K430" i="5"/>
  <c r="C430" i="5"/>
  <c r="O429" i="5"/>
  <c r="G429" i="5"/>
  <c r="S428" i="5"/>
  <c r="K428" i="5"/>
  <c r="C428" i="5"/>
  <c r="O427" i="5"/>
  <c r="G427" i="5"/>
  <c r="S426" i="5"/>
  <c r="K426" i="5"/>
  <c r="C426" i="5"/>
  <c r="O425" i="5"/>
  <c r="G425" i="5"/>
  <c r="S424" i="5"/>
  <c r="K424" i="5"/>
  <c r="C424" i="5"/>
  <c r="O423" i="5"/>
  <c r="G423" i="5"/>
  <c r="S422" i="5"/>
  <c r="K422" i="5"/>
  <c r="C422" i="5"/>
  <c r="O421" i="5"/>
  <c r="G421" i="5"/>
  <c r="S420" i="5"/>
  <c r="K420" i="5"/>
  <c r="C420" i="5"/>
  <c r="O419" i="5"/>
  <c r="G419" i="5"/>
  <c r="S418" i="5"/>
  <c r="K418" i="5"/>
  <c r="Q417" i="5"/>
  <c r="A417" i="5"/>
  <c r="E416" i="5"/>
  <c r="I415" i="5"/>
  <c r="M414" i="5"/>
  <c r="Q413" i="5"/>
  <c r="A413" i="5"/>
  <c r="E412" i="5"/>
  <c r="I411" i="5"/>
  <c r="M410" i="5"/>
  <c r="Q409" i="5"/>
  <c r="A409" i="5"/>
  <c r="E408" i="5"/>
  <c r="I407" i="5"/>
  <c r="M406" i="5"/>
  <c r="Q405" i="5"/>
  <c r="A405" i="5"/>
  <c r="E404" i="5"/>
  <c r="I403" i="5"/>
  <c r="M402" i="5"/>
  <c r="Q401" i="5"/>
  <c r="A401" i="5"/>
  <c r="E400" i="5"/>
  <c r="I399" i="5"/>
  <c r="M398" i="5"/>
  <c r="Q397" i="5"/>
  <c r="A397" i="5"/>
  <c r="E396" i="5"/>
  <c r="I395" i="5"/>
  <c r="M394" i="5"/>
  <c r="Q393" i="5"/>
  <c r="A393" i="5"/>
  <c r="E392" i="5"/>
  <c r="I391" i="5"/>
  <c r="M390" i="5"/>
  <c r="Q389" i="5"/>
  <c r="A389" i="5"/>
  <c r="E388" i="5"/>
  <c r="I387" i="5"/>
  <c r="M386" i="5"/>
  <c r="Q385" i="5"/>
  <c r="A385" i="5"/>
  <c r="E384" i="5"/>
  <c r="I383" i="5"/>
  <c r="M382" i="5"/>
  <c r="Q381" i="5"/>
  <c r="A381" i="5"/>
  <c r="E380" i="5"/>
  <c r="I379" i="5"/>
  <c r="M378" i="5"/>
  <c r="Q377" i="5"/>
  <c r="A377" i="5"/>
  <c r="E376" i="5"/>
  <c r="I375" i="5"/>
  <c r="M374" i="5"/>
  <c r="Q373" i="5"/>
  <c r="A373" i="5"/>
  <c r="E372" i="5"/>
  <c r="I371" i="5"/>
  <c r="M370" i="5"/>
  <c r="Q369" i="5"/>
  <c r="A369" i="5"/>
  <c r="E368" i="5"/>
  <c r="I367" i="5"/>
  <c r="M366" i="5"/>
  <c r="Q365" i="5"/>
  <c r="G418" i="5"/>
  <c r="K417" i="5"/>
  <c r="O416" i="5"/>
  <c r="S415" i="5"/>
  <c r="C415" i="5"/>
  <c r="G414" i="5"/>
  <c r="K413" i="5"/>
  <c r="O412" i="5"/>
  <c r="S411" i="5"/>
  <c r="C411" i="5"/>
  <c r="G410" i="5"/>
  <c r="K409" i="5"/>
  <c r="O408" i="5"/>
  <c r="S407" i="5"/>
  <c r="C407" i="5"/>
  <c r="G406" i="5"/>
  <c r="K405" i="5"/>
  <c r="O404" i="5"/>
  <c r="S403" i="5"/>
  <c r="C403" i="5"/>
  <c r="G402" i="5"/>
  <c r="K401" i="5"/>
  <c r="O400" i="5"/>
  <c r="S399" i="5"/>
  <c r="C399" i="5"/>
  <c r="G398" i="5"/>
  <c r="K397" i="5"/>
  <c r="O396" i="5"/>
  <c r="S395" i="5"/>
  <c r="C395" i="5"/>
  <c r="G394" i="5"/>
  <c r="K393" i="5"/>
  <c r="O392" i="5"/>
  <c r="S391" i="5"/>
  <c r="C391" i="5"/>
  <c r="G390" i="5"/>
  <c r="K389" i="5"/>
  <c r="O388" i="5"/>
  <c r="S387" i="5"/>
  <c r="C387" i="5"/>
  <c r="G386" i="5"/>
  <c r="K385" i="5"/>
  <c r="O384" i="5"/>
  <c r="S383" i="5"/>
  <c r="C383" i="5"/>
  <c r="G382" i="5"/>
  <c r="K381" i="5"/>
  <c r="O380" i="5"/>
  <c r="S379" i="5"/>
  <c r="C379" i="5"/>
  <c r="G378" i="5"/>
  <c r="K377" i="5"/>
  <c r="O376" i="5"/>
  <c r="S375" i="5"/>
  <c r="C375" i="5"/>
  <c r="G374" i="5"/>
  <c r="K373" i="5"/>
  <c r="O372" i="5"/>
  <c r="S371" i="5"/>
  <c r="C371" i="5"/>
  <c r="G370" i="5"/>
  <c r="K369" i="5"/>
  <c r="O368" i="5"/>
  <c r="S367" i="5"/>
  <c r="C367" i="5"/>
  <c r="G366" i="5"/>
  <c r="K365" i="5"/>
  <c r="O364" i="5"/>
  <c r="S363" i="5"/>
  <c r="C363" i="5"/>
  <c r="G362" i="5"/>
  <c r="K361" i="5"/>
  <c r="O360" i="5"/>
  <c r="S359" i="5"/>
  <c r="C359" i="5"/>
  <c r="G358" i="5"/>
  <c r="K357" i="5"/>
  <c r="O356" i="5"/>
  <c r="S355" i="5"/>
  <c r="C355" i="5"/>
  <c r="G354" i="5"/>
  <c r="K353" i="5"/>
  <c r="O352" i="5"/>
  <c r="S351" i="5"/>
  <c r="E351" i="5"/>
  <c r="Q350" i="5"/>
  <c r="I350" i="5"/>
  <c r="A350" i="5"/>
  <c r="M349" i="5"/>
  <c r="E349" i="5"/>
  <c r="Q348" i="5"/>
  <c r="I348" i="5"/>
  <c r="A348" i="5"/>
  <c r="M347" i="5"/>
  <c r="E347" i="5"/>
  <c r="Q346" i="5"/>
  <c r="I346" i="5"/>
  <c r="A346" i="5"/>
  <c r="M345" i="5"/>
  <c r="E345" i="5"/>
  <c r="Q344" i="5"/>
  <c r="I344" i="5"/>
  <c r="A344" i="5"/>
  <c r="M343" i="5"/>
  <c r="E343" i="5"/>
  <c r="Q342" i="5"/>
  <c r="I342" i="5"/>
  <c r="A342" i="5"/>
  <c r="M341" i="5"/>
  <c r="E341" i="5"/>
  <c r="Q340" i="5"/>
  <c r="I340" i="5"/>
  <c r="A340" i="5"/>
  <c r="M339" i="5"/>
  <c r="E339" i="5"/>
  <c r="Q338" i="5"/>
  <c r="I338" i="5"/>
  <c r="A338" i="5"/>
  <c r="M337" i="5"/>
  <c r="E337" i="5"/>
  <c r="Q336" i="5"/>
  <c r="I336" i="5"/>
  <c r="A336" i="5"/>
  <c r="M335" i="5"/>
  <c r="E335" i="5"/>
  <c r="Q334" i="5"/>
  <c r="I334" i="5"/>
  <c r="A334" i="5"/>
  <c r="M333" i="5"/>
  <c r="E333" i="5"/>
  <c r="Q332" i="5"/>
  <c r="I332" i="5"/>
  <c r="A332" i="5"/>
  <c r="M331" i="5"/>
  <c r="E331" i="5"/>
  <c r="Q330" i="5"/>
  <c r="I330" i="5"/>
  <c r="A330" i="5"/>
  <c r="M329" i="5"/>
  <c r="E329" i="5"/>
  <c r="Q328" i="5"/>
  <c r="I328" i="5"/>
  <c r="A328" i="5"/>
  <c r="M327" i="5"/>
  <c r="E327" i="5"/>
  <c r="Q326" i="5"/>
  <c r="I326" i="5"/>
  <c r="A326" i="5"/>
  <c r="M325" i="5"/>
  <c r="E325" i="5"/>
  <c r="Q324" i="5"/>
  <c r="I324" i="5"/>
  <c r="A324" i="5"/>
  <c r="M323" i="5"/>
  <c r="E323" i="5"/>
  <c r="Q322" i="5"/>
  <c r="I322" i="5"/>
  <c r="A322" i="5"/>
  <c r="M321" i="5"/>
  <c r="E321" i="5"/>
  <c r="Q320" i="5"/>
  <c r="I320" i="5"/>
  <c r="A320" i="5"/>
  <c r="M319" i="5"/>
  <c r="E319" i="5"/>
  <c r="Q318" i="5"/>
  <c r="I318" i="5"/>
  <c r="A318" i="5"/>
  <c r="M317" i="5"/>
  <c r="E317" i="5"/>
  <c r="Q316" i="5"/>
  <c r="I316" i="5"/>
  <c r="A316" i="5"/>
  <c r="M315" i="5"/>
  <c r="E315" i="5"/>
  <c r="Q314" i="5"/>
  <c r="I314" i="5"/>
  <c r="A314" i="5"/>
  <c r="M313" i="5"/>
  <c r="E313" i="5"/>
  <c r="Q312" i="5"/>
  <c r="I312" i="5"/>
  <c r="A312" i="5"/>
  <c r="M311" i="5"/>
  <c r="E311" i="5"/>
  <c r="Q310" i="5"/>
  <c r="I310" i="5"/>
  <c r="A310" i="5"/>
  <c r="M309" i="5"/>
  <c r="E309" i="5"/>
  <c r="Q308" i="5"/>
  <c r="I308" i="5"/>
  <c r="A308" i="5"/>
  <c r="M307" i="5"/>
  <c r="E307" i="5"/>
  <c r="Q306" i="5"/>
  <c r="I306" i="5"/>
  <c r="A306" i="5"/>
  <c r="M305" i="5"/>
  <c r="E305" i="5"/>
  <c r="Q304" i="5"/>
  <c r="I304" i="5"/>
  <c r="A304" i="5"/>
  <c r="M303" i="5"/>
  <c r="E303" i="5"/>
  <c r="Q302" i="5"/>
  <c r="I302" i="5"/>
  <c r="A302" i="5"/>
  <c r="M301" i="5"/>
  <c r="E301" i="5"/>
  <c r="Q300" i="5"/>
  <c r="I300" i="5"/>
  <c r="A300" i="5"/>
  <c r="M299" i="5"/>
  <c r="E299" i="5"/>
  <c r="Q298" i="5"/>
  <c r="I298" i="5"/>
  <c r="A298" i="5"/>
  <c r="M297" i="5"/>
  <c r="E297" i="5"/>
  <c r="Q296" i="5"/>
  <c r="I296" i="5"/>
  <c r="A296" i="5"/>
  <c r="M295" i="5"/>
  <c r="E295" i="5"/>
  <c r="Q294" i="5"/>
  <c r="I294" i="5"/>
  <c r="A294" i="5"/>
  <c r="M293" i="5"/>
  <c r="E293" i="5"/>
  <c r="Q292" i="5"/>
  <c r="I292" i="5"/>
  <c r="A292" i="5"/>
  <c r="M291" i="5"/>
  <c r="E291" i="5"/>
  <c r="Q290" i="5"/>
  <c r="I290" i="5"/>
  <c r="A290" i="5"/>
  <c r="M289" i="5"/>
  <c r="E289" i="5"/>
  <c r="Q288" i="5"/>
  <c r="I288" i="5"/>
  <c r="A288" i="5"/>
  <c r="M287" i="5"/>
  <c r="E287" i="5"/>
  <c r="Q286" i="5"/>
  <c r="I286" i="5"/>
  <c r="A286" i="5"/>
  <c r="M285" i="5"/>
  <c r="E285" i="5"/>
  <c r="Q284" i="5"/>
  <c r="I284" i="5"/>
  <c r="A284" i="5"/>
  <c r="M283" i="5"/>
  <c r="E283" i="5"/>
  <c r="Q282" i="5"/>
  <c r="I282" i="5"/>
  <c r="A282" i="5"/>
  <c r="M281" i="5"/>
  <c r="E281" i="5"/>
  <c r="Q280" i="5"/>
  <c r="I280" i="5"/>
  <c r="A280" i="5"/>
  <c r="M279" i="5"/>
  <c r="E279" i="5"/>
  <c r="Q278" i="5"/>
  <c r="I278" i="5"/>
  <c r="A278" i="5"/>
  <c r="M277" i="5"/>
  <c r="E277" i="5"/>
  <c r="Q276" i="5"/>
  <c r="I276" i="5"/>
  <c r="A276" i="5"/>
  <c r="M275" i="5"/>
  <c r="E275" i="5"/>
  <c r="Q274" i="5"/>
  <c r="I274" i="5"/>
  <c r="A274" i="5"/>
  <c r="M273" i="5"/>
  <c r="E273" i="5"/>
  <c r="Q272" i="5"/>
  <c r="I272" i="5"/>
  <c r="A272" i="5"/>
  <c r="M271" i="5"/>
  <c r="E271" i="5"/>
  <c r="Q270" i="5"/>
  <c r="I270" i="5"/>
  <c r="A270" i="5"/>
  <c r="M269" i="5"/>
  <c r="E269" i="5"/>
  <c r="Q268" i="5"/>
  <c r="I268" i="5"/>
  <c r="A268" i="5"/>
  <c r="M267" i="5"/>
  <c r="E267" i="5"/>
  <c r="Q266" i="5"/>
  <c r="I266" i="5"/>
  <c r="A266" i="5"/>
  <c r="M265" i="5"/>
  <c r="E265" i="5"/>
  <c r="Q264" i="5"/>
  <c r="I264" i="5"/>
  <c r="A264" i="5"/>
  <c r="M263" i="5"/>
  <c r="E263" i="5"/>
  <c r="Q262" i="5"/>
  <c r="I262" i="5"/>
  <c r="A262" i="5"/>
  <c r="M261" i="5"/>
  <c r="E261" i="5"/>
  <c r="Q260" i="5"/>
  <c r="I260" i="5"/>
  <c r="A260" i="5"/>
  <c r="M259" i="5"/>
  <c r="E259" i="5"/>
  <c r="Q258" i="5"/>
  <c r="I258" i="5"/>
  <c r="A258" i="5"/>
  <c r="M257" i="5"/>
  <c r="E257" i="5"/>
  <c r="Q256" i="5"/>
  <c r="I256" i="5"/>
  <c r="A256" i="5"/>
  <c r="M255" i="5"/>
  <c r="E255" i="5"/>
  <c r="Q254" i="5"/>
  <c r="I254" i="5"/>
  <c r="A254" i="5"/>
  <c r="M253" i="5"/>
  <c r="E253" i="5"/>
  <c r="Q252" i="5"/>
  <c r="I252" i="5"/>
  <c r="A252" i="5"/>
  <c r="M251" i="5"/>
  <c r="E251" i="5"/>
  <c r="Q250" i="5"/>
  <c r="I250" i="5"/>
  <c r="A250" i="5"/>
  <c r="M249" i="5"/>
  <c r="E249" i="5"/>
  <c r="Q248" i="5"/>
  <c r="I248" i="5"/>
  <c r="A248" i="5"/>
  <c r="M247" i="5"/>
  <c r="E247" i="5"/>
  <c r="Q246" i="5"/>
  <c r="I246" i="5"/>
  <c r="A246" i="5"/>
  <c r="M245" i="5"/>
  <c r="E245" i="5"/>
  <c r="Q244" i="5"/>
  <c r="I244" i="5"/>
  <c r="A244" i="5"/>
  <c r="M243" i="5"/>
  <c r="E243" i="5"/>
  <c r="Q242" i="5"/>
  <c r="I242" i="5"/>
  <c r="A242" i="5"/>
  <c r="M241" i="5"/>
  <c r="E241" i="5"/>
  <c r="Q240" i="5"/>
  <c r="I240" i="5"/>
  <c r="A240" i="5"/>
  <c r="M239" i="5"/>
  <c r="E239" i="5"/>
  <c r="Q238" i="5"/>
  <c r="I238" i="5"/>
  <c r="A238" i="5"/>
  <c r="M237" i="5"/>
  <c r="E237" i="5"/>
  <c r="Q236" i="5"/>
  <c r="I236" i="5"/>
  <c r="A236" i="5"/>
  <c r="M235" i="5"/>
  <c r="E235" i="5"/>
  <c r="Q234" i="5"/>
  <c r="I234" i="5"/>
  <c r="A234" i="5"/>
  <c r="M233" i="5"/>
  <c r="E233" i="5"/>
  <c r="Q232" i="5"/>
  <c r="I232" i="5"/>
  <c r="A232" i="5"/>
  <c r="M231" i="5"/>
  <c r="E231" i="5"/>
  <c r="Q230" i="5"/>
  <c r="I230" i="5"/>
  <c r="A230" i="5"/>
  <c r="M229" i="5"/>
  <c r="E229" i="5"/>
  <c r="Q228" i="5"/>
  <c r="I228" i="5"/>
  <c r="A228" i="5"/>
  <c r="M227" i="5"/>
  <c r="E227" i="5"/>
  <c r="Q226" i="5"/>
  <c r="I226" i="5"/>
  <c r="A226" i="5"/>
  <c r="M225" i="5"/>
  <c r="E225" i="5"/>
  <c r="Q224" i="5"/>
  <c r="I224" i="5"/>
  <c r="A224" i="5"/>
  <c r="M223" i="5"/>
  <c r="E223" i="5"/>
  <c r="Q222" i="5"/>
  <c r="I222" i="5"/>
  <c r="A222" i="5"/>
  <c r="M221" i="5"/>
  <c r="E221" i="5"/>
  <c r="Q220" i="5"/>
  <c r="I220" i="5"/>
  <c r="A220" i="5"/>
  <c r="H748" i="5"/>
  <c r="R719" i="5"/>
  <c r="H771" i="5"/>
  <c r="R710" i="5"/>
  <c r="N696" i="5"/>
  <c r="J682" i="5"/>
  <c r="F668" i="5"/>
  <c r="B654" i="5"/>
  <c r="R646" i="5"/>
  <c r="P639" i="5"/>
  <c r="H767" i="5"/>
  <c r="A717" i="5"/>
  <c r="E704" i="5"/>
  <c r="I691" i="5"/>
  <c r="M678" i="5"/>
  <c r="Q665" i="5"/>
  <c r="A653" i="5"/>
  <c r="E640" i="5"/>
  <c r="S745" i="5"/>
  <c r="C700" i="5"/>
  <c r="K674" i="5"/>
  <c r="S648" i="5"/>
  <c r="D630" i="5"/>
  <c r="L626" i="5"/>
  <c r="B623" i="5"/>
  <c r="J619" i="5"/>
  <c r="R615" i="5"/>
  <c r="H612" i="5"/>
  <c r="P608" i="5"/>
  <c r="F605" i="5"/>
  <c r="N601" i="5"/>
  <c r="D598" i="5"/>
  <c r="L594" i="5"/>
  <c r="B591" i="5"/>
  <c r="J587" i="5"/>
  <c r="R583" i="5"/>
  <c r="H580" i="5"/>
  <c r="P576" i="5"/>
  <c r="F573" i="5"/>
  <c r="N569" i="5"/>
  <c r="D566" i="5"/>
  <c r="L562" i="5"/>
  <c r="B559" i="5"/>
  <c r="J555" i="5"/>
  <c r="R551" i="5"/>
  <c r="H548" i="5"/>
  <c r="P544" i="5"/>
  <c r="F541" i="5"/>
  <c r="N537" i="5"/>
  <c r="D534" i="5"/>
  <c r="L530" i="5"/>
  <c r="B527" i="5"/>
  <c r="J523" i="5"/>
  <c r="R519" i="5"/>
  <c r="H516" i="5"/>
  <c r="P512" i="5"/>
  <c r="F509" i="5"/>
  <c r="N505" i="5"/>
  <c r="D502" i="5"/>
  <c r="L498" i="5"/>
  <c r="B495" i="5"/>
  <c r="J491" i="5"/>
  <c r="R487" i="5"/>
  <c r="P484" i="5"/>
  <c r="B483" i="5"/>
  <c r="F481" i="5"/>
  <c r="J479" i="5"/>
  <c r="N477" i="5"/>
  <c r="R475" i="5"/>
  <c r="D474" i="5"/>
  <c r="H472" i="5"/>
  <c r="L470" i="5"/>
  <c r="P468" i="5"/>
  <c r="B467" i="5"/>
  <c r="F465" i="5"/>
  <c r="J463" i="5"/>
  <c r="N461" i="5"/>
  <c r="O754" i="5"/>
  <c r="C729" i="5"/>
  <c r="C715" i="5"/>
  <c r="O708" i="5"/>
  <c r="G702" i="5"/>
  <c r="S695" i="5"/>
  <c r="K689" i="5"/>
  <c r="C683" i="5"/>
  <c r="O676" i="5"/>
  <c r="G670" i="5"/>
  <c r="S663" i="5"/>
  <c r="K657" i="5"/>
  <c r="C651" i="5"/>
  <c r="O644" i="5"/>
  <c r="G638" i="5"/>
  <c r="M632" i="5"/>
  <c r="I630" i="5"/>
  <c r="Q628" i="5"/>
  <c r="E627" i="5"/>
  <c r="M625" i="5"/>
  <c r="A624" i="5"/>
  <c r="I622" i="5"/>
  <c r="Q620" i="5"/>
  <c r="E619" i="5"/>
  <c r="M617" i="5"/>
  <c r="A616" i="5"/>
  <c r="I614" i="5"/>
  <c r="Q612" i="5"/>
  <c r="E611" i="5"/>
  <c r="M609" i="5"/>
  <c r="A608" i="5"/>
  <c r="I606" i="5"/>
  <c r="Q604" i="5"/>
  <c r="E603" i="5"/>
  <c r="M601" i="5"/>
  <c r="A600" i="5"/>
  <c r="I598" i="5"/>
  <c r="Q596" i="5"/>
  <c r="E595" i="5"/>
  <c r="M593" i="5"/>
  <c r="A592" i="5"/>
  <c r="I590" i="5"/>
  <c r="Q588" i="5"/>
  <c r="E587" i="5"/>
  <c r="M585" i="5"/>
  <c r="A584" i="5"/>
  <c r="I582" i="5"/>
  <c r="Q580" i="5"/>
  <c r="Q577" i="5"/>
  <c r="M574" i="5"/>
  <c r="I571" i="5"/>
  <c r="E568" i="5"/>
  <c r="A565" i="5"/>
  <c r="Q561" i="5"/>
  <c r="M558" i="5"/>
  <c r="I555" i="5"/>
  <c r="E552" i="5"/>
  <c r="A549" i="5"/>
  <c r="Q545" i="5"/>
  <c r="M542" i="5"/>
  <c r="I539" i="5"/>
  <c r="E536" i="5"/>
  <c r="A533" i="5"/>
  <c r="Q529" i="5"/>
  <c r="M526" i="5"/>
  <c r="I523" i="5"/>
  <c r="E520" i="5"/>
  <c r="A517" i="5"/>
  <c r="Q513" i="5"/>
  <c r="M510" i="5"/>
  <c r="I507" i="5"/>
  <c r="E504" i="5"/>
  <c r="A501" i="5"/>
  <c r="Q497" i="5"/>
  <c r="M494" i="5"/>
  <c r="I491" i="5"/>
  <c r="E488" i="5"/>
  <c r="A485" i="5"/>
  <c r="Q481" i="5"/>
  <c r="M478" i="5"/>
  <c r="I475" i="5"/>
  <c r="E472" i="5"/>
  <c r="A469" i="5"/>
  <c r="Q465" i="5"/>
  <c r="M462" i="5"/>
  <c r="B460" i="5"/>
  <c r="F458" i="5"/>
  <c r="J456" i="5"/>
  <c r="N454" i="5"/>
  <c r="R452" i="5"/>
  <c r="D451" i="5"/>
  <c r="H449" i="5"/>
  <c r="L447" i="5"/>
  <c r="P445" i="5"/>
  <c r="B444" i="5"/>
  <c r="F442" i="5"/>
  <c r="J440" i="5"/>
  <c r="N438" i="5"/>
  <c r="R436" i="5"/>
  <c r="L435" i="5"/>
  <c r="N434" i="5"/>
  <c r="P433" i="5"/>
  <c r="R432" i="5"/>
  <c r="B432" i="5"/>
  <c r="D431" i="5"/>
  <c r="F430" i="5"/>
  <c r="H429" i="5"/>
  <c r="J428" i="5"/>
  <c r="L427" i="5"/>
  <c r="N426" i="5"/>
  <c r="P425" i="5"/>
  <c r="R424" i="5"/>
  <c r="B424" i="5"/>
  <c r="D423" i="5"/>
  <c r="F422" i="5"/>
  <c r="H421" i="5"/>
  <c r="J420" i="5"/>
  <c r="L419" i="5"/>
  <c r="N418" i="5"/>
  <c r="P417" i="5"/>
  <c r="R416" i="5"/>
  <c r="B416" i="5"/>
  <c r="D415" i="5"/>
  <c r="F414" i="5"/>
  <c r="H413" i="5"/>
  <c r="J412" i="5"/>
  <c r="L411" i="5"/>
  <c r="N410" i="5"/>
  <c r="P409" i="5"/>
  <c r="R408" i="5"/>
  <c r="B408" i="5"/>
  <c r="D407" i="5"/>
  <c r="F406" i="5"/>
  <c r="H405" i="5"/>
  <c r="J404" i="5"/>
  <c r="L403" i="5"/>
  <c r="N402" i="5"/>
  <c r="P401" i="5"/>
  <c r="R400" i="5"/>
  <c r="B400" i="5"/>
  <c r="D399" i="5"/>
  <c r="F398" i="5"/>
  <c r="H397" i="5"/>
  <c r="J396" i="5"/>
  <c r="L395" i="5"/>
  <c r="N394" i="5"/>
  <c r="P393" i="5"/>
  <c r="R392" i="5"/>
  <c r="B392" i="5"/>
  <c r="D391" i="5"/>
  <c r="F390" i="5"/>
  <c r="H389" i="5"/>
  <c r="J388" i="5"/>
  <c r="L387" i="5"/>
  <c r="N386" i="5"/>
  <c r="P385" i="5"/>
  <c r="R384" i="5"/>
  <c r="B384" i="5"/>
  <c r="D383" i="5"/>
  <c r="F382" i="5"/>
  <c r="H381" i="5"/>
  <c r="J380" i="5"/>
  <c r="L379" i="5"/>
  <c r="N378" i="5"/>
  <c r="P377" i="5"/>
  <c r="R376" i="5"/>
  <c r="B376" i="5"/>
  <c r="D375" i="5"/>
  <c r="F374" i="5"/>
  <c r="H373" i="5"/>
  <c r="J372" i="5"/>
  <c r="L371" i="5"/>
  <c r="N370" i="5"/>
  <c r="P369" i="5"/>
  <c r="R368" i="5"/>
  <c r="B368" i="5"/>
  <c r="D367" i="5"/>
  <c r="F366" i="5"/>
  <c r="L365" i="5"/>
  <c r="D365" i="5"/>
  <c r="N364" i="5"/>
  <c r="F364" i="5"/>
  <c r="P363" i="5"/>
  <c r="H363" i="5"/>
  <c r="R362" i="5"/>
  <c r="J362" i="5"/>
  <c r="B362" i="5"/>
  <c r="L361" i="5"/>
  <c r="D361" i="5"/>
  <c r="N360" i="5"/>
  <c r="F360" i="5"/>
  <c r="P359" i="5"/>
  <c r="H359" i="5"/>
  <c r="R358" i="5"/>
  <c r="J358" i="5"/>
  <c r="B358" i="5"/>
  <c r="L357" i="5"/>
  <c r="D357" i="5"/>
  <c r="N356" i="5"/>
  <c r="F356" i="5"/>
  <c r="P355" i="5"/>
  <c r="H355" i="5"/>
  <c r="R354" i="5"/>
  <c r="J354" i="5"/>
  <c r="B354" i="5"/>
  <c r="L353" i="5"/>
  <c r="D353" i="5"/>
  <c r="N352" i="5"/>
  <c r="F352" i="5"/>
  <c r="P351" i="5"/>
  <c r="H351" i="5"/>
  <c r="S579" i="5"/>
  <c r="C579" i="5"/>
  <c r="G578" i="5"/>
  <c r="K577" i="5"/>
  <c r="O576" i="5"/>
  <c r="S575" i="5"/>
  <c r="C575" i="5"/>
  <c r="G574" i="5"/>
  <c r="K573" i="5"/>
  <c r="O572" i="5"/>
  <c r="S571" i="5"/>
  <c r="C571" i="5"/>
  <c r="G570" i="5"/>
  <c r="K569" i="5"/>
  <c r="O568" i="5"/>
  <c r="S567" i="5"/>
  <c r="C567" i="5"/>
  <c r="G566" i="5"/>
  <c r="K565" i="5"/>
  <c r="O564" i="5"/>
  <c r="S563" i="5"/>
  <c r="C563" i="5"/>
  <c r="G562" i="5"/>
  <c r="K561" i="5"/>
  <c r="O560" i="5"/>
  <c r="S559" i="5"/>
  <c r="C559" i="5"/>
  <c r="G558" i="5"/>
  <c r="K557" i="5"/>
  <c r="O556" i="5"/>
  <c r="S555" i="5"/>
  <c r="C555" i="5"/>
  <c r="G554" i="5"/>
  <c r="K553" i="5"/>
  <c r="O552" i="5"/>
  <c r="S551" i="5"/>
  <c r="C551" i="5"/>
  <c r="G550" i="5"/>
  <c r="K549" i="5"/>
  <c r="O548" i="5"/>
  <c r="S547" i="5"/>
  <c r="C547" i="5"/>
  <c r="G546" i="5"/>
  <c r="K545" i="5"/>
  <c r="O544" i="5"/>
  <c r="S543" i="5"/>
  <c r="C543" i="5"/>
  <c r="G542" i="5"/>
  <c r="K541" i="5"/>
  <c r="O540" i="5"/>
  <c r="S539" i="5"/>
  <c r="C539" i="5"/>
  <c r="G538" i="5"/>
  <c r="K537" i="5"/>
  <c r="O536" i="5"/>
  <c r="S535" i="5"/>
  <c r="C535" i="5"/>
  <c r="G534" i="5"/>
  <c r="K533" i="5"/>
  <c r="O532" i="5"/>
  <c r="S531" i="5"/>
  <c r="C531" i="5"/>
  <c r="G530" i="5"/>
  <c r="K529" i="5"/>
  <c r="O528" i="5"/>
  <c r="S527" i="5"/>
  <c r="C527" i="5"/>
  <c r="G526" i="5"/>
  <c r="K525" i="5"/>
  <c r="O524" i="5"/>
  <c r="S523" i="5"/>
  <c r="C523" i="5"/>
  <c r="G522" i="5"/>
  <c r="K521" i="5"/>
  <c r="O520" i="5"/>
  <c r="S519" i="5"/>
  <c r="C519" i="5"/>
  <c r="G518" i="5"/>
  <c r="K517" i="5"/>
  <c r="O516" i="5"/>
  <c r="S515" i="5"/>
  <c r="C515" i="5"/>
  <c r="G514" i="5"/>
  <c r="K513" i="5"/>
  <c r="O512" i="5"/>
  <c r="S511" i="5"/>
  <c r="C511" i="5"/>
  <c r="G510" i="5"/>
  <c r="K509" i="5"/>
  <c r="O508" i="5"/>
  <c r="S507" i="5"/>
  <c r="C507" i="5"/>
  <c r="G506" i="5"/>
  <c r="K505" i="5"/>
  <c r="O504" i="5"/>
  <c r="S503" i="5"/>
  <c r="C503" i="5"/>
  <c r="G502" i="5"/>
  <c r="K501" i="5"/>
  <c r="O500" i="5"/>
  <c r="S499" i="5"/>
  <c r="C499" i="5"/>
  <c r="G498" i="5"/>
  <c r="K497" i="5"/>
  <c r="O496" i="5"/>
  <c r="S495" i="5"/>
  <c r="C495" i="5"/>
  <c r="G494" i="5"/>
  <c r="K493" i="5"/>
  <c r="O492" i="5"/>
  <c r="S491" i="5"/>
  <c r="C491" i="5"/>
  <c r="G490" i="5"/>
  <c r="K489" i="5"/>
  <c r="O488" i="5"/>
  <c r="S487" i="5"/>
  <c r="C487" i="5"/>
  <c r="G486" i="5"/>
  <c r="K485" i="5"/>
  <c r="O484" i="5"/>
  <c r="S483" i="5"/>
  <c r="C483" i="5"/>
  <c r="G482" i="5"/>
  <c r="K481" i="5"/>
  <c r="O480" i="5"/>
  <c r="S479" i="5"/>
  <c r="C479" i="5"/>
  <c r="G478" i="5"/>
  <c r="K477" i="5"/>
  <c r="O476" i="5"/>
  <c r="S475" i="5"/>
  <c r="C475" i="5"/>
  <c r="G474" i="5"/>
  <c r="K473" i="5"/>
  <c r="O472" i="5"/>
  <c r="S471" i="5"/>
  <c r="C471" i="5"/>
  <c r="G470" i="5"/>
  <c r="K469" i="5"/>
  <c r="O468" i="5"/>
  <c r="S467" i="5"/>
  <c r="C467" i="5"/>
  <c r="G466" i="5"/>
  <c r="K465" i="5"/>
  <c r="O464" i="5"/>
  <c r="S463" i="5"/>
  <c r="C463" i="5"/>
  <c r="G462" i="5"/>
  <c r="K461" i="5"/>
  <c r="O460" i="5"/>
  <c r="G460" i="5"/>
  <c r="S459" i="5"/>
  <c r="K459" i="5"/>
  <c r="C459" i="5"/>
  <c r="O458" i="5"/>
  <c r="G458" i="5"/>
  <c r="S457" i="5"/>
  <c r="K457" i="5"/>
  <c r="C457" i="5"/>
  <c r="O456" i="5"/>
  <c r="G456" i="5"/>
  <c r="S455" i="5"/>
  <c r="K455" i="5"/>
  <c r="C455" i="5"/>
  <c r="O454" i="5"/>
  <c r="G454" i="5"/>
  <c r="S453" i="5"/>
  <c r="K453" i="5"/>
  <c r="C453" i="5"/>
  <c r="O452" i="5"/>
  <c r="G452" i="5"/>
  <c r="S451" i="5"/>
  <c r="K451" i="5"/>
  <c r="C451" i="5"/>
  <c r="O450" i="5"/>
  <c r="G450" i="5"/>
  <c r="S449" i="5"/>
  <c r="K449" i="5"/>
  <c r="C449" i="5"/>
  <c r="O448" i="5"/>
  <c r="G448" i="5"/>
  <c r="S447" i="5"/>
  <c r="K447" i="5"/>
  <c r="C447" i="5"/>
  <c r="O446" i="5"/>
  <c r="G446" i="5"/>
  <c r="S445" i="5"/>
  <c r="K445" i="5"/>
  <c r="C445" i="5"/>
  <c r="O444" i="5"/>
  <c r="G444" i="5"/>
  <c r="S443" i="5"/>
  <c r="K443" i="5"/>
  <c r="C443" i="5"/>
  <c r="O442" i="5"/>
  <c r="G442" i="5"/>
  <c r="S441" i="5"/>
  <c r="K441" i="5"/>
  <c r="C441" i="5"/>
  <c r="O440" i="5"/>
  <c r="G440" i="5"/>
  <c r="S439" i="5"/>
  <c r="K439" i="5"/>
  <c r="C439" i="5"/>
  <c r="O438" i="5"/>
  <c r="G438" i="5"/>
  <c r="S437" i="5"/>
  <c r="K437" i="5"/>
  <c r="C437" i="5"/>
  <c r="O436" i="5"/>
  <c r="G436" i="5"/>
  <c r="S435" i="5"/>
  <c r="K435" i="5"/>
  <c r="C435" i="5"/>
  <c r="O434" i="5"/>
  <c r="G434" i="5"/>
  <c r="S433" i="5"/>
  <c r="K433" i="5"/>
  <c r="C433" i="5"/>
  <c r="O432" i="5"/>
  <c r="G432" i="5"/>
  <c r="S431" i="5"/>
  <c r="K431" i="5"/>
  <c r="C431" i="5"/>
  <c r="O430" i="5"/>
  <c r="G430" i="5"/>
  <c r="S429" i="5"/>
  <c r="K429" i="5"/>
  <c r="C429" i="5"/>
  <c r="O428" i="5"/>
  <c r="G428" i="5"/>
  <c r="S427" i="5"/>
  <c r="K427" i="5"/>
  <c r="C427" i="5"/>
  <c r="O426" i="5"/>
  <c r="G426" i="5"/>
  <c r="S425" i="5"/>
  <c r="K425" i="5"/>
  <c r="C425" i="5"/>
  <c r="O424" i="5"/>
  <c r="G424" i="5"/>
  <c r="S423" i="5"/>
  <c r="K423" i="5"/>
  <c r="C423" i="5"/>
  <c r="O422" i="5"/>
  <c r="G422" i="5"/>
  <c r="S421" i="5"/>
  <c r="K421" i="5"/>
  <c r="C421" i="5"/>
  <c r="O420" i="5"/>
  <c r="G420" i="5"/>
  <c r="S419" i="5"/>
  <c r="K419" i="5"/>
  <c r="C419" i="5"/>
  <c r="O418" i="5"/>
  <c r="E418" i="5"/>
  <c r="I417" i="5"/>
  <c r="M416" i="5"/>
  <c r="Q415" i="5"/>
  <c r="A415" i="5"/>
  <c r="E414" i="5"/>
  <c r="I413" i="5"/>
  <c r="M412" i="5"/>
  <c r="Q411" i="5"/>
  <c r="A411" i="5"/>
  <c r="E410" i="5"/>
  <c r="I409" i="5"/>
  <c r="M408" i="5"/>
  <c r="Q407" i="5"/>
  <c r="A407" i="5"/>
  <c r="E406" i="5"/>
  <c r="I405" i="5"/>
  <c r="M404" i="5"/>
  <c r="Q403" i="5"/>
  <c r="A403" i="5"/>
  <c r="E402" i="5"/>
  <c r="I401" i="5"/>
  <c r="M400" i="5"/>
  <c r="Q399" i="5"/>
  <c r="A399" i="5"/>
  <c r="E398" i="5"/>
  <c r="I397" i="5"/>
  <c r="M396" i="5"/>
  <c r="Q395" i="5"/>
  <c r="A395" i="5"/>
  <c r="E394" i="5"/>
  <c r="I393" i="5"/>
  <c r="M392" i="5"/>
  <c r="Q391" i="5"/>
  <c r="A391" i="5"/>
  <c r="E390" i="5"/>
  <c r="I389" i="5"/>
  <c r="M388" i="5"/>
  <c r="Q387" i="5"/>
  <c r="A387" i="5"/>
  <c r="E386" i="5"/>
  <c r="I385" i="5"/>
  <c r="M384" i="5"/>
  <c r="Q383" i="5"/>
  <c r="A383" i="5"/>
  <c r="E382" i="5"/>
  <c r="I381" i="5"/>
  <c r="M380" i="5"/>
  <c r="Q379" i="5"/>
  <c r="A379" i="5"/>
  <c r="E378" i="5"/>
  <c r="I377" i="5"/>
  <c r="M376" i="5"/>
  <c r="Q375" i="5"/>
  <c r="A375" i="5"/>
  <c r="E374" i="5"/>
  <c r="I373" i="5"/>
  <c r="M372" i="5"/>
  <c r="Q371" i="5"/>
  <c r="A371" i="5"/>
  <c r="E370" i="5"/>
  <c r="I369" i="5"/>
  <c r="M368" i="5"/>
  <c r="Q367" i="5"/>
  <c r="A367" i="5"/>
  <c r="E366" i="5"/>
  <c r="I365" i="5"/>
  <c r="S417" i="5"/>
  <c r="C417" i="5"/>
  <c r="G416" i="5"/>
  <c r="K415" i="5"/>
  <c r="O414" i="5"/>
  <c r="S413" i="5"/>
  <c r="C413" i="5"/>
  <c r="G412" i="5"/>
  <c r="K411" i="5"/>
  <c r="O410" i="5"/>
  <c r="S409" i="5"/>
  <c r="C409" i="5"/>
  <c r="G408" i="5"/>
  <c r="K407" i="5"/>
  <c r="O406" i="5"/>
  <c r="S405" i="5"/>
  <c r="C405" i="5"/>
  <c r="G404" i="5"/>
  <c r="K403" i="5"/>
  <c r="O402" i="5"/>
  <c r="S401" i="5"/>
  <c r="C401" i="5"/>
  <c r="G400" i="5"/>
  <c r="K399" i="5"/>
  <c r="O398" i="5"/>
  <c r="S397" i="5"/>
  <c r="C397" i="5"/>
  <c r="G396" i="5"/>
  <c r="K395" i="5"/>
  <c r="O394" i="5"/>
  <c r="S393" i="5"/>
  <c r="C393" i="5"/>
  <c r="G392" i="5"/>
  <c r="K391" i="5"/>
  <c r="O390" i="5"/>
  <c r="S389" i="5"/>
  <c r="C389" i="5"/>
  <c r="G388" i="5"/>
  <c r="K387" i="5"/>
  <c r="O386" i="5"/>
  <c r="S385" i="5"/>
  <c r="C385" i="5"/>
  <c r="G384" i="5"/>
  <c r="K383" i="5"/>
  <c r="O382" i="5"/>
  <c r="S381" i="5"/>
  <c r="C381" i="5"/>
  <c r="G380" i="5"/>
  <c r="K379" i="5"/>
  <c r="O378" i="5"/>
  <c r="S377" i="5"/>
  <c r="C377" i="5"/>
  <c r="G376" i="5"/>
  <c r="K375" i="5"/>
  <c r="O374" i="5"/>
  <c r="S373" i="5"/>
  <c r="C373" i="5"/>
  <c r="G372" i="5"/>
  <c r="K371" i="5"/>
  <c r="O370" i="5"/>
  <c r="S369" i="5"/>
  <c r="C369" i="5"/>
  <c r="G368" i="5"/>
  <c r="K367" i="5"/>
  <c r="O366" i="5"/>
  <c r="S365" i="5"/>
  <c r="C365" i="5"/>
  <c r="G364" i="5"/>
  <c r="K363" i="5"/>
  <c r="O362" i="5"/>
  <c r="S361" i="5"/>
  <c r="C361" i="5"/>
  <c r="G360" i="5"/>
  <c r="K359" i="5"/>
  <c r="O358" i="5"/>
  <c r="S357" i="5"/>
  <c r="C357" i="5"/>
  <c r="G356" i="5"/>
  <c r="K355" i="5"/>
  <c r="O354" i="5"/>
  <c r="S353" i="5"/>
  <c r="C353" i="5"/>
  <c r="G352" i="5"/>
  <c r="K351" i="5"/>
  <c r="A351" i="5"/>
  <c r="M350" i="5"/>
  <c r="E350" i="5"/>
  <c r="Q349" i="5"/>
  <c r="I349" i="5"/>
  <c r="A349" i="5"/>
  <c r="M348" i="5"/>
  <c r="E348" i="5"/>
  <c r="Q347" i="5"/>
  <c r="I347" i="5"/>
  <c r="A347" i="5"/>
  <c r="M346" i="5"/>
  <c r="E346" i="5"/>
  <c r="Q345" i="5"/>
  <c r="I345" i="5"/>
  <c r="A345" i="5"/>
  <c r="M344" i="5"/>
  <c r="E344" i="5"/>
  <c r="Q343" i="5"/>
  <c r="I343" i="5"/>
  <c r="A343" i="5"/>
  <c r="M342" i="5"/>
  <c r="E342" i="5"/>
  <c r="Q341" i="5"/>
  <c r="I341" i="5"/>
  <c r="A341" i="5"/>
  <c r="M340" i="5"/>
  <c r="E340" i="5"/>
  <c r="Q339" i="5"/>
  <c r="I339" i="5"/>
  <c r="A339" i="5"/>
  <c r="M338" i="5"/>
  <c r="E338" i="5"/>
  <c r="Q337" i="5"/>
  <c r="I337" i="5"/>
  <c r="A337" i="5"/>
  <c r="M336" i="5"/>
  <c r="E336" i="5"/>
  <c r="Q335" i="5"/>
  <c r="I335" i="5"/>
  <c r="A335" i="5"/>
  <c r="M334" i="5"/>
  <c r="E334" i="5"/>
  <c r="Q333" i="5"/>
  <c r="I333" i="5"/>
  <c r="A333" i="5"/>
  <c r="M332" i="5"/>
  <c r="E332" i="5"/>
  <c r="Q331" i="5"/>
  <c r="I331" i="5"/>
  <c r="A331" i="5"/>
  <c r="M330" i="5"/>
  <c r="E330" i="5"/>
  <c r="Q329" i="5"/>
  <c r="I329" i="5"/>
  <c r="A329" i="5"/>
  <c r="M328" i="5"/>
  <c r="E328" i="5"/>
  <c r="Q327" i="5"/>
  <c r="I327" i="5"/>
  <c r="A327" i="5"/>
  <c r="M326" i="5"/>
  <c r="E326" i="5"/>
  <c r="Q325" i="5"/>
  <c r="I325" i="5"/>
  <c r="A325" i="5"/>
  <c r="M324" i="5"/>
  <c r="E324" i="5"/>
  <c r="Q323" i="5"/>
  <c r="I323" i="5"/>
  <c r="A323" i="5"/>
  <c r="M322" i="5"/>
  <c r="E322" i="5"/>
  <c r="Q321" i="5"/>
  <c r="I321" i="5"/>
  <c r="A321" i="5"/>
  <c r="M320" i="5"/>
  <c r="E320" i="5"/>
  <c r="Q319" i="5"/>
  <c r="I319" i="5"/>
  <c r="A319" i="5"/>
  <c r="M318" i="5"/>
  <c r="E318" i="5"/>
  <c r="Q317" i="5"/>
  <c r="I317" i="5"/>
  <c r="A317" i="5"/>
  <c r="M316" i="5"/>
  <c r="E316" i="5"/>
  <c r="Q315" i="5"/>
  <c r="I315" i="5"/>
  <c r="A315" i="5"/>
  <c r="M314" i="5"/>
  <c r="E314" i="5"/>
  <c r="Q313" i="5"/>
  <c r="I313" i="5"/>
  <c r="A313" i="5"/>
  <c r="M312" i="5"/>
  <c r="E312" i="5"/>
  <c r="Q311" i="5"/>
  <c r="I311" i="5"/>
  <c r="A311" i="5"/>
  <c r="M310" i="5"/>
  <c r="E310" i="5"/>
  <c r="Q309" i="5"/>
  <c r="I309" i="5"/>
  <c r="A309" i="5"/>
  <c r="M308" i="5"/>
  <c r="E308" i="5"/>
  <c r="Q307" i="5"/>
  <c r="I307" i="5"/>
  <c r="A307" i="5"/>
  <c r="M306" i="5"/>
  <c r="E306" i="5"/>
  <c r="Q305" i="5"/>
  <c r="I305" i="5"/>
  <c r="A305" i="5"/>
  <c r="M304" i="5"/>
  <c r="E304" i="5"/>
  <c r="Q303" i="5"/>
  <c r="I303" i="5"/>
  <c r="A303" i="5"/>
  <c r="M302" i="5"/>
  <c r="E302" i="5"/>
  <c r="Q301" i="5"/>
  <c r="I301" i="5"/>
  <c r="A301" i="5"/>
  <c r="M300" i="5"/>
  <c r="E300" i="5"/>
  <c r="Q299" i="5"/>
  <c r="I299" i="5"/>
  <c r="A299" i="5"/>
  <c r="M298" i="5"/>
  <c r="E298" i="5"/>
  <c r="Q297" i="5"/>
  <c r="I297" i="5"/>
  <c r="A297" i="5"/>
  <c r="M296" i="5"/>
  <c r="E296" i="5"/>
  <c r="Q295" i="5"/>
  <c r="I295" i="5"/>
  <c r="A295" i="5"/>
  <c r="M294" i="5"/>
  <c r="E294" i="5"/>
  <c r="Q293" i="5"/>
  <c r="I293" i="5"/>
  <c r="A293" i="5"/>
  <c r="M292" i="5"/>
  <c r="E292" i="5"/>
  <c r="Q291" i="5"/>
  <c r="I291" i="5"/>
  <c r="A291" i="5"/>
  <c r="M290" i="5"/>
  <c r="E290" i="5"/>
  <c r="Q289" i="5"/>
  <c r="I289" i="5"/>
  <c r="A289" i="5"/>
  <c r="M288" i="5"/>
  <c r="E288" i="5"/>
  <c r="Q287" i="5"/>
  <c r="I287" i="5"/>
  <c r="A287" i="5"/>
  <c r="M286" i="5"/>
  <c r="E286" i="5"/>
  <c r="Q285" i="5"/>
  <c r="I285" i="5"/>
  <c r="A285" i="5"/>
  <c r="M284" i="5"/>
  <c r="E284" i="5"/>
  <c r="Q283" i="5"/>
  <c r="I283" i="5"/>
  <c r="A283" i="5"/>
  <c r="M282" i="5"/>
  <c r="E282" i="5"/>
  <c r="Q281" i="5"/>
  <c r="I281" i="5"/>
  <c r="A281" i="5"/>
  <c r="M280" i="5"/>
  <c r="E280" i="5"/>
  <c r="Q279" i="5"/>
  <c r="I279" i="5"/>
  <c r="A279" i="5"/>
  <c r="M278" i="5"/>
  <c r="E278" i="5"/>
  <c r="Q277" i="5"/>
  <c r="I277" i="5"/>
  <c r="A277" i="5"/>
  <c r="M276" i="5"/>
  <c r="E276" i="5"/>
  <c r="Q275" i="5"/>
  <c r="I275" i="5"/>
  <c r="A275" i="5"/>
  <c r="M274" i="5"/>
  <c r="E274" i="5"/>
  <c r="Q273" i="5"/>
  <c r="I273" i="5"/>
  <c r="A273" i="5"/>
  <c r="M272" i="5"/>
  <c r="E272" i="5"/>
  <c r="Q271" i="5"/>
  <c r="I271" i="5"/>
  <c r="A271" i="5"/>
  <c r="M270" i="5"/>
  <c r="E270" i="5"/>
  <c r="Q269" i="5"/>
  <c r="I269" i="5"/>
  <c r="A269" i="5"/>
  <c r="M268" i="5"/>
  <c r="E268" i="5"/>
  <c r="Q267" i="5"/>
  <c r="I267" i="5"/>
  <c r="A267" i="5"/>
  <c r="M266" i="5"/>
  <c r="E266" i="5"/>
  <c r="Q265" i="5"/>
  <c r="I265" i="5"/>
  <c r="A265" i="5"/>
  <c r="M264" i="5"/>
  <c r="E264" i="5"/>
  <c r="Q263" i="5"/>
  <c r="I263" i="5"/>
  <c r="A263" i="5"/>
  <c r="M262" i="5"/>
  <c r="E262" i="5"/>
  <c r="Q261" i="5"/>
  <c r="I261" i="5"/>
  <c r="A261" i="5"/>
  <c r="M260" i="5"/>
  <c r="E260" i="5"/>
  <c r="Q259" i="5"/>
  <c r="I259" i="5"/>
  <c r="A259" i="5"/>
  <c r="M258" i="5"/>
  <c r="E258" i="5"/>
  <c r="Q257" i="5"/>
  <c r="I257" i="5"/>
  <c r="A257" i="5"/>
  <c r="M256" i="5"/>
  <c r="E256" i="5"/>
  <c r="Q255" i="5"/>
  <c r="I255" i="5"/>
  <c r="A255" i="5"/>
  <c r="M254" i="5"/>
  <c r="E254" i="5"/>
  <c r="Q253" i="5"/>
  <c r="I253" i="5"/>
  <c r="A253" i="5"/>
  <c r="M252" i="5"/>
  <c r="E252" i="5"/>
  <c r="Q251" i="5"/>
  <c r="I251" i="5"/>
  <c r="A251" i="5"/>
  <c r="M250" i="5"/>
  <c r="E250" i="5"/>
  <c r="Q249" i="5"/>
  <c r="I249" i="5"/>
  <c r="A249" i="5"/>
  <c r="M248" i="5"/>
  <c r="E248" i="5"/>
  <c r="Q247" i="5"/>
  <c r="I247" i="5"/>
  <c r="A247" i="5"/>
  <c r="M246" i="5"/>
  <c r="E246" i="5"/>
  <c r="Q245" i="5"/>
  <c r="I245" i="5"/>
  <c r="A245" i="5"/>
  <c r="M244" i="5"/>
  <c r="E244" i="5"/>
  <c r="Q243" i="5"/>
  <c r="I243" i="5"/>
  <c r="A243" i="5"/>
  <c r="M242" i="5"/>
  <c r="E242" i="5"/>
  <c r="Q241" i="5"/>
  <c r="I241" i="5"/>
  <c r="A241" i="5"/>
  <c r="M240" i="5"/>
  <c r="E240" i="5"/>
  <c r="Q239" i="5"/>
  <c r="I239" i="5"/>
  <c r="A239" i="5"/>
  <c r="M238" i="5"/>
  <c r="E238" i="5"/>
  <c r="Q237" i="5"/>
  <c r="I237" i="5"/>
  <c r="A237" i="5"/>
  <c r="M236" i="5"/>
  <c r="E236" i="5"/>
  <c r="Q235" i="5"/>
  <c r="I235" i="5"/>
  <c r="A235" i="5"/>
  <c r="M234" i="5"/>
  <c r="E234" i="5"/>
  <c r="Q233" i="5"/>
  <c r="I233" i="5"/>
  <c r="A233" i="5"/>
  <c r="M232" i="5"/>
  <c r="E232" i="5"/>
  <c r="Q231" i="5"/>
  <c r="I231" i="5"/>
  <c r="A231" i="5"/>
  <c r="M230" i="5"/>
  <c r="E230" i="5"/>
  <c r="Q229" i="5"/>
  <c r="I229" i="5"/>
  <c r="A229" i="5"/>
  <c r="M228" i="5"/>
  <c r="E228" i="5"/>
  <c r="Q227" i="5"/>
  <c r="I227" i="5"/>
  <c r="A227" i="5"/>
  <c r="M226" i="5"/>
  <c r="E226" i="5"/>
  <c r="Q225" i="5"/>
  <c r="I225" i="5"/>
  <c r="A225" i="5"/>
  <c r="M224" i="5"/>
  <c r="E224" i="5"/>
  <c r="Q223" i="5"/>
  <c r="I223" i="5"/>
  <c r="A223" i="5"/>
  <c r="M222" i="5"/>
  <c r="E222" i="5"/>
  <c r="Q221" i="5"/>
  <c r="I221" i="5"/>
  <c r="A221" i="5"/>
  <c r="M220" i="5"/>
  <c r="E220" i="5"/>
  <c r="Q219" i="5"/>
  <c r="I219" i="5"/>
  <c r="A219" i="5"/>
  <c r="M218" i="5"/>
  <c r="E218" i="5"/>
  <c r="Q217" i="5"/>
  <c r="I217" i="5"/>
  <c r="A217" i="5"/>
  <c r="M216" i="5"/>
  <c r="E216" i="5"/>
  <c r="Q215" i="5"/>
  <c r="I215" i="5"/>
  <c r="A215" i="5"/>
  <c r="M214" i="5"/>
  <c r="E214" i="5"/>
  <c r="Q213" i="5"/>
  <c r="I213" i="5"/>
  <c r="A213" i="5"/>
  <c r="M212" i="5"/>
  <c r="E212" i="5"/>
  <c r="Q211" i="5"/>
  <c r="I211" i="5"/>
  <c r="A211" i="5"/>
  <c r="M210" i="5"/>
  <c r="E210" i="5"/>
  <c r="Q209" i="5"/>
  <c r="I209" i="5"/>
  <c r="A209" i="5"/>
  <c r="M208" i="5"/>
  <c r="E208" i="5"/>
  <c r="Q207" i="5"/>
  <c r="I207" i="5"/>
  <c r="A207" i="5"/>
  <c r="M206" i="5"/>
  <c r="E206" i="5"/>
  <c r="Q205" i="5"/>
  <c r="I205" i="5"/>
  <c r="A205" i="5"/>
  <c r="M204" i="5"/>
  <c r="E204" i="5"/>
  <c r="Q203" i="5"/>
  <c r="I203" i="5"/>
  <c r="A203" i="5"/>
  <c r="M202" i="5"/>
  <c r="E202" i="5"/>
  <c r="Q201" i="5"/>
  <c r="I201" i="5"/>
  <c r="A201" i="5"/>
  <c r="M200" i="5"/>
  <c r="E200" i="5"/>
  <c r="Q199" i="5"/>
  <c r="I199" i="5"/>
  <c r="A199" i="5"/>
  <c r="M198" i="5"/>
  <c r="E198" i="5"/>
  <c r="Q197" i="5"/>
  <c r="I197" i="5"/>
  <c r="A197" i="5"/>
  <c r="M196" i="5"/>
  <c r="E196" i="5"/>
  <c r="Q195" i="5"/>
  <c r="I195" i="5"/>
  <c r="A195" i="5"/>
  <c r="M194" i="5"/>
  <c r="E194" i="5"/>
  <c r="Q193" i="5"/>
  <c r="I193" i="5"/>
  <c r="A193" i="5"/>
  <c r="M192" i="5"/>
  <c r="E192" i="5"/>
  <c r="Q191" i="5"/>
  <c r="I191" i="5"/>
  <c r="A191" i="5"/>
  <c r="M190" i="5"/>
  <c r="E190" i="5"/>
  <c r="Q189" i="5"/>
  <c r="I189" i="5"/>
  <c r="A189" i="5"/>
  <c r="M188" i="5"/>
  <c r="E188" i="5"/>
  <c r="Q187" i="5"/>
  <c r="I187" i="5"/>
  <c r="A187" i="5"/>
  <c r="M186" i="5"/>
  <c r="E186" i="5"/>
  <c r="Q185" i="5"/>
  <c r="I185" i="5"/>
  <c r="A185" i="5"/>
  <c r="M184" i="5"/>
  <c r="E184" i="5"/>
  <c r="Q183" i="5"/>
  <c r="I183" i="5"/>
  <c r="A183" i="5"/>
  <c r="M182" i="5"/>
  <c r="E182" i="5"/>
  <c r="Q181" i="5"/>
  <c r="I181" i="5"/>
  <c r="A181" i="5"/>
  <c r="M180" i="5"/>
  <c r="E180" i="5"/>
  <c r="Q363" i="5"/>
  <c r="E362" i="5"/>
  <c r="M360" i="5"/>
  <c r="A359" i="5"/>
  <c r="I357" i="5"/>
  <c r="Q355" i="5"/>
  <c r="E354" i="5"/>
  <c r="M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N179" i="5"/>
  <c r="F179" i="5"/>
  <c r="P178" i="5"/>
  <c r="H178" i="5"/>
  <c r="R177" i="5"/>
  <c r="J177" i="5"/>
  <c r="B177" i="5"/>
  <c r="L176" i="5"/>
  <c r="D176" i="5"/>
  <c r="N175" i="5"/>
  <c r="F175" i="5"/>
  <c r="P174" i="5"/>
  <c r="H174" i="5"/>
  <c r="R173" i="5"/>
  <c r="J173" i="5"/>
  <c r="B173" i="5"/>
  <c r="L172" i="5"/>
  <c r="D172" i="5"/>
  <c r="N171" i="5"/>
  <c r="F171" i="5"/>
  <c r="P170" i="5"/>
  <c r="H170" i="5"/>
  <c r="R169" i="5"/>
  <c r="J169" i="5"/>
  <c r="B169" i="5"/>
  <c r="L168" i="5"/>
  <c r="D168" i="5"/>
  <c r="N167" i="5"/>
  <c r="F167" i="5"/>
  <c r="P166" i="5"/>
  <c r="H166" i="5"/>
  <c r="R165" i="5"/>
  <c r="J165" i="5"/>
  <c r="B165" i="5"/>
  <c r="L164" i="5"/>
  <c r="D164" i="5"/>
  <c r="N163" i="5"/>
  <c r="F163" i="5"/>
  <c r="P162" i="5"/>
  <c r="H162" i="5"/>
  <c r="R161" i="5"/>
  <c r="J161" i="5"/>
  <c r="B161" i="5"/>
  <c r="L160" i="5"/>
  <c r="D160" i="5"/>
  <c r="N159" i="5"/>
  <c r="F159" i="5"/>
  <c r="P158" i="5"/>
  <c r="H158" i="5"/>
  <c r="R157" i="5"/>
  <c r="J157" i="5"/>
  <c r="B157" i="5"/>
  <c r="L156" i="5"/>
  <c r="D156" i="5"/>
  <c r="N155" i="5"/>
  <c r="F155" i="5"/>
  <c r="P154" i="5"/>
  <c r="H154" i="5"/>
  <c r="R153" i="5"/>
  <c r="J153" i="5"/>
  <c r="B153" i="5"/>
  <c r="L152" i="5"/>
  <c r="D152" i="5"/>
  <c r="N151" i="5"/>
  <c r="F151" i="5"/>
  <c r="P150" i="5"/>
  <c r="H150" i="5"/>
  <c r="R149" i="5"/>
  <c r="J149" i="5"/>
  <c r="B149" i="5"/>
  <c r="L148" i="5"/>
  <c r="D148" i="5"/>
  <c r="N147" i="5"/>
  <c r="F147" i="5"/>
  <c r="P146" i="5"/>
  <c r="H146" i="5"/>
  <c r="R145" i="5"/>
  <c r="J145" i="5"/>
  <c r="B145" i="5"/>
  <c r="L144" i="5"/>
  <c r="D144" i="5"/>
  <c r="N143" i="5"/>
  <c r="F143" i="5"/>
  <c r="P142" i="5"/>
  <c r="H142" i="5"/>
  <c r="R141" i="5"/>
  <c r="J141" i="5"/>
  <c r="B141" i="5"/>
  <c r="L140" i="5"/>
  <c r="D140" i="5"/>
  <c r="N139" i="5"/>
  <c r="F139" i="5"/>
  <c r="P138" i="5"/>
  <c r="H138" i="5"/>
  <c r="R137" i="5"/>
  <c r="J137" i="5"/>
  <c r="B137" i="5"/>
  <c r="L136" i="5"/>
  <c r="D136" i="5"/>
  <c r="N135" i="5"/>
  <c r="F135" i="5"/>
  <c r="P134" i="5"/>
  <c r="H134" i="5"/>
  <c r="R133" i="5"/>
  <c r="J133" i="5"/>
  <c r="B133" i="5"/>
  <c r="L132" i="5"/>
  <c r="D132" i="5"/>
  <c r="N131" i="5"/>
  <c r="F131" i="5"/>
  <c r="P130" i="5"/>
  <c r="H130" i="5"/>
  <c r="R129" i="5"/>
  <c r="J129" i="5"/>
  <c r="B129" i="5"/>
  <c r="L128" i="5"/>
  <c r="D128" i="5"/>
  <c r="N127" i="5"/>
  <c r="F127" i="5"/>
  <c r="P126" i="5"/>
  <c r="H126" i="5"/>
  <c r="R125" i="5"/>
  <c r="J125" i="5"/>
  <c r="B125" i="5"/>
  <c r="L124" i="5"/>
  <c r="D124" i="5"/>
  <c r="N123" i="5"/>
  <c r="F123" i="5"/>
  <c r="P122" i="5"/>
  <c r="H122" i="5"/>
  <c r="R121" i="5"/>
  <c r="J121" i="5"/>
  <c r="B121" i="5"/>
  <c r="L120" i="5"/>
  <c r="D120" i="5"/>
  <c r="N119" i="5"/>
  <c r="F119" i="5"/>
  <c r="P118" i="5"/>
  <c r="H118" i="5"/>
  <c r="R117" i="5"/>
  <c r="J117" i="5"/>
  <c r="B117" i="5"/>
  <c r="L116" i="5"/>
  <c r="D116" i="5"/>
  <c r="N115" i="5"/>
  <c r="F115" i="5"/>
  <c r="P114" i="5"/>
  <c r="H114" i="5"/>
  <c r="R113" i="5"/>
  <c r="J113" i="5"/>
  <c r="B113" i="5"/>
  <c r="L112" i="5"/>
  <c r="D112" i="5"/>
  <c r="N111" i="5"/>
  <c r="F111" i="5"/>
  <c r="P110" i="5"/>
  <c r="H110" i="5"/>
  <c r="R109" i="5"/>
  <c r="J109" i="5"/>
  <c r="B109" i="5"/>
  <c r="L108" i="5"/>
  <c r="D108" i="5"/>
  <c r="N107" i="5"/>
  <c r="F107" i="5"/>
  <c r="P106" i="5"/>
  <c r="H106" i="5"/>
  <c r="R105" i="5"/>
  <c r="J105" i="5"/>
  <c r="B105" i="5"/>
  <c r="L104" i="5"/>
  <c r="D104" i="5"/>
  <c r="N103" i="5"/>
  <c r="F103" i="5"/>
  <c r="P102" i="5"/>
  <c r="H102" i="5"/>
  <c r="R101" i="5"/>
  <c r="J101" i="5"/>
  <c r="B101" i="5"/>
  <c r="L100" i="5"/>
  <c r="D100" i="5"/>
  <c r="N99" i="5"/>
  <c r="F99" i="5"/>
  <c r="P98" i="5"/>
  <c r="H98" i="5"/>
  <c r="R97" i="5"/>
  <c r="J97" i="5"/>
  <c r="B97" i="5"/>
  <c r="L96" i="5"/>
  <c r="D96" i="5"/>
  <c r="N95" i="5"/>
  <c r="F95" i="5"/>
  <c r="P94" i="5"/>
  <c r="H94" i="5"/>
  <c r="R93" i="5"/>
  <c r="J93" i="5"/>
  <c r="B93" i="5"/>
  <c r="L92" i="5"/>
  <c r="D92" i="5"/>
  <c r="N91" i="5"/>
  <c r="F91" i="5"/>
  <c r="P90" i="5"/>
  <c r="H90" i="5"/>
  <c r="R89" i="5"/>
  <c r="J89" i="5"/>
  <c r="B89" i="5"/>
  <c r="L88" i="5"/>
  <c r="D88" i="5"/>
  <c r="N87" i="5"/>
  <c r="F87" i="5"/>
  <c r="P86" i="5"/>
  <c r="H86" i="5"/>
  <c r="R85" i="5"/>
  <c r="J85" i="5"/>
  <c r="B85" i="5"/>
  <c r="L84" i="5"/>
  <c r="D84" i="5"/>
  <c r="N83" i="5"/>
  <c r="F83" i="5"/>
  <c r="P82" i="5"/>
  <c r="H82" i="5"/>
  <c r="R81" i="5"/>
  <c r="J81" i="5"/>
  <c r="B81" i="5"/>
  <c r="L80" i="5"/>
  <c r="D80" i="5"/>
  <c r="N79" i="5"/>
  <c r="F79" i="5"/>
  <c r="P78" i="5"/>
  <c r="H78" i="5"/>
  <c r="R77" i="5"/>
  <c r="J77" i="5"/>
  <c r="B77" i="5"/>
  <c r="L76" i="5"/>
  <c r="D76" i="5"/>
  <c r="N75" i="5"/>
  <c r="F75" i="5"/>
  <c r="P74" i="5"/>
  <c r="H74" i="5"/>
  <c r="R73" i="5"/>
  <c r="J73" i="5"/>
  <c r="B73" i="5"/>
  <c r="L72" i="5"/>
  <c r="D72" i="5"/>
  <c r="N71" i="5"/>
  <c r="F71" i="5"/>
  <c r="P70" i="5"/>
  <c r="H70" i="5"/>
  <c r="R69" i="5"/>
  <c r="J69" i="5"/>
  <c r="B69" i="5"/>
  <c r="L68" i="5"/>
  <c r="D68" i="5"/>
  <c r="N67" i="5"/>
  <c r="F67" i="5"/>
  <c r="P66" i="5"/>
  <c r="H66" i="5"/>
  <c r="R65" i="5"/>
  <c r="J65" i="5"/>
  <c r="B65" i="5"/>
  <c r="L64" i="5"/>
  <c r="D64" i="5"/>
  <c r="N63" i="5"/>
  <c r="F63" i="5"/>
  <c r="P62" i="5"/>
  <c r="H62" i="5"/>
  <c r="R61" i="5"/>
  <c r="J61" i="5"/>
  <c r="B61" i="5"/>
  <c r="L60" i="5"/>
  <c r="D60" i="5"/>
  <c r="N59" i="5"/>
  <c r="F59" i="5"/>
  <c r="P58" i="5"/>
  <c r="H58" i="5"/>
  <c r="R57" i="5"/>
  <c r="J57" i="5"/>
  <c r="B57" i="5"/>
  <c r="L56" i="5"/>
  <c r="D56" i="5"/>
  <c r="N55" i="5"/>
  <c r="F55" i="5"/>
  <c r="P54" i="5"/>
  <c r="H54" i="5"/>
  <c r="R53" i="5"/>
  <c r="J53" i="5"/>
  <c r="B53" i="5"/>
  <c r="L52" i="5"/>
  <c r="D52" i="5"/>
  <c r="N51" i="5"/>
  <c r="F51" i="5"/>
  <c r="P50" i="5"/>
  <c r="H50" i="5"/>
  <c r="R49" i="5"/>
  <c r="J49" i="5"/>
  <c r="B49" i="5"/>
  <c r="L48" i="5"/>
  <c r="D48" i="5"/>
  <c r="N47" i="5"/>
  <c r="F47" i="5"/>
  <c r="P46" i="5"/>
  <c r="H46" i="5"/>
  <c r="R45" i="5"/>
  <c r="J45" i="5"/>
  <c r="B45" i="5"/>
  <c r="L44" i="5"/>
  <c r="D44" i="5"/>
  <c r="N43" i="5"/>
  <c r="F43" i="5"/>
  <c r="P42" i="5"/>
  <c r="H42" i="5"/>
  <c r="R41" i="5"/>
  <c r="J41" i="5"/>
  <c r="B41" i="5"/>
  <c r="L40" i="5"/>
  <c r="D40" i="5"/>
  <c r="N39" i="5"/>
  <c r="F39" i="5"/>
  <c r="P38" i="5"/>
  <c r="H38" i="5"/>
  <c r="R37" i="5"/>
  <c r="J37" i="5"/>
  <c r="B37" i="5"/>
  <c r="L36" i="5"/>
  <c r="D36" i="5"/>
  <c r="N35" i="5"/>
  <c r="F35" i="5"/>
  <c r="P34" i="5"/>
  <c r="H34" i="5"/>
  <c r="R33" i="5"/>
  <c r="J33" i="5"/>
  <c r="B33" i="5"/>
  <c r="L32" i="5"/>
  <c r="D32" i="5"/>
  <c r="N31" i="5"/>
  <c r="F31" i="5"/>
  <c r="P30" i="5"/>
  <c r="H30" i="5"/>
  <c r="R29" i="5"/>
  <c r="J29" i="5"/>
  <c r="B29" i="5"/>
  <c r="L28" i="5"/>
  <c r="D28" i="5"/>
  <c r="N27" i="5"/>
  <c r="F27" i="5"/>
  <c r="P26" i="5"/>
  <c r="H26" i="5"/>
  <c r="R25" i="5"/>
  <c r="J25" i="5"/>
  <c r="B25" i="5"/>
  <c r="L24" i="5"/>
  <c r="D24" i="5"/>
  <c r="N23" i="5"/>
  <c r="F23" i="5"/>
  <c r="P22" i="5"/>
  <c r="H22" i="5"/>
  <c r="R21" i="5"/>
  <c r="J21" i="5"/>
  <c r="B21" i="5"/>
  <c r="L20" i="5"/>
  <c r="D20" i="5"/>
  <c r="N19" i="5"/>
  <c r="F19" i="5"/>
  <c r="P18" i="5"/>
  <c r="L18" i="5"/>
  <c r="H18" i="5"/>
  <c r="D18" i="5"/>
  <c r="R17" i="5"/>
  <c r="N17" i="5"/>
  <c r="J17" i="5"/>
  <c r="F17" i="5"/>
  <c r="B17" i="5"/>
  <c r="P16" i="5"/>
  <c r="L16" i="5"/>
  <c r="H16" i="5"/>
  <c r="D16" i="5"/>
  <c r="R15" i="5"/>
  <c r="N15" i="5"/>
  <c r="J15" i="5"/>
  <c r="F15" i="5"/>
  <c r="B15" i="5"/>
  <c r="P14" i="5"/>
  <c r="L14" i="5"/>
  <c r="H14" i="5"/>
  <c r="D14" i="5"/>
  <c r="R13" i="5"/>
  <c r="N13" i="5"/>
  <c r="J13" i="5"/>
  <c r="F13" i="5"/>
  <c r="B13" i="5"/>
  <c r="P12" i="5"/>
  <c r="L12" i="5"/>
  <c r="H12" i="5"/>
  <c r="D12" i="5"/>
  <c r="R11" i="5"/>
  <c r="N11" i="5"/>
  <c r="J11" i="5"/>
  <c r="F11" i="5"/>
  <c r="B11" i="5"/>
  <c r="P10" i="5"/>
  <c r="L10" i="5"/>
  <c r="H10" i="5"/>
  <c r="D10" i="5"/>
  <c r="R9" i="5"/>
  <c r="N9" i="5"/>
  <c r="J9" i="5"/>
  <c r="F9" i="5"/>
  <c r="B9" i="5"/>
  <c r="P8" i="5"/>
  <c r="L8" i="5"/>
  <c r="H8" i="5"/>
  <c r="D8" i="5"/>
  <c r="R7" i="5"/>
  <c r="N7" i="5"/>
  <c r="J7" i="5"/>
  <c r="F7" i="5"/>
  <c r="B7" i="5"/>
  <c r="P6" i="5"/>
  <c r="L6" i="5"/>
  <c r="H6" i="5"/>
  <c r="D6" i="5"/>
  <c r="R5" i="5"/>
  <c r="N5" i="5"/>
  <c r="J5" i="5"/>
  <c r="F5" i="5"/>
  <c r="B5" i="5"/>
  <c r="P4" i="5"/>
  <c r="L4" i="5"/>
  <c r="H4" i="5"/>
  <c r="D4" i="5"/>
  <c r="R3" i="5"/>
  <c r="N3" i="5"/>
  <c r="J3" i="5"/>
  <c r="F3" i="5"/>
  <c r="B3" i="5"/>
  <c r="P2" i="5"/>
  <c r="L2" i="5"/>
  <c r="H2" i="5"/>
  <c r="D2" i="5"/>
  <c r="Q102" i="4"/>
  <c r="M102" i="4"/>
  <c r="O101" i="4"/>
  <c r="Q100" i="4"/>
  <c r="M100" i="4"/>
  <c r="O99" i="4"/>
  <c r="Q98" i="4"/>
  <c r="M98" i="4"/>
  <c r="O97" i="4"/>
  <c r="Q96" i="4"/>
  <c r="M96" i="4"/>
  <c r="O95" i="4"/>
  <c r="Q94" i="4"/>
  <c r="M94" i="4"/>
  <c r="O93" i="4"/>
  <c r="Q92" i="4"/>
  <c r="M92" i="4"/>
  <c r="O91" i="4"/>
  <c r="Q90" i="4"/>
  <c r="M90" i="4"/>
  <c r="O89" i="4"/>
  <c r="Q88" i="4"/>
  <c r="M88" i="4"/>
  <c r="O87" i="4"/>
  <c r="Q86" i="4"/>
  <c r="M86" i="4"/>
  <c r="O85" i="4"/>
  <c r="Q84" i="4"/>
  <c r="M84" i="4"/>
  <c r="O83" i="4"/>
  <c r="Q82" i="4"/>
  <c r="M82" i="4"/>
  <c r="O81" i="4"/>
  <c r="Q80" i="4"/>
  <c r="M80" i="4"/>
  <c r="O79" i="4"/>
  <c r="Q78" i="4"/>
  <c r="M78" i="4"/>
  <c r="O77" i="4"/>
  <c r="Q76" i="4"/>
  <c r="M76" i="4"/>
  <c r="O75" i="4"/>
  <c r="Q74" i="4"/>
  <c r="M74" i="4"/>
  <c r="O73" i="4"/>
  <c r="Q72" i="4"/>
  <c r="M72" i="4"/>
  <c r="O71" i="4"/>
  <c r="Q70" i="4"/>
  <c r="M70" i="4"/>
  <c r="O69" i="4"/>
  <c r="Q68" i="4"/>
  <c r="M68" i="4"/>
  <c r="O67" i="4"/>
  <c r="Q66" i="4"/>
  <c r="M66" i="4"/>
  <c r="O65" i="4"/>
  <c r="Q64" i="4"/>
  <c r="M64" i="4"/>
  <c r="O63" i="4"/>
  <c r="Q62" i="4"/>
  <c r="M62" i="4"/>
  <c r="O61" i="4"/>
  <c r="Q60" i="4"/>
  <c r="M60" i="4"/>
  <c r="O59" i="4"/>
  <c r="Q58" i="4"/>
  <c r="M58" i="4"/>
  <c r="O57" i="4"/>
  <c r="Q56" i="4"/>
  <c r="M56" i="4"/>
  <c r="O55" i="4"/>
  <c r="Q54" i="4"/>
  <c r="M54" i="4"/>
  <c r="O53" i="4"/>
  <c r="Q52" i="4"/>
  <c r="M52" i="4"/>
  <c r="O51" i="4"/>
  <c r="Q50" i="4"/>
  <c r="M50" i="4"/>
  <c r="O49" i="4"/>
  <c r="Q48" i="4"/>
  <c r="M48" i="4"/>
  <c r="O47" i="4"/>
  <c r="Q46" i="4"/>
  <c r="M46" i="4"/>
  <c r="O45" i="4"/>
  <c r="Q44" i="4"/>
  <c r="M44" i="4"/>
  <c r="O43" i="4"/>
  <c r="Q42" i="4"/>
  <c r="M42" i="4"/>
  <c r="O41" i="4"/>
  <c r="Q40" i="4"/>
  <c r="M40" i="4"/>
  <c r="O39" i="4"/>
  <c r="Q38" i="4"/>
  <c r="M38" i="4"/>
  <c r="O37" i="4"/>
  <c r="Q36" i="4"/>
  <c r="M36" i="4"/>
  <c r="O35" i="4"/>
  <c r="Q34" i="4"/>
  <c r="M34" i="4"/>
  <c r="O33" i="4"/>
  <c r="W32" i="4"/>
  <c r="S32" i="4"/>
  <c r="O32" i="4"/>
  <c r="K32" i="4"/>
  <c r="G32" i="4"/>
  <c r="V31" i="4"/>
  <c r="R31" i="4"/>
  <c r="N31" i="4"/>
  <c r="J31" i="4"/>
  <c r="F31" i="4"/>
  <c r="U30" i="4"/>
  <c r="Q30" i="4"/>
  <c r="M30" i="4"/>
  <c r="I30" i="4"/>
  <c r="E30" i="4"/>
  <c r="T29" i="4"/>
  <c r="P29" i="4"/>
  <c r="L29" i="4"/>
  <c r="H29" i="4"/>
  <c r="W28" i="4"/>
  <c r="S28" i="4"/>
  <c r="O28" i="4"/>
  <c r="K28" i="4"/>
  <c r="G28" i="4"/>
  <c r="V27" i="4"/>
  <c r="R27" i="4"/>
  <c r="N27" i="4"/>
  <c r="J27" i="4"/>
  <c r="F27" i="4"/>
  <c r="U26" i="4"/>
  <c r="Q26" i="4"/>
  <c r="M26" i="4"/>
  <c r="I26" i="4"/>
  <c r="E26" i="4"/>
  <c r="T25" i="4"/>
  <c r="P25" i="4"/>
  <c r="L25" i="4"/>
  <c r="H25" i="4"/>
  <c r="W24" i="4"/>
  <c r="S24" i="4"/>
  <c r="O24" i="4"/>
  <c r="K24" i="4"/>
  <c r="G24" i="4"/>
  <c r="V23" i="4"/>
  <c r="R23" i="4"/>
  <c r="N23" i="4"/>
  <c r="J23" i="4"/>
  <c r="F23" i="4"/>
  <c r="U22" i="4"/>
  <c r="Q22" i="4"/>
  <c r="M22" i="4"/>
  <c r="I22" i="4"/>
  <c r="E22" i="4"/>
  <c r="T21" i="4"/>
  <c r="P21" i="4"/>
  <c r="L21" i="4"/>
  <c r="H21" i="4"/>
  <c r="W20" i="4"/>
  <c r="S20" i="4"/>
  <c r="O20" i="4"/>
  <c r="K20" i="4"/>
  <c r="G20" i="4"/>
  <c r="V19" i="4"/>
  <c r="R19" i="4"/>
  <c r="N19" i="4"/>
  <c r="J19" i="4"/>
  <c r="F19" i="4"/>
  <c r="U18" i="4"/>
  <c r="Q18" i="4"/>
  <c r="M18" i="4"/>
  <c r="I18" i="4"/>
  <c r="E18" i="4"/>
  <c r="T17" i="4"/>
  <c r="P17" i="4"/>
  <c r="L17" i="4"/>
  <c r="H17" i="4"/>
  <c r="W16" i="4"/>
  <c r="S16" i="4"/>
  <c r="O16" i="4"/>
  <c r="K16" i="4"/>
  <c r="G16" i="4"/>
  <c r="V15" i="4"/>
  <c r="R15" i="4"/>
  <c r="N15" i="4"/>
  <c r="J15" i="4"/>
  <c r="F15" i="4"/>
  <c r="U14" i="4"/>
  <c r="Q14" i="4"/>
  <c r="M14" i="4"/>
  <c r="I14" i="4"/>
  <c r="E14" i="4"/>
  <c r="T13" i="4"/>
  <c r="P13" i="4"/>
  <c r="L13" i="4"/>
  <c r="H13" i="4"/>
  <c r="W12" i="4"/>
  <c r="S12" i="4"/>
  <c r="O12" i="4"/>
  <c r="K12" i="4"/>
  <c r="G12" i="4"/>
  <c r="V11" i="4"/>
  <c r="R11" i="4"/>
  <c r="N11" i="4"/>
  <c r="J11" i="4"/>
  <c r="F11" i="4"/>
  <c r="U10" i="4"/>
  <c r="Q10" i="4"/>
  <c r="M10" i="4"/>
  <c r="I10" i="4"/>
  <c r="E10" i="4"/>
  <c r="T9" i="4"/>
  <c r="P9" i="4"/>
  <c r="L9" i="4"/>
  <c r="H9" i="4"/>
  <c r="W8" i="4"/>
  <c r="S8" i="4"/>
  <c r="O8" i="4"/>
  <c r="K8" i="4"/>
  <c r="G8" i="4"/>
  <c r="V7" i="4"/>
  <c r="R7" i="4"/>
  <c r="N7" i="4"/>
  <c r="J7" i="4"/>
  <c r="F7" i="4"/>
  <c r="U6" i="4"/>
  <c r="Q6" i="4"/>
  <c r="M6" i="4"/>
  <c r="I6" i="4"/>
  <c r="E6" i="4"/>
  <c r="T5" i="4"/>
  <c r="P5" i="4"/>
  <c r="L5" i="4"/>
  <c r="H5" i="4"/>
  <c r="W4" i="4"/>
  <c r="S4" i="4"/>
  <c r="O4" i="4"/>
  <c r="K4" i="4"/>
  <c r="G4" i="4"/>
  <c r="V3" i="4"/>
  <c r="R3" i="4"/>
  <c r="N3" i="4"/>
  <c r="J3" i="4"/>
  <c r="F3" i="4"/>
  <c r="T2" i="4"/>
  <c r="P2" i="4"/>
  <c r="L2" i="4"/>
  <c r="I364" i="5"/>
  <c r="M363" i="5"/>
  <c r="Q362" i="5"/>
  <c r="A362" i="5"/>
  <c r="E361" i="5"/>
  <c r="I360" i="5"/>
  <c r="M359" i="5"/>
  <c r="Q358" i="5"/>
  <c r="A358" i="5"/>
  <c r="E357" i="5"/>
  <c r="I356" i="5"/>
  <c r="M355" i="5"/>
  <c r="Q354" i="5"/>
  <c r="A354" i="5"/>
  <c r="E353" i="5"/>
  <c r="I352" i="5"/>
  <c r="M351" i="5"/>
  <c r="B351" i="5"/>
  <c r="N350" i="5"/>
  <c r="F350" i="5"/>
  <c r="R349" i="5"/>
  <c r="J349" i="5"/>
  <c r="B349" i="5"/>
  <c r="N348" i="5"/>
  <c r="F348" i="5"/>
  <c r="R347" i="5"/>
  <c r="J347" i="5"/>
  <c r="B347" i="5"/>
  <c r="N346" i="5"/>
  <c r="F346" i="5"/>
  <c r="R345" i="5"/>
  <c r="J345" i="5"/>
  <c r="B345" i="5"/>
  <c r="N344" i="5"/>
  <c r="F344" i="5"/>
  <c r="R343" i="5"/>
  <c r="J343" i="5"/>
  <c r="B343" i="5"/>
  <c r="N342" i="5"/>
  <c r="F342" i="5"/>
  <c r="R341" i="5"/>
  <c r="J341" i="5"/>
  <c r="B341" i="5"/>
  <c r="N340" i="5"/>
  <c r="F340" i="5"/>
  <c r="R339" i="5"/>
  <c r="J339" i="5"/>
  <c r="B339" i="5"/>
  <c r="N338" i="5"/>
  <c r="F338" i="5"/>
  <c r="R337" i="5"/>
  <c r="J337" i="5"/>
  <c r="B337" i="5"/>
  <c r="N336" i="5"/>
  <c r="F336" i="5"/>
  <c r="R335" i="5"/>
  <c r="J335" i="5"/>
  <c r="B335" i="5"/>
  <c r="N334" i="5"/>
  <c r="F334" i="5"/>
  <c r="R333" i="5"/>
  <c r="J333" i="5"/>
  <c r="B333" i="5"/>
  <c r="N332" i="5"/>
  <c r="F332" i="5"/>
  <c r="R331" i="5"/>
  <c r="J331" i="5"/>
  <c r="B331" i="5"/>
  <c r="N330" i="5"/>
  <c r="F330" i="5"/>
  <c r="R329" i="5"/>
  <c r="J329" i="5"/>
  <c r="B329" i="5"/>
  <c r="N328" i="5"/>
  <c r="F328" i="5"/>
  <c r="R327" i="5"/>
  <c r="J327" i="5"/>
  <c r="B327" i="5"/>
  <c r="N326" i="5"/>
  <c r="F326" i="5"/>
  <c r="R325" i="5"/>
  <c r="J325" i="5"/>
  <c r="B325" i="5"/>
  <c r="N324" i="5"/>
  <c r="F324" i="5"/>
  <c r="R323" i="5"/>
  <c r="J323" i="5"/>
  <c r="B323" i="5"/>
  <c r="N322" i="5"/>
  <c r="F322" i="5"/>
  <c r="R321" i="5"/>
  <c r="J321" i="5"/>
  <c r="B321" i="5"/>
  <c r="N320" i="5"/>
  <c r="F320" i="5"/>
  <c r="R319" i="5"/>
  <c r="J319" i="5"/>
  <c r="B319" i="5"/>
  <c r="N318" i="5"/>
  <c r="F318" i="5"/>
  <c r="R317" i="5"/>
  <c r="J317" i="5"/>
  <c r="B317" i="5"/>
  <c r="N316" i="5"/>
  <c r="F316" i="5"/>
  <c r="R315" i="5"/>
  <c r="J315" i="5"/>
  <c r="B315" i="5"/>
  <c r="N314" i="5"/>
  <c r="F314" i="5"/>
  <c r="R313" i="5"/>
  <c r="J313" i="5"/>
  <c r="B313" i="5"/>
  <c r="N312" i="5"/>
  <c r="F312" i="5"/>
  <c r="R311" i="5"/>
  <c r="J311" i="5"/>
  <c r="B311" i="5"/>
  <c r="N310" i="5"/>
  <c r="F310" i="5"/>
  <c r="R309" i="5"/>
  <c r="J309" i="5"/>
  <c r="B309" i="5"/>
  <c r="N308" i="5"/>
  <c r="F308" i="5"/>
  <c r="R307" i="5"/>
  <c r="J307" i="5"/>
  <c r="B307" i="5"/>
  <c r="N306" i="5"/>
  <c r="F306" i="5"/>
  <c r="R305" i="5"/>
  <c r="J305" i="5"/>
  <c r="B305" i="5"/>
  <c r="N304" i="5"/>
  <c r="F304" i="5"/>
  <c r="R303" i="5"/>
  <c r="J303" i="5"/>
  <c r="B303" i="5"/>
  <c r="N302" i="5"/>
  <c r="F302" i="5"/>
  <c r="R301" i="5"/>
  <c r="J301" i="5"/>
  <c r="B301" i="5"/>
  <c r="N300" i="5"/>
  <c r="F300" i="5"/>
  <c r="R299" i="5"/>
  <c r="J299" i="5"/>
  <c r="B299" i="5"/>
  <c r="N298" i="5"/>
  <c r="F298" i="5"/>
  <c r="R297" i="5"/>
  <c r="J297" i="5"/>
  <c r="B297" i="5"/>
  <c r="N296" i="5"/>
  <c r="F296" i="5"/>
  <c r="R295" i="5"/>
  <c r="J295" i="5"/>
  <c r="B295" i="5"/>
  <c r="N294" i="5"/>
  <c r="F294" i="5"/>
  <c r="R293" i="5"/>
  <c r="J293" i="5"/>
  <c r="B293" i="5"/>
  <c r="N292" i="5"/>
  <c r="F292" i="5"/>
  <c r="R291" i="5"/>
  <c r="J291" i="5"/>
  <c r="B291" i="5"/>
  <c r="N290" i="5"/>
  <c r="F290" i="5"/>
  <c r="R289" i="5"/>
  <c r="J289" i="5"/>
  <c r="B289" i="5"/>
  <c r="N288" i="5"/>
  <c r="F288" i="5"/>
  <c r="R287" i="5"/>
  <c r="J287" i="5"/>
  <c r="B287" i="5"/>
  <c r="N286" i="5"/>
  <c r="F286" i="5"/>
  <c r="R285" i="5"/>
  <c r="J285" i="5"/>
  <c r="B285" i="5"/>
  <c r="N284" i="5"/>
  <c r="F284" i="5"/>
  <c r="R283" i="5"/>
  <c r="J283" i="5"/>
  <c r="B283" i="5"/>
  <c r="N282" i="5"/>
  <c r="F282" i="5"/>
  <c r="R281" i="5"/>
  <c r="J281" i="5"/>
  <c r="B281" i="5"/>
  <c r="N280" i="5"/>
  <c r="F280" i="5"/>
  <c r="R279" i="5"/>
  <c r="J279" i="5"/>
  <c r="B279" i="5"/>
  <c r="N278" i="5"/>
  <c r="F278" i="5"/>
  <c r="R277" i="5"/>
  <c r="J277" i="5"/>
  <c r="B277" i="5"/>
  <c r="N276" i="5"/>
  <c r="F276" i="5"/>
  <c r="R275" i="5"/>
  <c r="J275" i="5"/>
  <c r="B275" i="5"/>
  <c r="N274" i="5"/>
  <c r="F274" i="5"/>
  <c r="R273" i="5"/>
  <c r="J273" i="5"/>
  <c r="B273" i="5"/>
  <c r="N272" i="5"/>
  <c r="F272" i="5"/>
  <c r="R271" i="5"/>
  <c r="J271" i="5"/>
  <c r="B271" i="5"/>
  <c r="N270" i="5"/>
  <c r="F270" i="5"/>
  <c r="R269" i="5"/>
  <c r="J269" i="5"/>
  <c r="B269" i="5"/>
  <c r="N268" i="5"/>
  <c r="F268" i="5"/>
  <c r="R267" i="5"/>
  <c r="J267" i="5"/>
  <c r="B267" i="5"/>
  <c r="N266" i="5"/>
  <c r="F266" i="5"/>
  <c r="R265" i="5"/>
  <c r="J265" i="5"/>
  <c r="B265" i="5"/>
  <c r="N264" i="5"/>
  <c r="F264" i="5"/>
  <c r="R263" i="5"/>
  <c r="J263" i="5"/>
  <c r="B263" i="5"/>
  <c r="N262" i="5"/>
  <c r="F262" i="5"/>
  <c r="R261" i="5"/>
  <c r="J261" i="5"/>
  <c r="B261" i="5"/>
  <c r="N260" i="5"/>
  <c r="F260" i="5"/>
  <c r="R259" i="5"/>
  <c r="J259" i="5"/>
  <c r="B259" i="5"/>
  <c r="N258" i="5"/>
  <c r="F258" i="5"/>
  <c r="R257" i="5"/>
  <c r="J257" i="5"/>
  <c r="B257" i="5"/>
  <c r="N256" i="5"/>
  <c r="F256" i="5"/>
  <c r="R255" i="5"/>
  <c r="J255" i="5"/>
  <c r="B255" i="5"/>
  <c r="N254" i="5"/>
  <c r="F254" i="5"/>
  <c r="R253" i="5"/>
  <c r="J253" i="5"/>
  <c r="B253" i="5"/>
  <c r="N252" i="5"/>
  <c r="F252" i="5"/>
  <c r="R251" i="5"/>
  <c r="J251" i="5"/>
  <c r="B251" i="5"/>
  <c r="N250" i="5"/>
  <c r="F250" i="5"/>
  <c r="R249" i="5"/>
  <c r="J249" i="5"/>
  <c r="B249" i="5"/>
  <c r="N248" i="5"/>
  <c r="F248" i="5"/>
  <c r="R247" i="5"/>
  <c r="J247" i="5"/>
  <c r="B247" i="5"/>
  <c r="N246" i="5"/>
  <c r="F246" i="5"/>
  <c r="R245" i="5"/>
  <c r="J245" i="5"/>
  <c r="B245" i="5"/>
  <c r="N244" i="5"/>
  <c r="F244" i="5"/>
  <c r="R243" i="5"/>
  <c r="J243" i="5"/>
  <c r="B243" i="5"/>
  <c r="N242" i="5"/>
  <c r="F242" i="5"/>
  <c r="R241" i="5"/>
  <c r="J241" i="5"/>
  <c r="B241" i="5"/>
  <c r="N240" i="5"/>
  <c r="F240" i="5"/>
  <c r="R239" i="5"/>
  <c r="J239" i="5"/>
  <c r="B239" i="5"/>
  <c r="N238" i="5"/>
  <c r="F238" i="5"/>
  <c r="R237" i="5"/>
  <c r="J237" i="5"/>
  <c r="B237" i="5"/>
  <c r="N236" i="5"/>
  <c r="F236" i="5"/>
  <c r="R235" i="5"/>
  <c r="J235" i="5"/>
  <c r="B235" i="5"/>
  <c r="N234" i="5"/>
  <c r="F234" i="5"/>
  <c r="R233" i="5"/>
  <c r="J233" i="5"/>
  <c r="B233" i="5"/>
  <c r="N232" i="5"/>
  <c r="F232" i="5"/>
  <c r="R231" i="5"/>
  <c r="J231" i="5"/>
  <c r="B231" i="5"/>
  <c r="N230" i="5"/>
  <c r="F230" i="5"/>
  <c r="R229" i="5"/>
  <c r="J229" i="5"/>
  <c r="B229" i="5"/>
  <c r="N228" i="5"/>
  <c r="F228" i="5"/>
  <c r="R227" i="5"/>
  <c r="J227" i="5"/>
  <c r="B227" i="5"/>
  <c r="N226" i="5"/>
  <c r="F226" i="5"/>
  <c r="R225" i="5"/>
  <c r="J225" i="5"/>
  <c r="B225" i="5"/>
  <c r="N224" i="5"/>
  <c r="F224" i="5"/>
  <c r="R223" i="5"/>
  <c r="J223" i="5"/>
  <c r="B223" i="5"/>
  <c r="N222" i="5"/>
  <c r="F222" i="5"/>
  <c r="R221" i="5"/>
  <c r="J221" i="5"/>
  <c r="B221" i="5"/>
  <c r="N220" i="5"/>
  <c r="F220" i="5"/>
  <c r="R219" i="5"/>
  <c r="J219" i="5"/>
  <c r="B219" i="5"/>
  <c r="N218" i="5"/>
  <c r="F218" i="5"/>
  <c r="R217" i="5"/>
  <c r="J217" i="5"/>
  <c r="B217" i="5"/>
  <c r="N216" i="5"/>
  <c r="F216" i="5"/>
  <c r="R215" i="5"/>
  <c r="J215" i="5"/>
  <c r="B215" i="5"/>
  <c r="N214" i="5"/>
  <c r="F214" i="5"/>
  <c r="R213" i="5"/>
  <c r="J213" i="5"/>
  <c r="B213" i="5"/>
  <c r="N212" i="5"/>
  <c r="F212" i="5"/>
  <c r="R211" i="5"/>
  <c r="J211" i="5"/>
  <c r="B211" i="5"/>
  <c r="N210" i="5"/>
  <c r="F210" i="5"/>
  <c r="R209" i="5"/>
  <c r="J209" i="5"/>
  <c r="B209" i="5"/>
  <c r="N208" i="5"/>
  <c r="F208" i="5"/>
  <c r="R207" i="5"/>
  <c r="J207" i="5"/>
  <c r="B207" i="5"/>
  <c r="N206" i="5"/>
  <c r="F206" i="5"/>
  <c r="R205" i="5"/>
  <c r="J205" i="5"/>
  <c r="B205" i="5"/>
  <c r="N204" i="5"/>
  <c r="F204" i="5"/>
  <c r="R203" i="5"/>
  <c r="J203" i="5"/>
  <c r="B203" i="5"/>
  <c r="N202" i="5"/>
  <c r="F202" i="5"/>
  <c r="R201" i="5"/>
  <c r="J201" i="5"/>
  <c r="B201" i="5"/>
  <c r="N200" i="5"/>
  <c r="F200" i="5"/>
  <c r="R199" i="5"/>
  <c r="J199" i="5"/>
  <c r="B199" i="5"/>
  <c r="N198" i="5"/>
  <c r="F198" i="5"/>
  <c r="R197" i="5"/>
  <c r="J197" i="5"/>
  <c r="B197" i="5"/>
  <c r="N196" i="5"/>
  <c r="F196" i="5"/>
  <c r="R195" i="5"/>
  <c r="J195" i="5"/>
  <c r="B195" i="5"/>
  <c r="N194" i="5"/>
  <c r="F194" i="5"/>
  <c r="R193" i="5"/>
  <c r="J193" i="5"/>
  <c r="B193" i="5"/>
  <c r="N192" i="5"/>
  <c r="F192" i="5"/>
  <c r="R191" i="5"/>
  <c r="J191" i="5"/>
  <c r="B191" i="5"/>
  <c r="N190" i="5"/>
  <c r="F190" i="5"/>
  <c r="R189" i="5"/>
  <c r="J189" i="5"/>
  <c r="B189" i="5"/>
  <c r="N188" i="5"/>
  <c r="F188" i="5"/>
  <c r="R187" i="5"/>
  <c r="J187" i="5"/>
  <c r="B187" i="5"/>
  <c r="N186" i="5"/>
  <c r="F186" i="5"/>
  <c r="R185" i="5"/>
  <c r="J185" i="5"/>
  <c r="B185" i="5"/>
  <c r="N184" i="5"/>
  <c r="F184" i="5"/>
  <c r="R183" i="5"/>
  <c r="J183" i="5"/>
  <c r="B183" i="5"/>
  <c r="N182" i="5"/>
  <c r="F182" i="5"/>
  <c r="R181" i="5"/>
  <c r="J181" i="5"/>
  <c r="B181" i="5"/>
  <c r="N180" i="5"/>
  <c r="F180" i="5"/>
  <c r="A180" i="5"/>
  <c r="Q179" i="5"/>
  <c r="M179" i="5"/>
  <c r="I179" i="5"/>
  <c r="E179" i="5"/>
  <c r="A179" i="5"/>
  <c r="Q178" i="5"/>
  <c r="M178" i="5"/>
  <c r="I178" i="5"/>
  <c r="E178" i="5"/>
  <c r="A178" i="5"/>
  <c r="Q177" i="5"/>
  <c r="M177" i="5"/>
  <c r="I177" i="5"/>
  <c r="E177" i="5"/>
  <c r="A177" i="5"/>
  <c r="Q176" i="5"/>
  <c r="M176" i="5"/>
  <c r="I176" i="5"/>
  <c r="E176" i="5"/>
  <c r="A176" i="5"/>
  <c r="Q175" i="5"/>
  <c r="M175" i="5"/>
  <c r="I175" i="5"/>
  <c r="E175" i="5"/>
  <c r="A175" i="5"/>
  <c r="Q174" i="5"/>
  <c r="M174" i="5"/>
  <c r="I174" i="5"/>
  <c r="E174" i="5"/>
  <c r="A174" i="5"/>
  <c r="Q173" i="5"/>
  <c r="M173" i="5"/>
  <c r="I173" i="5"/>
  <c r="E173" i="5"/>
  <c r="A173" i="5"/>
  <c r="Q172" i="5"/>
  <c r="M172" i="5"/>
  <c r="I172" i="5"/>
  <c r="E172" i="5"/>
  <c r="A172" i="5"/>
  <c r="Q171" i="5"/>
  <c r="M171" i="5"/>
  <c r="I171" i="5"/>
  <c r="E171" i="5"/>
  <c r="A171" i="5"/>
  <c r="Q170" i="5"/>
  <c r="M170" i="5"/>
  <c r="I170" i="5"/>
  <c r="E170" i="5"/>
  <c r="A170" i="5"/>
  <c r="Q169" i="5"/>
  <c r="M169" i="5"/>
  <c r="I169" i="5"/>
  <c r="E169" i="5"/>
  <c r="A169" i="5"/>
  <c r="Q168" i="5"/>
  <c r="M168" i="5"/>
  <c r="I168" i="5"/>
  <c r="E168" i="5"/>
  <c r="A168" i="5"/>
  <c r="Q167" i="5"/>
  <c r="M167" i="5"/>
  <c r="I167" i="5"/>
  <c r="E167" i="5"/>
  <c r="A167" i="5"/>
  <c r="Q166" i="5"/>
  <c r="M166" i="5"/>
  <c r="I166" i="5"/>
  <c r="E166" i="5"/>
  <c r="A166" i="5"/>
  <c r="Q165" i="5"/>
  <c r="M165" i="5"/>
  <c r="I165" i="5"/>
  <c r="E165" i="5"/>
  <c r="A165" i="5"/>
  <c r="Q164" i="5"/>
  <c r="M164" i="5"/>
  <c r="I164" i="5"/>
  <c r="E164" i="5"/>
  <c r="A164" i="5"/>
  <c r="Q163" i="5"/>
  <c r="M163" i="5"/>
  <c r="I163" i="5"/>
  <c r="E163" i="5"/>
  <c r="A163" i="5"/>
  <c r="Q162" i="5"/>
  <c r="M162" i="5"/>
  <c r="I162" i="5"/>
  <c r="E162" i="5"/>
  <c r="A162" i="5"/>
  <c r="Q161" i="5"/>
  <c r="M161" i="5"/>
  <c r="I161" i="5"/>
  <c r="E161" i="5"/>
  <c r="A161" i="5"/>
  <c r="Q160" i="5"/>
  <c r="M160" i="5"/>
  <c r="I160" i="5"/>
  <c r="E160" i="5"/>
  <c r="A160" i="5"/>
  <c r="Q159" i="5"/>
  <c r="M159" i="5"/>
  <c r="I159" i="5"/>
  <c r="E159" i="5"/>
  <c r="A159" i="5"/>
  <c r="Q158" i="5"/>
  <c r="M158" i="5"/>
  <c r="I158" i="5"/>
  <c r="E158" i="5"/>
  <c r="A158" i="5"/>
  <c r="Q157" i="5"/>
  <c r="M157" i="5"/>
  <c r="I157" i="5"/>
  <c r="E157" i="5"/>
  <c r="A157" i="5"/>
  <c r="Q156" i="5"/>
  <c r="M156" i="5"/>
  <c r="I156" i="5"/>
  <c r="E156" i="5"/>
  <c r="A156" i="5"/>
  <c r="Q155" i="5"/>
  <c r="M155" i="5"/>
  <c r="I155" i="5"/>
  <c r="E155" i="5"/>
  <c r="A155" i="5"/>
  <c r="Q154" i="5"/>
  <c r="M154" i="5"/>
  <c r="I154" i="5"/>
  <c r="E154" i="5"/>
  <c r="A154" i="5"/>
  <c r="Q153" i="5"/>
  <c r="M153" i="5"/>
  <c r="I153" i="5"/>
  <c r="E153" i="5"/>
  <c r="A153" i="5"/>
  <c r="Q152" i="5"/>
  <c r="M152" i="5"/>
  <c r="I152" i="5"/>
  <c r="E152" i="5"/>
  <c r="A152" i="5"/>
  <c r="Q151" i="5"/>
  <c r="M151" i="5"/>
  <c r="I151" i="5"/>
  <c r="E151" i="5"/>
  <c r="A151" i="5"/>
  <c r="Q150" i="5"/>
  <c r="M150" i="5"/>
  <c r="I150" i="5"/>
  <c r="E150" i="5"/>
  <c r="A150" i="5"/>
  <c r="Q149" i="5"/>
  <c r="M149" i="5"/>
  <c r="I149" i="5"/>
  <c r="E149" i="5"/>
  <c r="A149" i="5"/>
  <c r="Q148" i="5"/>
  <c r="M148" i="5"/>
  <c r="I148" i="5"/>
  <c r="E148" i="5"/>
  <c r="A148" i="5"/>
  <c r="Q147" i="5"/>
  <c r="M147" i="5"/>
  <c r="I147" i="5"/>
  <c r="E147" i="5"/>
  <c r="A147" i="5"/>
  <c r="Q146" i="5"/>
  <c r="M146" i="5"/>
  <c r="I146" i="5"/>
  <c r="E146" i="5"/>
  <c r="A146" i="5"/>
  <c r="Q145" i="5"/>
  <c r="M145" i="5"/>
  <c r="I145" i="5"/>
  <c r="E145" i="5"/>
  <c r="A145" i="5"/>
  <c r="Q144" i="5"/>
  <c r="M144" i="5"/>
  <c r="I144" i="5"/>
  <c r="E144" i="5"/>
  <c r="A144" i="5"/>
  <c r="Q143" i="5"/>
  <c r="M143" i="5"/>
  <c r="I143" i="5"/>
  <c r="E143" i="5"/>
  <c r="A143" i="5"/>
  <c r="Q142" i="5"/>
  <c r="M142" i="5"/>
  <c r="I142" i="5"/>
  <c r="E142" i="5"/>
  <c r="A142" i="5"/>
  <c r="Q141" i="5"/>
  <c r="M141" i="5"/>
  <c r="I141" i="5"/>
  <c r="E141" i="5"/>
  <c r="A141" i="5"/>
  <c r="Q140" i="5"/>
  <c r="M140" i="5"/>
  <c r="I140" i="5"/>
  <c r="E140" i="5"/>
  <c r="A140" i="5"/>
  <c r="Q139" i="5"/>
  <c r="M139" i="5"/>
  <c r="I139" i="5"/>
  <c r="E139" i="5"/>
  <c r="A139" i="5"/>
  <c r="Q138" i="5"/>
  <c r="M138" i="5"/>
  <c r="I138" i="5"/>
  <c r="E138" i="5"/>
  <c r="A138" i="5"/>
  <c r="Q137" i="5"/>
  <c r="M137" i="5"/>
  <c r="I137" i="5"/>
  <c r="E137" i="5"/>
  <c r="A137" i="5"/>
  <c r="Q136" i="5"/>
  <c r="M136" i="5"/>
  <c r="I136" i="5"/>
  <c r="E136" i="5"/>
  <c r="A136" i="5"/>
  <c r="Q135" i="5"/>
  <c r="M135" i="5"/>
  <c r="I135" i="5"/>
  <c r="E135" i="5"/>
  <c r="A135" i="5"/>
  <c r="Q134" i="5"/>
  <c r="M134" i="5"/>
  <c r="I134" i="5"/>
  <c r="E134" i="5"/>
  <c r="A134" i="5"/>
  <c r="Q133" i="5"/>
  <c r="M133" i="5"/>
  <c r="I133" i="5"/>
  <c r="E133" i="5"/>
  <c r="A133" i="5"/>
  <c r="Q132" i="5"/>
  <c r="M132" i="5"/>
  <c r="I132" i="5"/>
  <c r="E132" i="5"/>
  <c r="A132" i="5"/>
  <c r="Q131" i="5"/>
  <c r="M131" i="5"/>
  <c r="I131" i="5"/>
  <c r="E131" i="5"/>
  <c r="A131" i="5"/>
  <c r="Q130" i="5"/>
  <c r="M130" i="5"/>
  <c r="I130" i="5"/>
  <c r="E130" i="5"/>
  <c r="A130" i="5"/>
  <c r="Q129" i="5"/>
  <c r="M129" i="5"/>
  <c r="I129" i="5"/>
  <c r="E129" i="5"/>
  <c r="A129" i="5"/>
  <c r="Q128" i="5"/>
  <c r="M128" i="5"/>
  <c r="I128" i="5"/>
  <c r="E128" i="5"/>
  <c r="A128" i="5"/>
  <c r="Q127" i="5"/>
  <c r="M127" i="5"/>
  <c r="I127" i="5"/>
  <c r="E127" i="5"/>
  <c r="A127" i="5"/>
  <c r="Q126" i="5"/>
  <c r="M126" i="5"/>
  <c r="I126" i="5"/>
  <c r="E126" i="5"/>
  <c r="A126" i="5"/>
  <c r="Q125" i="5"/>
  <c r="M125" i="5"/>
  <c r="I125" i="5"/>
  <c r="E125" i="5"/>
  <c r="A125" i="5"/>
  <c r="Q124" i="5"/>
  <c r="M124" i="5"/>
  <c r="I124" i="5"/>
  <c r="E124" i="5"/>
  <c r="A124" i="5"/>
  <c r="Q123" i="5"/>
  <c r="M123" i="5"/>
  <c r="I123" i="5"/>
  <c r="E123" i="5"/>
  <c r="A123" i="5"/>
  <c r="Q122" i="5"/>
  <c r="M122" i="5"/>
  <c r="I122" i="5"/>
  <c r="E122" i="5"/>
  <c r="A122" i="5"/>
  <c r="Q121" i="5"/>
  <c r="M121" i="5"/>
  <c r="I121" i="5"/>
  <c r="E121" i="5"/>
  <c r="A121" i="5"/>
  <c r="Q120" i="5"/>
  <c r="M120" i="5"/>
  <c r="I120" i="5"/>
  <c r="E120" i="5"/>
  <c r="A120" i="5"/>
  <c r="Q119" i="5"/>
  <c r="M119" i="5"/>
  <c r="I119" i="5"/>
  <c r="E119" i="5"/>
  <c r="A119" i="5"/>
  <c r="Q118" i="5"/>
  <c r="M118" i="5"/>
  <c r="I118" i="5"/>
  <c r="E118" i="5"/>
  <c r="A118" i="5"/>
  <c r="Q117" i="5"/>
  <c r="M117" i="5"/>
  <c r="I117" i="5"/>
  <c r="E117" i="5"/>
  <c r="A117" i="5"/>
  <c r="Q116" i="5"/>
  <c r="M116" i="5"/>
  <c r="I116" i="5"/>
  <c r="E116" i="5"/>
  <c r="A116" i="5"/>
  <c r="Q115" i="5"/>
  <c r="M115" i="5"/>
  <c r="I115" i="5"/>
  <c r="E115" i="5"/>
  <c r="A115" i="5"/>
  <c r="Q114" i="5"/>
  <c r="M114" i="5"/>
  <c r="I114" i="5"/>
  <c r="E114" i="5"/>
  <c r="A114" i="5"/>
  <c r="Q113" i="5"/>
  <c r="M113" i="5"/>
  <c r="I113" i="5"/>
  <c r="E113" i="5"/>
  <c r="A113" i="5"/>
  <c r="Q112" i="5"/>
  <c r="M112" i="5"/>
  <c r="I112" i="5"/>
  <c r="E112" i="5"/>
  <c r="A112" i="5"/>
  <c r="Q111" i="5"/>
  <c r="M111" i="5"/>
  <c r="I111" i="5"/>
  <c r="E111" i="5"/>
  <c r="A111" i="5"/>
  <c r="Q110" i="5"/>
  <c r="M110" i="5"/>
  <c r="I110" i="5"/>
  <c r="E110" i="5"/>
  <c r="A110" i="5"/>
  <c r="Q109" i="5"/>
  <c r="M109" i="5"/>
  <c r="I109" i="5"/>
  <c r="E109" i="5"/>
  <c r="A109" i="5"/>
  <c r="Q108" i="5"/>
  <c r="M108" i="5"/>
  <c r="I108" i="5"/>
  <c r="E108" i="5"/>
  <c r="A108" i="5"/>
  <c r="Q107" i="5"/>
  <c r="M107" i="5"/>
  <c r="I107" i="5"/>
  <c r="E107" i="5"/>
  <c r="A107" i="5"/>
  <c r="Q106" i="5"/>
  <c r="M106" i="5"/>
  <c r="I106" i="5"/>
  <c r="E106" i="5"/>
  <c r="A106" i="5"/>
  <c r="Q105" i="5"/>
  <c r="M105" i="5"/>
  <c r="I105" i="5"/>
  <c r="E105" i="5"/>
  <c r="A105" i="5"/>
  <c r="Q104" i="5"/>
  <c r="M104" i="5"/>
  <c r="I104" i="5"/>
  <c r="E104" i="5"/>
  <c r="A104" i="5"/>
  <c r="Q103" i="5"/>
  <c r="M103" i="5"/>
  <c r="I103" i="5"/>
  <c r="E103" i="5"/>
  <c r="A103" i="5"/>
  <c r="Q102" i="5"/>
  <c r="M102" i="5"/>
  <c r="I102" i="5"/>
  <c r="E102" i="5"/>
  <c r="A102" i="5"/>
  <c r="Q101" i="5"/>
  <c r="M101" i="5"/>
  <c r="I101" i="5"/>
  <c r="E101" i="5"/>
  <c r="A101" i="5"/>
  <c r="Q100" i="5"/>
  <c r="M100" i="5"/>
  <c r="I100" i="5"/>
  <c r="E100" i="5"/>
  <c r="A100" i="5"/>
  <c r="Q99" i="5"/>
  <c r="M99" i="5"/>
  <c r="I99" i="5"/>
  <c r="E99" i="5"/>
  <c r="A99" i="5"/>
  <c r="Q98" i="5"/>
  <c r="M98" i="5"/>
  <c r="I98" i="5"/>
  <c r="E98" i="5"/>
  <c r="A98" i="5"/>
  <c r="Q97" i="5"/>
  <c r="M97" i="5"/>
  <c r="I97" i="5"/>
  <c r="E97" i="5"/>
  <c r="A97" i="5"/>
  <c r="Q96" i="5"/>
  <c r="M96" i="5"/>
  <c r="I96" i="5"/>
  <c r="E96" i="5"/>
  <c r="A96" i="5"/>
  <c r="Q95" i="5"/>
  <c r="M95" i="5"/>
  <c r="I95" i="5"/>
  <c r="E95" i="5"/>
  <c r="A95" i="5"/>
  <c r="Q94" i="5"/>
  <c r="M94" i="5"/>
  <c r="I94" i="5"/>
  <c r="E94" i="5"/>
  <c r="A94" i="5"/>
  <c r="Q93" i="5"/>
  <c r="M93" i="5"/>
  <c r="I93" i="5"/>
  <c r="E93" i="5"/>
  <c r="A93" i="5"/>
  <c r="Q92" i="5"/>
  <c r="M92" i="5"/>
  <c r="I92" i="5"/>
  <c r="E92" i="5"/>
  <c r="A92" i="5"/>
  <c r="Q91" i="5"/>
  <c r="M91" i="5"/>
  <c r="I91" i="5"/>
  <c r="E91" i="5"/>
  <c r="A91" i="5"/>
  <c r="Q90" i="5"/>
  <c r="M90" i="5"/>
  <c r="I90" i="5"/>
  <c r="E90" i="5"/>
  <c r="A90" i="5"/>
  <c r="Q89" i="5"/>
  <c r="M89" i="5"/>
  <c r="I89" i="5"/>
  <c r="E89" i="5"/>
  <c r="A89" i="5"/>
  <c r="Q88" i="5"/>
  <c r="M88" i="5"/>
  <c r="I88" i="5"/>
  <c r="E88" i="5"/>
  <c r="A88" i="5"/>
  <c r="Q87" i="5"/>
  <c r="M87" i="5"/>
  <c r="I87" i="5"/>
  <c r="E87" i="5"/>
  <c r="A87" i="5"/>
  <c r="Q86" i="5"/>
  <c r="M86" i="5"/>
  <c r="I86" i="5"/>
  <c r="E86" i="5"/>
  <c r="A86" i="5"/>
  <c r="Q85" i="5"/>
  <c r="M85" i="5"/>
  <c r="I85" i="5"/>
  <c r="E85" i="5"/>
  <c r="A85" i="5"/>
  <c r="Q84" i="5"/>
  <c r="M84" i="5"/>
  <c r="I84" i="5"/>
  <c r="E84" i="5"/>
  <c r="A84" i="5"/>
  <c r="Q83" i="5"/>
  <c r="M83" i="5"/>
  <c r="I83" i="5"/>
  <c r="E83" i="5"/>
  <c r="A83" i="5"/>
  <c r="Q82" i="5"/>
  <c r="M82" i="5"/>
  <c r="I82" i="5"/>
  <c r="E82" i="5"/>
  <c r="A82" i="5"/>
  <c r="Q81" i="5"/>
  <c r="M81" i="5"/>
  <c r="I81" i="5"/>
  <c r="E81" i="5"/>
  <c r="A81" i="5"/>
  <c r="Q80" i="5"/>
  <c r="M80" i="5"/>
  <c r="I80" i="5"/>
  <c r="E80" i="5"/>
  <c r="A80" i="5"/>
  <c r="Q79" i="5"/>
  <c r="M79" i="5"/>
  <c r="I79" i="5"/>
  <c r="E79" i="5"/>
  <c r="A79" i="5"/>
  <c r="Q78" i="5"/>
  <c r="M78" i="5"/>
  <c r="I78" i="5"/>
  <c r="E78" i="5"/>
  <c r="A78" i="5"/>
  <c r="Q77" i="5"/>
  <c r="M77" i="5"/>
  <c r="I77" i="5"/>
  <c r="E77" i="5"/>
  <c r="A77" i="5"/>
  <c r="M219" i="5"/>
  <c r="Q218" i="5"/>
  <c r="A218" i="5"/>
  <c r="E217" i="5"/>
  <c r="I216" i="5"/>
  <c r="M215" i="5"/>
  <c r="Q214" i="5"/>
  <c r="A214" i="5"/>
  <c r="E213" i="5"/>
  <c r="I212" i="5"/>
  <c r="M211" i="5"/>
  <c r="Q210" i="5"/>
  <c r="A210" i="5"/>
  <c r="E209" i="5"/>
  <c r="I208" i="5"/>
  <c r="M207" i="5"/>
  <c r="Q206" i="5"/>
  <c r="A206" i="5"/>
  <c r="E205" i="5"/>
  <c r="I204" i="5"/>
  <c r="M203" i="5"/>
  <c r="Q202" i="5"/>
  <c r="A202" i="5"/>
  <c r="E201" i="5"/>
  <c r="I200" i="5"/>
  <c r="M199" i="5"/>
  <c r="Q198" i="5"/>
  <c r="A198" i="5"/>
  <c r="E197" i="5"/>
  <c r="I196" i="5"/>
  <c r="M195" i="5"/>
  <c r="Q194" i="5"/>
  <c r="A194" i="5"/>
  <c r="E193" i="5"/>
  <c r="I192" i="5"/>
  <c r="M191" i="5"/>
  <c r="Q190" i="5"/>
  <c r="A190" i="5"/>
  <c r="E189" i="5"/>
  <c r="I188" i="5"/>
  <c r="M187" i="5"/>
  <c r="Q186" i="5"/>
  <c r="A186" i="5"/>
  <c r="E185" i="5"/>
  <c r="I184" i="5"/>
  <c r="M183" i="5"/>
  <c r="Q182" i="5"/>
  <c r="A182" i="5"/>
  <c r="E181" i="5"/>
  <c r="I180" i="5"/>
  <c r="A363" i="5"/>
  <c r="Q359" i="5"/>
  <c r="M356" i="5"/>
  <c r="I353" i="5"/>
  <c r="L350" i="5"/>
  <c r="L348" i="5"/>
  <c r="L346" i="5"/>
  <c r="L344" i="5"/>
  <c r="L342" i="5"/>
  <c r="L340" i="5"/>
  <c r="L338" i="5"/>
  <c r="L336" i="5"/>
  <c r="L334" i="5"/>
  <c r="L332" i="5"/>
  <c r="L330" i="5"/>
  <c r="L328" i="5"/>
  <c r="L326" i="5"/>
  <c r="L324" i="5"/>
  <c r="L322" i="5"/>
  <c r="L320" i="5"/>
  <c r="L318" i="5"/>
  <c r="L316" i="5"/>
  <c r="L314" i="5"/>
  <c r="L312" i="5"/>
  <c r="L310" i="5"/>
  <c r="L308" i="5"/>
  <c r="L306" i="5"/>
  <c r="L304" i="5"/>
  <c r="L302" i="5"/>
  <c r="L300" i="5"/>
  <c r="L298" i="5"/>
  <c r="L296" i="5"/>
  <c r="L294" i="5"/>
  <c r="L292" i="5"/>
  <c r="L290" i="5"/>
  <c r="L288" i="5"/>
  <c r="L286" i="5"/>
  <c r="L284" i="5"/>
  <c r="L282" i="5"/>
  <c r="L280" i="5"/>
  <c r="L278" i="5"/>
  <c r="L276" i="5"/>
  <c r="L274" i="5"/>
  <c r="L272" i="5"/>
  <c r="L270" i="5"/>
  <c r="L268" i="5"/>
  <c r="L266" i="5"/>
  <c r="L264" i="5"/>
  <c r="L262" i="5"/>
  <c r="L260" i="5"/>
  <c r="L258" i="5"/>
  <c r="L256" i="5"/>
  <c r="L254" i="5"/>
  <c r="L252" i="5"/>
  <c r="L250" i="5"/>
  <c r="L248" i="5"/>
  <c r="L246" i="5"/>
  <c r="L244" i="5"/>
  <c r="L242" i="5"/>
  <c r="L240" i="5"/>
  <c r="L238" i="5"/>
  <c r="L236" i="5"/>
  <c r="L234" i="5"/>
  <c r="L232" i="5"/>
  <c r="L230" i="5"/>
  <c r="L228" i="5"/>
  <c r="L226" i="5"/>
  <c r="L224" i="5"/>
  <c r="L222" i="5"/>
  <c r="L220" i="5"/>
  <c r="L218" i="5"/>
  <c r="L216" i="5"/>
  <c r="L214" i="5"/>
  <c r="L212" i="5"/>
  <c r="L210" i="5"/>
  <c r="L208" i="5"/>
  <c r="L206" i="5"/>
  <c r="L204" i="5"/>
  <c r="L202" i="5"/>
  <c r="L200" i="5"/>
  <c r="L198" i="5"/>
  <c r="L196" i="5"/>
  <c r="L194" i="5"/>
  <c r="L192" i="5"/>
  <c r="L190" i="5"/>
  <c r="L188" i="5"/>
  <c r="L186" i="5"/>
  <c r="L184" i="5"/>
  <c r="L182" i="5"/>
  <c r="L180" i="5"/>
  <c r="J179" i="5"/>
  <c r="L178" i="5"/>
  <c r="N177" i="5"/>
  <c r="P176" i="5"/>
  <c r="R175" i="5"/>
  <c r="B175" i="5"/>
  <c r="D174" i="5"/>
  <c r="F173" i="5"/>
  <c r="H172" i="5"/>
  <c r="J171" i="5"/>
  <c r="L170" i="5"/>
  <c r="N169" i="5"/>
  <c r="P168" i="5"/>
  <c r="R167" i="5"/>
  <c r="B167" i="5"/>
  <c r="D166" i="5"/>
  <c r="F165" i="5"/>
  <c r="H164" i="5"/>
  <c r="J163" i="5"/>
  <c r="L162" i="5"/>
  <c r="N161" i="5"/>
  <c r="P160" i="5"/>
  <c r="R159" i="5"/>
  <c r="B159" i="5"/>
  <c r="D158" i="5"/>
  <c r="F157" i="5"/>
  <c r="H156" i="5"/>
  <c r="J155" i="5"/>
  <c r="L154" i="5"/>
  <c r="N153" i="5"/>
  <c r="P152" i="5"/>
  <c r="R151" i="5"/>
  <c r="B151" i="5"/>
  <c r="D150" i="5"/>
  <c r="F149" i="5"/>
  <c r="H148" i="5"/>
  <c r="J147" i="5"/>
  <c r="L146" i="5"/>
  <c r="N145" i="5"/>
  <c r="P144" i="5"/>
  <c r="R143" i="5"/>
  <c r="B143" i="5"/>
  <c r="D142" i="5"/>
  <c r="F141" i="5"/>
  <c r="H140" i="5"/>
  <c r="J139" i="5"/>
  <c r="L138" i="5"/>
  <c r="N137" i="5"/>
  <c r="P136" i="5"/>
  <c r="R135" i="5"/>
  <c r="B135" i="5"/>
  <c r="D134" i="5"/>
  <c r="F133" i="5"/>
  <c r="H132" i="5"/>
  <c r="J131" i="5"/>
  <c r="L130" i="5"/>
  <c r="N129" i="5"/>
  <c r="P128" i="5"/>
  <c r="R127" i="5"/>
  <c r="B127" i="5"/>
  <c r="D126" i="5"/>
  <c r="F125" i="5"/>
  <c r="H124" i="5"/>
  <c r="J123" i="5"/>
  <c r="L122" i="5"/>
  <c r="N121" i="5"/>
  <c r="P120" i="5"/>
  <c r="R119" i="5"/>
  <c r="B119" i="5"/>
  <c r="D118" i="5"/>
  <c r="F117" i="5"/>
  <c r="H116" i="5"/>
  <c r="J115" i="5"/>
  <c r="L114" i="5"/>
  <c r="N113" i="5"/>
  <c r="P112" i="5"/>
  <c r="R111" i="5"/>
  <c r="B111" i="5"/>
  <c r="D110" i="5"/>
  <c r="F109" i="5"/>
  <c r="H108" i="5"/>
  <c r="J107" i="5"/>
  <c r="L106" i="5"/>
  <c r="N105" i="5"/>
  <c r="P104" i="5"/>
  <c r="R103" i="5"/>
  <c r="B103" i="5"/>
  <c r="D102" i="5"/>
  <c r="F101" i="5"/>
  <c r="H100" i="5"/>
  <c r="J99" i="5"/>
  <c r="L98" i="5"/>
  <c r="N97" i="5"/>
  <c r="P96" i="5"/>
  <c r="R95" i="5"/>
  <c r="B95" i="5"/>
  <c r="D94" i="5"/>
  <c r="F93" i="5"/>
  <c r="H92" i="5"/>
  <c r="J91" i="5"/>
  <c r="L90" i="5"/>
  <c r="N89" i="5"/>
  <c r="P88" i="5"/>
  <c r="R87" i="5"/>
  <c r="B87" i="5"/>
  <c r="D86" i="5"/>
  <c r="F85" i="5"/>
  <c r="H84" i="5"/>
  <c r="J83" i="5"/>
  <c r="L82" i="5"/>
  <c r="N81" i="5"/>
  <c r="P80" i="5"/>
  <c r="R79" i="5"/>
  <c r="B79" i="5"/>
  <c r="D78" i="5"/>
  <c r="F77" i="5"/>
  <c r="H76" i="5"/>
  <c r="J75" i="5"/>
  <c r="L74" i="5"/>
  <c r="N73" i="5"/>
  <c r="P72" i="5"/>
  <c r="R71" i="5"/>
  <c r="B71" i="5"/>
  <c r="D70" i="5"/>
  <c r="F69" i="5"/>
  <c r="H68" i="5"/>
  <c r="J67" i="5"/>
  <c r="L66" i="5"/>
  <c r="N65" i="5"/>
  <c r="P64" i="5"/>
  <c r="R63" i="5"/>
  <c r="B63" i="5"/>
  <c r="D62" i="5"/>
  <c r="F61" i="5"/>
  <c r="H60" i="5"/>
  <c r="J59" i="5"/>
  <c r="L58" i="5"/>
  <c r="N57" i="5"/>
  <c r="P56" i="5"/>
  <c r="R55" i="5"/>
  <c r="B55" i="5"/>
  <c r="D54" i="5"/>
  <c r="F53" i="5"/>
  <c r="H52" i="5"/>
  <c r="J51" i="5"/>
  <c r="L50" i="5"/>
  <c r="N49" i="5"/>
  <c r="P48" i="5"/>
  <c r="R47" i="5"/>
  <c r="B47" i="5"/>
  <c r="D46" i="5"/>
  <c r="F45" i="5"/>
  <c r="H44" i="5"/>
  <c r="J43" i="5"/>
  <c r="L42" i="5"/>
  <c r="N41" i="5"/>
  <c r="P40" i="5"/>
  <c r="R39" i="5"/>
  <c r="B39" i="5"/>
  <c r="D38" i="5"/>
  <c r="F37" i="5"/>
  <c r="H36" i="5"/>
  <c r="J35" i="5"/>
  <c r="L34" i="5"/>
  <c r="N33" i="5"/>
  <c r="P32" i="5"/>
  <c r="R31" i="5"/>
  <c r="B31" i="5"/>
  <c r="D30" i="5"/>
  <c r="F29" i="5"/>
  <c r="H28" i="5"/>
  <c r="J27" i="5"/>
  <c r="L26" i="5"/>
  <c r="N25" i="5"/>
  <c r="P24" i="5"/>
  <c r="R23" i="5"/>
  <c r="B23" i="5"/>
  <c r="D22" i="5"/>
  <c r="F21" i="5"/>
  <c r="H20" i="5"/>
  <c r="J19" i="5"/>
  <c r="N18" i="5"/>
  <c r="F18" i="5"/>
  <c r="P17" i="5"/>
  <c r="H17" i="5"/>
  <c r="R16" i="5"/>
  <c r="J16" i="5"/>
  <c r="B16" i="5"/>
  <c r="L15" i="5"/>
  <c r="D15" i="5"/>
  <c r="N14" i="5"/>
  <c r="F14" i="5"/>
  <c r="P13" i="5"/>
  <c r="H13" i="5"/>
  <c r="R12" i="5"/>
  <c r="J12" i="5"/>
  <c r="B12" i="5"/>
  <c r="L11" i="5"/>
  <c r="D11" i="5"/>
  <c r="N10" i="5"/>
  <c r="F10" i="5"/>
  <c r="P9" i="5"/>
  <c r="H9" i="5"/>
  <c r="R8" i="5"/>
  <c r="J8" i="5"/>
  <c r="B8" i="5"/>
  <c r="L7" i="5"/>
  <c r="D7" i="5"/>
  <c r="N6" i="5"/>
  <c r="F6" i="5"/>
  <c r="P5" i="5"/>
  <c r="H5" i="5"/>
  <c r="R4" i="5"/>
  <c r="J4" i="5"/>
  <c r="B4" i="5"/>
  <c r="L3" i="5"/>
  <c r="D3" i="5"/>
  <c r="N2" i="5"/>
  <c r="F2" i="5"/>
  <c r="O102" i="4"/>
  <c r="M101" i="4"/>
  <c r="Q99" i="4"/>
  <c r="O98" i="4"/>
  <c r="M97" i="4"/>
  <c r="Q95" i="4"/>
  <c r="O94" i="4"/>
  <c r="M93" i="4"/>
  <c r="Q91" i="4"/>
  <c r="O90" i="4"/>
  <c r="M89" i="4"/>
  <c r="Q87" i="4"/>
  <c r="O86" i="4"/>
  <c r="M85" i="4"/>
  <c r="Q83" i="4"/>
  <c r="O82" i="4"/>
  <c r="M81" i="4"/>
  <c r="Q79" i="4"/>
  <c r="O78" i="4"/>
  <c r="M77" i="4"/>
  <c r="Q75" i="4"/>
  <c r="O74" i="4"/>
  <c r="M73" i="4"/>
  <c r="Q71" i="4"/>
  <c r="O70" i="4"/>
  <c r="M69" i="4"/>
  <c r="Q67" i="4"/>
  <c r="O66" i="4"/>
  <c r="M65" i="4"/>
  <c r="Q63" i="4"/>
  <c r="O62" i="4"/>
  <c r="M61" i="4"/>
  <c r="Q59" i="4"/>
  <c r="O58" i="4"/>
  <c r="M57" i="4"/>
  <c r="Q55" i="4"/>
  <c r="O54" i="4"/>
  <c r="M53" i="4"/>
  <c r="Q51" i="4"/>
  <c r="O50" i="4"/>
  <c r="M49" i="4"/>
  <c r="Q47" i="4"/>
  <c r="O46" i="4"/>
  <c r="M45" i="4"/>
  <c r="Q43" i="4"/>
  <c r="O42" i="4"/>
  <c r="M41" i="4"/>
  <c r="Q39" i="4"/>
  <c r="O38" i="4"/>
  <c r="M37" i="4"/>
  <c r="Q35" i="4"/>
  <c r="O34" i="4"/>
  <c r="M33" i="4"/>
  <c r="Q32" i="4"/>
  <c r="I32" i="4"/>
  <c r="T31" i="4"/>
  <c r="L31" i="4"/>
  <c r="W30" i="4"/>
  <c r="O30" i="4"/>
  <c r="G30" i="4"/>
  <c r="R29" i="4"/>
  <c r="J29" i="4"/>
  <c r="U28" i="4"/>
  <c r="M28" i="4"/>
  <c r="E28" i="4"/>
  <c r="P27" i="4"/>
  <c r="H27" i="4"/>
  <c r="S26" i="4"/>
  <c r="K26" i="4"/>
  <c r="V25" i="4"/>
  <c r="N25" i="4"/>
  <c r="F25" i="4"/>
  <c r="Q24" i="4"/>
  <c r="I24" i="4"/>
  <c r="T23" i="4"/>
  <c r="L23" i="4"/>
  <c r="W22" i="4"/>
  <c r="O22" i="4"/>
  <c r="G22" i="4"/>
  <c r="R21" i="4"/>
  <c r="J21" i="4"/>
  <c r="U20" i="4"/>
  <c r="M20" i="4"/>
  <c r="E20" i="4"/>
  <c r="P19" i="4"/>
  <c r="H19" i="4"/>
  <c r="S18" i="4"/>
  <c r="K18" i="4"/>
  <c r="V17" i="4"/>
  <c r="N17" i="4"/>
  <c r="F17" i="4"/>
  <c r="Q16" i="4"/>
  <c r="I16" i="4"/>
  <c r="T15" i="4"/>
  <c r="L15" i="4"/>
  <c r="W14" i="4"/>
  <c r="O14" i="4"/>
  <c r="G14" i="4"/>
  <c r="R13" i="4"/>
  <c r="J13" i="4"/>
  <c r="U12" i="4"/>
  <c r="M12" i="4"/>
  <c r="E12" i="4"/>
  <c r="P11" i="4"/>
  <c r="H11" i="4"/>
  <c r="S10" i="4"/>
  <c r="K10" i="4"/>
  <c r="V9" i="4"/>
  <c r="N9" i="4"/>
  <c r="F9" i="4"/>
  <c r="Q8" i="4"/>
  <c r="I8" i="4"/>
  <c r="T7" i="4"/>
  <c r="L7" i="4"/>
  <c r="W6" i="4"/>
  <c r="O6" i="4"/>
  <c r="G6" i="4"/>
  <c r="R5" i="4"/>
  <c r="J5" i="4"/>
  <c r="U4" i="4"/>
  <c r="M4" i="4"/>
  <c r="E4" i="4"/>
  <c r="P3" i="4"/>
  <c r="H3" i="4"/>
  <c r="R2" i="4"/>
  <c r="Q364" i="5"/>
  <c r="E363" i="5"/>
  <c r="M361" i="5"/>
  <c r="A360" i="5"/>
  <c r="I358" i="5"/>
  <c r="Q356" i="5"/>
  <c r="E355" i="5"/>
  <c r="M353" i="5"/>
  <c r="A352" i="5"/>
  <c r="R350" i="5"/>
  <c r="B350" i="5"/>
  <c r="F349" i="5"/>
  <c r="J348" i="5"/>
  <c r="N347" i="5"/>
  <c r="R346" i="5"/>
  <c r="B346" i="5"/>
  <c r="F345" i="5"/>
  <c r="J344" i="5"/>
  <c r="N343" i="5"/>
  <c r="R342" i="5"/>
  <c r="B342" i="5"/>
  <c r="F341" i="5"/>
  <c r="J340" i="5"/>
  <c r="N339" i="5"/>
  <c r="R338" i="5"/>
  <c r="B338" i="5"/>
  <c r="F337" i="5"/>
  <c r="J336" i="5"/>
  <c r="N335" i="5"/>
  <c r="R334" i="5"/>
  <c r="B334" i="5"/>
  <c r="F333" i="5"/>
  <c r="J332" i="5"/>
  <c r="N331" i="5"/>
  <c r="R330" i="5"/>
  <c r="B330" i="5"/>
  <c r="F329" i="5"/>
  <c r="J328" i="5"/>
  <c r="N327" i="5"/>
  <c r="R326" i="5"/>
  <c r="B326" i="5"/>
  <c r="F325" i="5"/>
  <c r="J324" i="5"/>
  <c r="N323" i="5"/>
  <c r="R322" i="5"/>
  <c r="B322" i="5"/>
  <c r="F321" i="5"/>
  <c r="J320" i="5"/>
  <c r="N319" i="5"/>
  <c r="R318" i="5"/>
  <c r="B318" i="5"/>
  <c r="F317" i="5"/>
  <c r="J316" i="5"/>
  <c r="N315" i="5"/>
  <c r="R314" i="5"/>
  <c r="B314" i="5"/>
  <c r="F313" i="5"/>
  <c r="J312" i="5"/>
  <c r="N311" i="5"/>
  <c r="R310" i="5"/>
  <c r="B310" i="5"/>
  <c r="F309" i="5"/>
  <c r="J308" i="5"/>
  <c r="N307" i="5"/>
  <c r="R306" i="5"/>
  <c r="B306" i="5"/>
  <c r="F305" i="5"/>
  <c r="J304" i="5"/>
  <c r="N303" i="5"/>
  <c r="R302" i="5"/>
  <c r="B302" i="5"/>
  <c r="F301" i="5"/>
  <c r="J300" i="5"/>
  <c r="N299" i="5"/>
  <c r="R298" i="5"/>
  <c r="B298" i="5"/>
  <c r="F297" i="5"/>
  <c r="J296" i="5"/>
  <c r="N295" i="5"/>
  <c r="R294" i="5"/>
  <c r="B294" i="5"/>
  <c r="F293" i="5"/>
  <c r="J292" i="5"/>
  <c r="N291" i="5"/>
  <c r="R290" i="5"/>
  <c r="B290" i="5"/>
  <c r="F289" i="5"/>
  <c r="J288" i="5"/>
  <c r="N287" i="5"/>
  <c r="R286" i="5"/>
  <c r="B286" i="5"/>
  <c r="F285" i="5"/>
  <c r="J284" i="5"/>
  <c r="N283" i="5"/>
  <c r="R282" i="5"/>
  <c r="B282" i="5"/>
  <c r="F281" i="5"/>
  <c r="J280" i="5"/>
  <c r="N279" i="5"/>
  <c r="R278" i="5"/>
  <c r="B278" i="5"/>
  <c r="F277" i="5"/>
  <c r="J276" i="5"/>
  <c r="N275" i="5"/>
  <c r="R274" i="5"/>
  <c r="B274" i="5"/>
  <c r="F273" i="5"/>
  <c r="J272" i="5"/>
  <c r="N271" i="5"/>
  <c r="R270" i="5"/>
  <c r="B270" i="5"/>
  <c r="F269" i="5"/>
  <c r="J268" i="5"/>
  <c r="N267" i="5"/>
  <c r="R266" i="5"/>
  <c r="B266" i="5"/>
  <c r="F265" i="5"/>
  <c r="J264" i="5"/>
  <c r="N263" i="5"/>
  <c r="R262" i="5"/>
  <c r="B262" i="5"/>
  <c r="F261" i="5"/>
  <c r="J260" i="5"/>
  <c r="N259" i="5"/>
  <c r="R258" i="5"/>
  <c r="B258" i="5"/>
  <c r="F257" i="5"/>
  <c r="J256" i="5"/>
  <c r="N255" i="5"/>
  <c r="R254" i="5"/>
  <c r="B254" i="5"/>
  <c r="F253" i="5"/>
  <c r="J252" i="5"/>
  <c r="N251" i="5"/>
  <c r="R250" i="5"/>
  <c r="B250" i="5"/>
  <c r="F249" i="5"/>
  <c r="J248" i="5"/>
  <c r="N247" i="5"/>
  <c r="R246" i="5"/>
  <c r="B246" i="5"/>
  <c r="F245" i="5"/>
  <c r="J244" i="5"/>
  <c r="N243" i="5"/>
  <c r="R242" i="5"/>
  <c r="B242" i="5"/>
  <c r="F241" i="5"/>
  <c r="J240" i="5"/>
  <c r="N239" i="5"/>
  <c r="R238" i="5"/>
  <c r="B238" i="5"/>
  <c r="F237" i="5"/>
  <c r="J236" i="5"/>
  <c r="N235" i="5"/>
  <c r="R234" i="5"/>
  <c r="B234" i="5"/>
  <c r="F233" i="5"/>
  <c r="J232" i="5"/>
  <c r="N231" i="5"/>
  <c r="R230" i="5"/>
  <c r="B230" i="5"/>
  <c r="F229" i="5"/>
  <c r="J228" i="5"/>
  <c r="N227" i="5"/>
  <c r="R226" i="5"/>
  <c r="B226" i="5"/>
  <c r="F225" i="5"/>
  <c r="J224" i="5"/>
  <c r="N223" i="5"/>
  <c r="R222" i="5"/>
  <c r="B222" i="5"/>
  <c r="F221" i="5"/>
  <c r="J220" i="5"/>
  <c r="N219" i="5"/>
  <c r="R218" i="5"/>
  <c r="B218" i="5"/>
  <c r="F217" i="5"/>
  <c r="J216" i="5"/>
  <c r="N215" i="5"/>
  <c r="R214" i="5"/>
  <c r="B214" i="5"/>
  <c r="F213" i="5"/>
  <c r="J212" i="5"/>
  <c r="N211" i="5"/>
  <c r="R210" i="5"/>
  <c r="B210" i="5"/>
  <c r="F209" i="5"/>
  <c r="J208" i="5"/>
  <c r="N207" i="5"/>
  <c r="R206" i="5"/>
  <c r="B206" i="5"/>
  <c r="F205" i="5"/>
  <c r="J204" i="5"/>
  <c r="N203" i="5"/>
  <c r="R202" i="5"/>
  <c r="B202" i="5"/>
  <c r="F201" i="5"/>
  <c r="J200" i="5"/>
  <c r="N199" i="5"/>
  <c r="R198" i="5"/>
  <c r="B198" i="5"/>
  <c r="F197" i="5"/>
  <c r="J196" i="5"/>
  <c r="N195" i="5"/>
  <c r="R194" i="5"/>
  <c r="B194" i="5"/>
  <c r="F193" i="5"/>
  <c r="J192" i="5"/>
  <c r="N191" i="5"/>
  <c r="R190" i="5"/>
  <c r="B190" i="5"/>
  <c r="F189" i="5"/>
  <c r="J188" i="5"/>
  <c r="N187" i="5"/>
  <c r="R186" i="5"/>
  <c r="B186" i="5"/>
  <c r="F185" i="5"/>
  <c r="J184" i="5"/>
  <c r="N183" i="5"/>
  <c r="R182" i="5"/>
  <c r="B182" i="5"/>
  <c r="F181" i="5"/>
  <c r="J180" i="5"/>
  <c r="S179" i="5"/>
  <c r="K179" i="5"/>
  <c r="C179" i="5"/>
  <c r="O178" i="5"/>
  <c r="G178" i="5"/>
  <c r="S177" i="5"/>
  <c r="K177" i="5"/>
  <c r="C177" i="5"/>
  <c r="O176" i="5"/>
  <c r="G176" i="5"/>
  <c r="S175" i="5"/>
  <c r="K175" i="5"/>
  <c r="C175" i="5"/>
  <c r="O174" i="5"/>
  <c r="G174" i="5"/>
  <c r="S173" i="5"/>
  <c r="K173" i="5"/>
  <c r="C173" i="5"/>
  <c r="O172" i="5"/>
  <c r="G172" i="5"/>
  <c r="S171" i="5"/>
  <c r="K171" i="5"/>
  <c r="C171" i="5"/>
  <c r="O170" i="5"/>
  <c r="G170" i="5"/>
  <c r="S169" i="5"/>
  <c r="K169" i="5"/>
  <c r="C169" i="5"/>
  <c r="O168" i="5"/>
  <c r="G168" i="5"/>
  <c r="S167" i="5"/>
  <c r="K167" i="5"/>
  <c r="C167" i="5"/>
  <c r="O166" i="5"/>
  <c r="G166" i="5"/>
  <c r="S165" i="5"/>
  <c r="K165" i="5"/>
  <c r="C165" i="5"/>
  <c r="O164" i="5"/>
  <c r="G164" i="5"/>
  <c r="S163" i="5"/>
  <c r="K163" i="5"/>
  <c r="C163" i="5"/>
  <c r="O162" i="5"/>
  <c r="G162" i="5"/>
  <c r="S161" i="5"/>
  <c r="K161" i="5"/>
  <c r="C161" i="5"/>
  <c r="O160" i="5"/>
  <c r="G160" i="5"/>
  <c r="S159" i="5"/>
  <c r="K159" i="5"/>
  <c r="C159" i="5"/>
  <c r="O158" i="5"/>
  <c r="G158" i="5"/>
  <c r="S157" i="5"/>
  <c r="K157" i="5"/>
  <c r="C157" i="5"/>
  <c r="O156" i="5"/>
  <c r="G156" i="5"/>
  <c r="S155" i="5"/>
  <c r="K155" i="5"/>
  <c r="C155" i="5"/>
  <c r="O154" i="5"/>
  <c r="G154" i="5"/>
  <c r="S153" i="5"/>
  <c r="K153" i="5"/>
  <c r="C153" i="5"/>
  <c r="O152" i="5"/>
  <c r="G152" i="5"/>
  <c r="S151" i="5"/>
  <c r="K151" i="5"/>
  <c r="C151" i="5"/>
  <c r="O150" i="5"/>
  <c r="G150" i="5"/>
  <c r="S149" i="5"/>
  <c r="K149" i="5"/>
  <c r="C149" i="5"/>
  <c r="O148" i="5"/>
  <c r="G148" i="5"/>
  <c r="S147" i="5"/>
  <c r="K147" i="5"/>
  <c r="C147" i="5"/>
  <c r="O146" i="5"/>
  <c r="G146" i="5"/>
  <c r="S145" i="5"/>
  <c r="K145" i="5"/>
  <c r="C145" i="5"/>
  <c r="O144" i="5"/>
  <c r="G144" i="5"/>
  <c r="S143" i="5"/>
  <c r="K143" i="5"/>
  <c r="C143" i="5"/>
  <c r="O142" i="5"/>
  <c r="G142" i="5"/>
  <c r="S141" i="5"/>
  <c r="K141" i="5"/>
  <c r="C141" i="5"/>
  <c r="O140" i="5"/>
  <c r="G140" i="5"/>
  <c r="S139" i="5"/>
  <c r="K139" i="5"/>
  <c r="C139" i="5"/>
  <c r="O138" i="5"/>
  <c r="G138" i="5"/>
  <c r="S137" i="5"/>
  <c r="K137" i="5"/>
  <c r="C137" i="5"/>
  <c r="O136" i="5"/>
  <c r="G136" i="5"/>
  <c r="S135" i="5"/>
  <c r="K135" i="5"/>
  <c r="C135" i="5"/>
  <c r="O134" i="5"/>
  <c r="G134" i="5"/>
  <c r="S133" i="5"/>
  <c r="K133" i="5"/>
  <c r="C133" i="5"/>
  <c r="O132" i="5"/>
  <c r="G132" i="5"/>
  <c r="S131" i="5"/>
  <c r="K131" i="5"/>
  <c r="C131" i="5"/>
  <c r="O130" i="5"/>
  <c r="G130" i="5"/>
  <c r="S129" i="5"/>
  <c r="K129" i="5"/>
  <c r="C129" i="5"/>
  <c r="O128" i="5"/>
  <c r="G128" i="5"/>
  <c r="S127" i="5"/>
  <c r="K127" i="5"/>
  <c r="C127" i="5"/>
  <c r="O126" i="5"/>
  <c r="G126" i="5"/>
  <c r="S125" i="5"/>
  <c r="K125" i="5"/>
  <c r="C125" i="5"/>
  <c r="O124" i="5"/>
  <c r="G124" i="5"/>
  <c r="S123" i="5"/>
  <c r="K123" i="5"/>
  <c r="C123" i="5"/>
  <c r="O122" i="5"/>
  <c r="G122" i="5"/>
  <c r="S121" i="5"/>
  <c r="K121" i="5"/>
  <c r="C121" i="5"/>
  <c r="O120" i="5"/>
  <c r="G120" i="5"/>
  <c r="S119" i="5"/>
  <c r="K119" i="5"/>
  <c r="C119" i="5"/>
  <c r="O118" i="5"/>
  <c r="G118" i="5"/>
  <c r="S117" i="5"/>
  <c r="K117" i="5"/>
  <c r="C117" i="5"/>
  <c r="O116" i="5"/>
  <c r="G116" i="5"/>
  <c r="S115" i="5"/>
  <c r="K115" i="5"/>
  <c r="C115" i="5"/>
  <c r="O114" i="5"/>
  <c r="G114" i="5"/>
  <c r="S113" i="5"/>
  <c r="K113" i="5"/>
  <c r="C113" i="5"/>
  <c r="O112" i="5"/>
  <c r="G112" i="5"/>
  <c r="S111" i="5"/>
  <c r="K111" i="5"/>
  <c r="C111" i="5"/>
  <c r="O110" i="5"/>
  <c r="G110" i="5"/>
  <c r="S109" i="5"/>
  <c r="K109" i="5"/>
  <c r="C109" i="5"/>
  <c r="O108" i="5"/>
  <c r="G108" i="5"/>
  <c r="S107" i="5"/>
  <c r="K107" i="5"/>
  <c r="C107" i="5"/>
  <c r="O106" i="5"/>
  <c r="G106" i="5"/>
  <c r="S105" i="5"/>
  <c r="K105" i="5"/>
  <c r="C105" i="5"/>
  <c r="O104" i="5"/>
  <c r="G104" i="5"/>
  <c r="S103" i="5"/>
  <c r="K103" i="5"/>
  <c r="C103" i="5"/>
  <c r="O102" i="5"/>
  <c r="G102" i="5"/>
  <c r="S101" i="5"/>
  <c r="K101" i="5"/>
  <c r="C101" i="5"/>
  <c r="O100" i="5"/>
  <c r="G100" i="5"/>
  <c r="S99" i="5"/>
  <c r="K99" i="5"/>
  <c r="C99" i="5"/>
  <c r="O98" i="5"/>
  <c r="G98" i="5"/>
  <c r="S97" i="5"/>
  <c r="K97" i="5"/>
  <c r="C97" i="5"/>
  <c r="O96" i="5"/>
  <c r="G96" i="5"/>
  <c r="S95" i="5"/>
  <c r="K95" i="5"/>
  <c r="C95" i="5"/>
  <c r="O94" i="5"/>
  <c r="G94" i="5"/>
  <c r="S93" i="5"/>
  <c r="K93" i="5"/>
  <c r="C93" i="5"/>
  <c r="O92" i="5"/>
  <c r="G92" i="5"/>
  <c r="S91" i="5"/>
  <c r="K91" i="5"/>
  <c r="C91" i="5"/>
  <c r="O90" i="5"/>
  <c r="G90" i="5"/>
  <c r="S89" i="5"/>
  <c r="K89" i="5"/>
  <c r="C89" i="5"/>
  <c r="O88" i="5"/>
  <c r="G88" i="5"/>
  <c r="S87" i="5"/>
  <c r="K87" i="5"/>
  <c r="C87" i="5"/>
  <c r="O86" i="5"/>
  <c r="G86" i="5"/>
  <c r="S85" i="5"/>
  <c r="K85" i="5"/>
  <c r="C85" i="5"/>
  <c r="O84" i="5"/>
  <c r="G84" i="5"/>
  <c r="S83" i="5"/>
  <c r="K83" i="5"/>
  <c r="C83" i="5"/>
  <c r="O82" i="5"/>
  <c r="G82" i="5"/>
  <c r="S81" i="5"/>
  <c r="K81" i="5"/>
  <c r="C81" i="5"/>
  <c r="O80" i="5"/>
  <c r="G80" i="5"/>
  <c r="S79" i="5"/>
  <c r="K79" i="5"/>
  <c r="C79" i="5"/>
  <c r="O78" i="5"/>
  <c r="G78" i="5"/>
  <c r="S77" i="5"/>
  <c r="K77" i="5"/>
  <c r="C77" i="5"/>
  <c r="Q76" i="5"/>
  <c r="M76" i="5"/>
  <c r="I76" i="5"/>
  <c r="E76" i="5"/>
  <c r="A76" i="5"/>
  <c r="Q75" i="5"/>
  <c r="M75" i="5"/>
  <c r="I75" i="5"/>
  <c r="E75" i="5"/>
  <c r="A75" i="5"/>
  <c r="Q74" i="5"/>
  <c r="M74" i="5"/>
  <c r="I74" i="5"/>
  <c r="E74" i="5"/>
  <c r="A74" i="5"/>
  <c r="Q73" i="5"/>
  <c r="M73" i="5"/>
  <c r="I73" i="5"/>
  <c r="E73" i="5"/>
  <c r="A73" i="5"/>
  <c r="Q72" i="5"/>
  <c r="M72" i="5"/>
  <c r="I72" i="5"/>
  <c r="E72" i="5"/>
  <c r="A72" i="5"/>
  <c r="Q71" i="5"/>
  <c r="M71" i="5"/>
  <c r="I71" i="5"/>
  <c r="E71" i="5"/>
  <c r="A71" i="5"/>
  <c r="Q70" i="5"/>
  <c r="M70" i="5"/>
  <c r="I70" i="5"/>
  <c r="E70" i="5"/>
  <c r="A70" i="5"/>
  <c r="Q69" i="5"/>
  <c r="M69" i="5"/>
  <c r="I69" i="5"/>
  <c r="E69" i="5"/>
  <c r="A69" i="5"/>
  <c r="Q68" i="5"/>
  <c r="M68" i="5"/>
  <c r="I68" i="5"/>
  <c r="E68" i="5"/>
  <c r="A68" i="5"/>
  <c r="Q67" i="5"/>
  <c r="M67" i="5"/>
  <c r="I67" i="5"/>
  <c r="E67" i="5"/>
  <c r="A67" i="5"/>
  <c r="Q66" i="5"/>
  <c r="M66" i="5"/>
  <c r="I66" i="5"/>
  <c r="E66" i="5"/>
  <c r="A66" i="5"/>
  <c r="Q65" i="5"/>
  <c r="M65" i="5"/>
  <c r="I65" i="5"/>
  <c r="E65" i="5"/>
  <c r="A65" i="5"/>
  <c r="Q64" i="5"/>
  <c r="M64" i="5"/>
  <c r="I64" i="5"/>
  <c r="E64" i="5"/>
  <c r="A64" i="5"/>
  <c r="Q63" i="5"/>
  <c r="M63" i="5"/>
  <c r="I63" i="5"/>
  <c r="E63" i="5"/>
  <c r="A63" i="5"/>
  <c r="Q62" i="5"/>
  <c r="M62" i="5"/>
  <c r="I62" i="5"/>
  <c r="E62" i="5"/>
  <c r="A62" i="5"/>
  <c r="Q61" i="5"/>
  <c r="M61" i="5"/>
  <c r="I61" i="5"/>
  <c r="E61" i="5"/>
  <c r="A61" i="5"/>
  <c r="Q60" i="5"/>
  <c r="M60" i="5"/>
  <c r="I60" i="5"/>
  <c r="E60" i="5"/>
  <c r="A60" i="5"/>
  <c r="Q59" i="5"/>
  <c r="M59" i="5"/>
  <c r="I59" i="5"/>
  <c r="E59" i="5"/>
  <c r="A59" i="5"/>
  <c r="Q58" i="5"/>
  <c r="M58" i="5"/>
  <c r="I58" i="5"/>
  <c r="E58" i="5"/>
  <c r="A58" i="5"/>
  <c r="Q57" i="5"/>
  <c r="M57" i="5"/>
  <c r="I57" i="5"/>
  <c r="E57" i="5"/>
  <c r="A57" i="5"/>
  <c r="Q56" i="5"/>
  <c r="M56" i="5"/>
  <c r="I56" i="5"/>
  <c r="E56" i="5"/>
  <c r="A56" i="5"/>
  <c r="Q55" i="5"/>
  <c r="M55" i="5"/>
  <c r="I55" i="5"/>
  <c r="E55" i="5"/>
  <c r="A55" i="5"/>
  <c r="Q54" i="5"/>
  <c r="M54" i="5"/>
  <c r="I54" i="5"/>
  <c r="E54" i="5"/>
  <c r="A54" i="5"/>
  <c r="Q53" i="5"/>
  <c r="M53" i="5"/>
  <c r="I53" i="5"/>
  <c r="E53" i="5"/>
  <c r="A53" i="5"/>
  <c r="Q52" i="5"/>
  <c r="M52" i="5"/>
  <c r="I52" i="5"/>
  <c r="E52" i="5"/>
  <c r="A52" i="5"/>
  <c r="Q51" i="5"/>
  <c r="M51" i="5"/>
  <c r="I51" i="5"/>
  <c r="E51" i="5"/>
  <c r="A51" i="5"/>
  <c r="Q50" i="5"/>
  <c r="M50" i="5"/>
  <c r="I50" i="5"/>
  <c r="E50" i="5"/>
  <c r="A50" i="5"/>
  <c r="Q49" i="5"/>
  <c r="M49" i="5"/>
  <c r="I49" i="5"/>
  <c r="E49" i="5"/>
  <c r="A49" i="5"/>
  <c r="Q48" i="5"/>
  <c r="M48" i="5"/>
  <c r="I48" i="5"/>
  <c r="E48" i="5"/>
  <c r="A48" i="5"/>
  <c r="Q47" i="5"/>
  <c r="M47" i="5"/>
  <c r="I47" i="5"/>
  <c r="E47" i="5"/>
  <c r="A47" i="5"/>
  <c r="Q46" i="5"/>
  <c r="M46" i="5"/>
  <c r="I46" i="5"/>
  <c r="E46" i="5"/>
  <c r="A46" i="5"/>
  <c r="Q45" i="5"/>
  <c r="M45" i="5"/>
  <c r="I45" i="5"/>
  <c r="E45" i="5"/>
  <c r="A45" i="5"/>
  <c r="Q44" i="5"/>
  <c r="M44" i="5"/>
  <c r="I44" i="5"/>
  <c r="E44" i="5"/>
  <c r="A44" i="5"/>
  <c r="Q43" i="5"/>
  <c r="M43" i="5"/>
  <c r="I43" i="5"/>
  <c r="E43" i="5"/>
  <c r="A43" i="5"/>
  <c r="Q42" i="5"/>
  <c r="M42" i="5"/>
  <c r="I42" i="5"/>
  <c r="E42" i="5"/>
  <c r="A42" i="5"/>
  <c r="Q41" i="5"/>
  <c r="M41" i="5"/>
  <c r="I41" i="5"/>
  <c r="E41" i="5"/>
  <c r="A41" i="5"/>
  <c r="Q40" i="5"/>
  <c r="M40" i="5"/>
  <c r="I40" i="5"/>
  <c r="E40" i="5"/>
  <c r="A40" i="5"/>
  <c r="Q39" i="5"/>
  <c r="M39" i="5"/>
  <c r="I39" i="5"/>
  <c r="E39" i="5"/>
  <c r="A39" i="5"/>
  <c r="Q38" i="5"/>
  <c r="M38" i="5"/>
  <c r="I38" i="5"/>
  <c r="E38" i="5"/>
  <c r="A38" i="5"/>
  <c r="Q37" i="5"/>
  <c r="M37" i="5"/>
  <c r="I37" i="5"/>
  <c r="E37" i="5"/>
  <c r="A37" i="5"/>
  <c r="Q36" i="5"/>
  <c r="M36" i="5"/>
  <c r="I36" i="5"/>
  <c r="E36" i="5"/>
  <c r="A36" i="5"/>
  <c r="Q35" i="5"/>
  <c r="M35" i="5"/>
  <c r="I35" i="5"/>
  <c r="E35" i="5"/>
  <c r="A35" i="5"/>
  <c r="Q34" i="5"/>
  <c r="M34" i="5"/>
  <c r="I34" i="5"/>
  <c r="E34" i="5"/>
  <c r="A34" i="5"/>
  <c r="Q33" i="5"/>
  <c r="M33" i="5"/>
  <c r="I33" i="5"/>
  <c r="E33" i="5"/>
  <c r="A33" i="5"/>
  <c r="Q32" i="5"/>
  <c r="M32" i="5"/>
  <c r="I32" i="5"/>
  <c r="E32" i="5"/>
  <c r="A32" i="5"/>
  <c r="Q31" i="5"/>
  <c r="M31" i="5"/>
  <c r="I31" i="5"/>
  <c r="E31" i="5"/>
  <c r="A31" i="5"/>
  <c r="Q30" i="5"/>
  <c r="M30" i="5"/>
  <c r="I30" i="5"/>
  <c r="E30" i="5"/>
  <c r="A30" i="5"/>
  <c r="Q29" i="5"/>
  <c r="M29" i="5"/>
  <c r="I29" i="5"/>
  <c r="E29" i="5"/>
  <c r="A29" i="5"/>
  <c r="Q28" i="5"/>
  <c r="M28" i="5"/>
  <c r="I28" i="5"/>
  <c r="E28" i="5"/>
  <c r="A28" i="5"/>
  <c r="Q27" i="5"/>
  <c r="M27" i="5"/>
  <c r="I27" i="5"/>
  <c r="E27" i="5"/>
  <c r="A27" i="5"/>
  <c r="Q26" i="5"/>
  <c r="M26" i="5"/>
  <c r="I26" i="5"/>
  <c r="E26" i="5"/>
  <c r="A26" i="5"/>
  <c r="Q25" i="5"/>
  <c r="M25" i="5"/>
  <c r="I25" i="5"/>
  <c r="E25" i="5"/>
  <c r="A25" i="5"/>
  <c r="Q24" i="5"/>
  <c r="M24" i="5"/>
  <c r="I24" i="5"/>
  <c r="E24" i="5"/>
  <c r="A24" i="5"/>
  <c r="Q23" i="5"/>
  <c r="M23" i="5"/>
  <c r="I23" i="5"/>
  <c r="E23" i="5"/>
  <c r="A23" i="5"/>
  <c r="Q22" i="5"/>
  <c r="M22" i="5"/>
  <c r="I22" i="5"/>
  <c r="E22" i="5"/>
  <c r="A22" i="5"/>
  <c r="Q21" i="5"/>
  <c r="M21" i="5"/>
  <c r="I21" i="5"/>
  <c r="E21" i="5"/>
  <c r="A21" i="5"/>
  <c r="Q20" i="5"/>
  <c r="M20" i="5"/>
  <c r="I20" i="5"/>
  <c r="E20" i="5"/>
  <c r="A20" i="5"/>
  <c r="Q19" i="5"/>
  <c r="M19" i="5"/>
  <c r="I19" i="5"/>
  <c r="E19" i="5"/>
  <c r="A19" i="5"/>
  <c r="Q18" i="5"/>
  <c r="M18" i="5"/>
  <c r="I18" i="5"/>
  <c r="E18" i="5"/>
  <c r="A18" i="5"/>
  <c r="Q17" i="5"/>
  <c r="M17" i="5"/>
  <c r="I17" i="5"/>
  <c r="E17" i="5"/>
  <c r="A17" i="5"/>
  <c r="Q16" i="5"/>
  <c r="M16" i="5"/>
  <c r="I16" i="5"/>
  <c r="E16" i="5"/>
  <c r="A16" i="5"/>
  <c r="Q15" i="5"/>
  <c r="M15" i="5"/>
  <c r="I15" i="5"/>
  <c r="E15" i="5"/>
  <c r="A15" i="5"/>
  <c r="Q14" i="5"/>
  <c r="M14" i="5"/>
  <c r="I14" i="5"/>
  <c r="E14" i="5"/>
  <c r="A14" i="5"/>
  <c r="Q13" i="5"/>
  <c r="M13" i="5"/>
  <c r="I13" i="5"/>
  <c r="E13" i="5"/>
  <c r="A13" i="5"/>
  <c r="Q12" i="5"/>
  <c r="M12" i="5"/>
  <c r="I12" i="5"/>
  <c r="E12" i="5"/>
  <c r="A12" i="5"/>
  <c r="Q11" i="5"/>
  <c r="M11" i="5"/>
  <c r="I11" i="5"/>
  <c r="E11" i="5"/>
  <c r="A11" i="5"/>
  <c r="Q10" i="5"/>
  <c r="M10" i="5"/>
  <c r="I10" i="5"/>
  <c r="E10" i="5"/>
  <c r="A10" i="5"/>
  <c r="Q9" i="5"/>
  <c r="M9" i="5"/>
  <c r="I9" i="5"/>
  <c r="E9" i="5"/>
  <c r="A9" i="5"/>
  <c r="Q8" i="5"/>
  <c r="M8" i="5"/>
  <c r="I8" i="5"/>
  <c r="E8" i="5"/>
  <c r="A8" i="5"/>
  <c r="Q7" i="5"/>
  <c r="M7" i="5"/>
  <c r="I7" i="5"/>
  <c r="E7" i="5"/>
  <c r="A7" i="5"/>
  <c r="Q6" i="5"/>
  <c r="M6" i="5"/>
  <c r="I6" i="5"/>
  <c r="E6" i="5"/>
  <c r="A6" i="5"/>
  <c r="Q5" i="5"/>
  <c r="M5" i="5"/>
  <c r="I5" i="5"/>
  <c r="E5" i="5"/>
  <c r="A5" i="5"/>
  <c r="Q4" i="5"/>
  <c r="M4" i="5"/>
  <c r="I4" i="5"/>
  <c r="E4" i="5"/>
  <c r="A4" i="5"/>
  <c r="Q3" i="5"/>
  <c r="M3" i="5"/>
  <c r="I3" i="5"/>
  <c r="E3" i="5"/>
  <c r="A3" i="5"/>
  <c r="Q2" i="5"/>
  <c r="M2" i="5"/>
  <c r="I2" i="5"/>
  <c r="E2" i="5"/>
  <c r="A2" i="5"/>
  <c r="N102" i="4"/>
  <c r="P101" i="4"/>
  <c r="L101" i="4"/>
  <c r="N100" i="4"/>
  <c r="P99" i="4"/>
  <c r="L99" i="4"/>
  <c r="N98" i="4"/>
  <c r="P97" i="4"/>
  <c r="L97" i="4"/>
  <c r="N96" i="4"/>
  <c r="P95" i="4"/>
  <c r="L95" i="4"/>
  <c r="N94" i="4"/>
  <c r="P93" i="4"/>
  <c r="L93" i="4"/>
  <c r="N92" i="4"/>
  <c r="P91" i="4"/>
  <c r="L91" i="4"/>
  <c r="N90" i="4"/>
  <c r="P89" i="4"/>
  <c r="L89" i="4"/>
  <c r="N88" i="4"/>
  <c r="P87" i="4"/>
  <c r="L87" i="4"/>
  <c r="N86" i="4"/>
  <c r="P85" i="4"/>
  <c r="L85" i="4"/>
  <c r="N84" i="4"/>
  <c r="P83" i="4"/>
  <c r="L83" i="4"/>
  <c r="N82" i="4"/>
  <c r="P81" i="4"/>
  <c r="L81" i="4"/>
  <c r="N80" i="4"/>
  <c r="P79" i="4"/>
  <c r="L79" i="4"/>
  <c r="N78" i="4"/>
  <c r="P77" i="4"/>
  <c r="L77" i="4"/>
  <c r="N76" i="4"/>
  <c r="P75" i="4"/>
  <c r="L75" i="4"/>
  <c r="N74" i="4"/>
  <c r="P73" i="4"/>
  <c r="L73" i="4"/>
  <c r="N72" i="4"/>
  <c r="P71" i="4"/>
  <c r="L71" i="4"/>
  <c r="N70" i="4"/>
  <c r="P69" i="4"/>
  <c r="L69" i="4"/>
  <c r="N68" i="4"/>
  <c r="P67" i="4"/>
  <c r="L67" i="4"/>
  <c r="N66" i="4"/>
  <c r="P65" i="4"/>
  <c r="L65" i="4"/>
  <c r="N64" i="4"/>
  <c r="P63" i="4"/>
  <c r="L63" i="4"/>
  <c r="N62" i="4"/>
  <c r="P61" i="4"/>
  <c r="L61" i="4"/>
  <c r="N60" i="4"/>
  <c r="P59" i="4"/>
  <c r="L59" i="4"/>
  <c r="N58" i="4"/>
  <c r="P57" i="4"/>
  <c r="L57" i="4"/>
  <c r="N56" i="4"/>
  <c r="L55" i="4"/>
  <c r="N54" i="4"/>
  <c r="P53" i="4"/>
  <c r="L53" i="4"/>
  <c r="N52" i="4"/>
  <c r="P51" i="4"/>
  <c r="N50" i="4"/>
  <c r="L49" i="4"/>
  <c r="L47" i="4"/>
  <c r="P45" i="4"/>
  <c r="P43" i="4"/>
  <c r="N42" i="4"/>
  <c r="N40" i="4"/>
  <c r="N38" i="4"/>
  <c r="N36" i="4"/>
  <c r="L35" i="4"/>
  <c r="L33" i="4"/>
  <c r="L32" i="4"/>
  <c r="W31" i="4"/>
  <c r="O31" i="4"/>
  <c r="G31" i="4"/>
  <c r="N30" i="4"/>
  <c r="F30" i="4"/>
  <c r="U29" i="4"/>
  <c r="Q29" i="4"/>
  <c r="E29" i="4"/>
  <c r="P28" i="4"/>
  <c r="H28" i="4"/>
  <c r="S27" i="4"/>
  <c r="K27" i="4"/>
  <c r="R26" i="4"/>
  <c r="F26" i="4"/>
  <c r="Q25" i="4"/>
  <c r="M25" i="4"/>
  <c r="T24" i="4"/>
  <c r="L24" i="4"/>
  <c r="W23" i="4"/>
  <c r="K23" i="4"/>
  <c r="R22" i="4"/>
  <c r="J22" i="4"/>
  <c r="Q21" i="4"/>
  <c r="E21" i="4"/>
  <c r="P20" i="4"/>
  <c r="W19" i="4"/>
  <c r="O19" i="4"/>
  <c r="V18" i="4"/>
  <c r="N18" i="4"/>
  <c r="F18" i="4"/>
  <c r="Q17" i="4"/>
  <c r="E17" i="4"/>
  <c r="P16" i="4"/>
  <c r="W15" i="4"/>
  <c r="K15" i="4"/>
  <c r="R14" i="4"/>
  <c r="J14" i="4"/>
  <c r="M13" i="4"/>
  <c r="I13" i="4"/>
  <c r="P12" i="4"/>
  <c r="W11" i="4"/>
  <c r="K11" i="4"/>
  <c r="U9" i="4"/>
  <c r="M9" i="4"/>
  <c r="E9" i="4"/>
  <c r="T8" i="4"/>
  <c r="L8" i="4"/>
  <c r="S7" i="4"/>
  <c r="K7" i="4"/>
  <c r="R6" i="4"/>
  <c r="J6" i="4"/>
  <c r="M5" i="4"/>
  <c r="E5" i="4"/>
  <c r="T4" i="4"/>
  <c r="H4" i="4"/>
  <c r="S3" i="4"/>
  <c r="O3" i="4"/>
  <c r="G3" i="4"/>
  <c r="S2" i="4"/>
  <c r="O2" i="4"/>
  <c r="E219" i="5"/>
  <c r="I218" i="5"/>
  <c r="M217" i="5"/>
  <c r="Q216" i="5"/>
  <c r="A216" i="5"/>
  <c r="E215" i="5"/>
  <c r="I214" i="5"/>
  <c r="M213" i="5"/>
  <c r="Q212" i="5"/>
  <c r="A212" i="5"/>
  <c r="E211" i="5"/>
  <c r="I210" i="5"/>
  <c r="M209" i="5"/>
  <c r="Q208" i="5"/>
  <c r="A208" i="5"/>
  <c r="E207" i="5"/>
  <c r="I206" i="5"/>
  <c r="M205" i="5"/>
  <c r="Q204" i="5"/>
  <c r="A204" i="5"/>
  <c r="E203" i="5"/>
  <c r="I202" i="5"/>
  <c r="M201" i="5"/>
  <c r="Q200" i="5"/>
  <c r="A200" i="5"/>
  <c r="E199" i="5"/>
  <c r="I198" i="5"/>
  <c r="M197" i="5"/>
  <c r="Q196" i="5"/>
  <c r="A196" i="5"/>
  <c r="E195" i="5"/>
  <c r="I194" i="5"/>
  <c r="M193" i="5"/>
  <c r="Q192" i="5"/>
  <c r="A192" i="5"/>
  <c r="E191" i="5"/>
  <c r="I190" i="5"/>
  <c r="M189" i="5"/>
  <c r="Q188" i="5"/>
  <c r="A188" i="5"/>
  <c r="E187" i="5"/>
  <c r="I186" i="5"/>
  <c r="M185" i="5"/>
  <c r="Q184" i="5"/>
  <c r="A184" i="5"/>
  <c r="E183" i="5"/>
  <c r="I182" i="5"/>
  <c r="M181" i="5"/>
  <c r="Q180" i="5"/>
  <c r="M364" i="5"/>
  <c r="I361" i="5"/>
  <c r="E358" i="5"/>
  <c r="A355" i="5"/>
  <c r="Q351" i="5"/>
  <c r="L349" i="5"/>
  <c r="L347" i="5"/>
  <c r="L345" i="5"/>
  <c r="L343" i="5"/>
  <c r="L341" i="5"/>
  <c r="L339" i="5"/>
  <c r="L337" i="5"/>
  <c r="L335" i="5"/>
  <c r="L333" i="5"/>
  <c r="L331" i="5"/>
  <c r="L329" i="5"/>
  <c r="L327" i="5"/>
  <c r="L325" i="5"/>
  <c r="L323" i="5"/>
  <c r="L321" i="5"/>
  <c r="L319" i="5"/>
  <c r="L317" i="5"/>
  <c r="L315" i="5"/>
  <c r="L313" i="5"/>
  <c r="L311" i="5"/>
  <c r="L309" i="5"/>
  <c r="L307" i="5"/>
  <c r="L305" i="5"/>
  <c r="L303" i="5"/>
  <c r="L301" i="5"/>
  <c r="L299" i="5"/>
  <c r="L297" i="5"/>
  <c r="L295" i="5"/>
  <c r="L293" i="5"/>
  <c r="L291" i="5"/>
  <c r="L289" i="5"/>
  <c r="L287" i="5"/>
  <c r="L285" i="5"/>
  <c r="L283" i="5"/>
  <c r="L281" i="5"/>
  <c r="L279" i="5"/>
  <c r="L277" i="5"/>
  <c r="L275" i="5"/>
  <c r="L273" i="5"/>
  <c r="L271" i="5"/>
  <c r="L269" i="5"/>
  <c r="L267" i="5"/>
  <c r="L265" i="5"/>
  <c r="L263" i="5"/>
  <c r="L261" i="5"/>
  <c r="L259" i="5"/>
  <c r="L257" i="5"/>
  <c r="L255" i="5"/>
  <c r="L253" i="5"/>
  <c r="L251" i="5"/>
  <c r="L249" i="5"/>
  <c r="L247" i="5"/>
  <c r="L245" i="5"/>
  <c r="L243" i="5"/>
  <c r="L241" i="5"/>
  <c r="L239" i="5"/>
  <c r="L237" i="5"/>
  <c r="L235" i="5"/>
  <c r="L233" i="5"/>
  <c r="L231" i="5"/>
  <c r="L229" i="5"/>
  <c r="L227" i="5"/>
  <c r="L225" i="5"/>
  <c r="L223" i="5"/>
  <c r="L221" i="5"/>
  <c r="L219" i="5"/>
  <c r="L217" i="5"/>
  <c r="L215" i="5"/>
  <c r="L213" i="5"/>
  <c r="L211" i="5"/>
  <c r="L209" i="5"/>
  <c r="L207" i="5"/>
  <c r="L205" i="5"/>
  <c r="L203" i="5"/>
  <c r="L201" i="5"/>
  <c r="L199" i="5"/>
  <c r="L197" i="5"/>
  <c r="L195" i="5"/>
  <c r="L193" i="5"/>
  <c r="L191" i="5"/>
  <c r="L189" i="5"/>
  <c r="L187" i="5"/>
  <c r="L185" i="5"/>
  <c r="L183" i="5"/>
  <c r="L181" i="5"/>
  <c r="R179" i="5"/>
  <c r="B179" i="5"/>
  <c r="D178" i="5"/>
  <c r="F177" i="5"/>
  <c r="H176" i="5"/>
  <c r="J175" i="5"/>
  <c r="L174" i="5"/>
  <c r="N173" i="5"/>
  <c r="P172" i="5"/>
  <c r="R171" i="5"/>
  <c r="B171" i="5"/>
  <c r="D170" i="5"/>
  <c r="F169" i="5"/>
  <c r="H168" i="5"/>
  <c r="J167" i="5"/>
  <c r="L166" i="5"/>
  <c r="N165" i="5"/>
  <c r="P164" i="5"/>
  <c r="R163" i="5"/>
  <c r="B163" i="5"/>
  <c r="D162" i="5"/>
  <c r="F161" i="5"/>
  <c r="H160" i="5"/>
  <c r="J159" i="5"/>
  <c r="L158" i="5"/>
  <c r="N157" i="5"/>
  <c r="P156" i="5"/>
  <c r="R155" i="5"/>
  <c r="B155" i="5"/>
  <c r="D154" i="5"/>
  <c r="F153" i="5"/>
  <c r="H152" i="5"/>
  <c r="J151" i="5"/>
  <c r="L150" i="5"/>
  <c r="N149" i="5"/>
  <c r="P148" i="5"/>
  <c r="R147" i="5"/>
  <c r="B147" i="5"/>
  <c r="D146" i="5"/>
  <c r="F145" i="5"/>
  <c r="H144" i="5"/>
  <c r="J143" i="5"/>
  <c r="L142" i="5"/>
  <c r="N141" i="5"/>
  <c r="P140" i="5"/>
  <c r="R139" i="5"/>
  <c r="B139" i="5"/>
  <c r="D138" i="5"/>
  <c r="F137" i="5"/>
  <c r="H136" i="5"/>
  <c r="J135" i="5"/>
  <c r="L134" i="5"/>
  <c r="N133" i="5"/>
  <c r="P132" i="5"/>
  <c r="R131" i="5"/>
  <c r="B131" i="5"/>
  <c r="D130" i="5"/>
  <c r="F129" i="5"/>
  <c r="H128" i="5"/>
  <c r="J127" i="5"/>
  <c r="L126" i="5"/>
  <c r="N125" i="5"/>
  <c r="P124" i="5"/>
  <c r="R123" i="5"/>
  <c r="B123" i="5"/>
  <c r="D122" i="5"/>
  <c r="F121" i="5"/>
  <c r="H120" i="5"/>
  <c r="J119" i="5"/>
  <c r="L118" i="5"/>
  <c r="N117" i="5"/>
  <c r="P116" i="5"/>
  <c r="R115" i="5"/>
  <c r="B115" i="5"/>
  <c r="D114" i="5"/>
  <c r="F113" i="5"/>
  <c r="H112" i="5"/>
  <c r="J111" i="5"/>
  <c r="L110" i="5"/>
  <c r="N109" i="5"/>
  <c r="P108" i="5"/>
  <c r="R107" i="5"/>
  <c r="B107" i="5"/>
  <c r="D106" i="5"/>
  <c r="F105" i="5"/>
  <c r="H104" i="5"/>
  <c r="J103" i="5"/>
  <c r="L102" i="5"/>
  <c r="N101" i="5"/>
  <c r="P100" i="5"/>
  <c r="R99" i="5"/>
  <c r="B99" i="5"/>
  <c r="D98" i="5"/>
  <c r="F97" i="5"/>
  <c r="H96" i="5"/>
  <c r="J95" i="5"/>
  <c r="L94" i="5"/>
  <c r="N93" i="5"/>
  <c r="P92" i="5"/>
  <c r="R91" i="5"/>
  <c r="B91" i="5"/>
  <c r="D90" i="5"/>
  <c r="F89" i="5"/>
  <c r="H88" i="5"/>
  <c r="J87" i="5"/>
  <c r="L86" i="5"/>
  <c r="N85" i="5"/>
  <c r="P84" i="5"/>
  <c r="R83" i="5"/>
  <c r="B83" i="5"/>
  <c r="D82" i="5"/>
  <c r="F81" i="5"/>
  <c r="H80" i="5"/>
  <c r="J79" i="5"/>
  <c r="L78" i="5"/>
  <c r="N77" i="5"/>
  <c r="P76" i="5"/>
  <c r="R75" i="5"/>
  <c r="B75" i="5"/>
  <c r="D74" i="5"/>
  <c r="F73" i="5"/>
  <c r="H72" i="5"/>
  <c r="J71" i="5"/>
  <c r="L70" i="5"/>
  <c r="N69" i="5"/>
  <c r="P68" i="5"/>
  <c r="R67" i="5"/>
  <c r="B67" i="5"/>
  <c r="D66" i="5"/>
  <c r="F65" i="5"/>
  <c r="H64" i="5"/>
  <c r="J63" i="5"/>
  <c r="L62" i="5"/>
  <c r="N61" i="5"/>
  <c r="P60" i="5"/>
  <c r="R59" i="5"/>
  <c r="B59" i="5"/>
  <c r="D58" i="5"/>
  <c r="F57" i="5"/>
  <c r="H56" i="5"/>
  <c r="J55" i="5"/>
  <c r="L54" i="5"/>
  <c r="N53" i="5"/>
  <c r="P52" i="5"/>
  <c r="R51" i="5"/>
  <c r="B51" i="5"/>
  <c r="D50" i="5"/>
  <c r="F49" i="5"/>
  <c r="H48" i="5"/>
  <c r="J47" i="5"/>
  <c r="L46" i="5"/>
  <c r="N45" i="5"/>
  <c r="P44" i="5"/>
  <c r="R43" i="5"/>
  <c r="B43" i="5"/>
  <c r="D42" i="5"/>
  <c r="F41" i="5"/>
  <c r="H40" i="5"/>
  <c r="J39" i="5"/>
  <c r="L38" i="5"/>
  <c r="N37" i="5"/>
  <c r="P36" i="5"/>
  <c r="R35" i="5"/>
  <c r="B35" i="5"/>
  <c r="D34" i="5"/>
  <c r="F33" i="5"/>
  <c r="H32" i="5"/>
  <c r="J31" i="5"/>
  <c r="L30" i="5"/>
  <c r="N29" i="5"/>
  <c r="P28" i="5"/>
  <c r="R27" i="5"/>
  <c r="B27" i="5"/>
  <c r="D26" i="5"/>
  <c r="F25" i="5"/>
  <c r="H24" i="5"/>
  <c r="J23" i="5"/>
  <c r="L22" i="5"/>
  <c r="N21" i="5"/>
  <c r="P20" i="5"/>
  <c r="R19" i="5"/>
  <c r="B19" i="5"/>
  <c r="J18" i="5"/>
  <c r="B18" i="5"/>
  <c r="L17" i="5"/>
  <c r="D17" i="5"/>
  <c r="N16" i="5"/>
  <c r="F16" i="5"/>
  <c r="P15" i="5"/>
  <c r="H15" i="5"/>
  <c r="R14" i="5"/>
  <c r="J14" i="5"/>
  <c r="B14" i="5"/>
  <c r="L13" i="5"/>
  <c r="D13" i="5"/>
  <c r="N12" i="5"/>
  <c r="F12" i="5"/>
  <c r="P11" i="5"/>
  <c r="H11" i="5"/>
  <c r="R10" i="5"/>
  <c r="J10" i="5"/>
  <c r="B10" i="5"/>
  <c r="L9" i="5"/>
  <c r="D9" i="5"/>
  <c r="N8" i="5"/>
  <c r="F8" i="5"/>
  <c r="P7" i="5"/>
  <c r="H7" i="5"/>
  <c r="R6" i="5"/>
  <c r="J6" i="5"/>
  <c r="B6" i="5"/>
  <c r="L5" i="5"/>
  <c r="D5" i="5"/>
  <c r="N4" i="5"/>
  <c r="F4" i="5"/>
  <c r="P3" i="5"/>
  <c r="H3" i="5"/>
  <c r="R2" i="5"/>
  <c r="J2" i="5"/>
  <c r="B2" i="5"/>
  <c r="Q101" i="4"/>
  <c r="O100" i="4"/>
  <c r="M99" i="4"/>
  <c r="Q97" i="4"/>
  <c r="O96" i="4"/>
  <c r="M95" i="4"/>
  <c r="Q93" i="4"/>
  <c r="O92" i="4"/>
  <c r="M91" i="4"/>
  <c r="Q89" i="4"/>
  <c r="O88" i="4"/>
  <c r="M87" i="4"/>
  <c r="Q85" i="4"/>
  <c r="O84" i="4"/>
  <c r="M83" i="4"/>
  <c r="Q81" i="4"/>
  <c r="O80" i="4"/>
  <c r="M79" i="4"/>
  <c r="Q77" i="4"/>
  <c r="O76" i="4"/>
  <c r="M75" i="4"/>
  <c r="Q73" i="4"/>
  <c r="O72" i="4"/>
  <c r="M71" i="4"/>
  <c r="Q69" i="4"/>
  <c r="O68" i="4"/>
  <c r="M67" i="4"/>
  <c r="Q65" i="4"/>
  <c r="O64" i="4"/>
  <c r="M63" i="4"/>
  <c r="Q61" i="4"/>
  <c r="O60" i="4"/>
  <c r="M59" i="4"/>
  <c r="Q57" i="4"/>
  <c r="O56" i="4"/>
  <c r="M55" i="4"/>
  <c r="Q53" i="4"/>
  <c r="O52" i="4"/>
  <c r="M51" i="4"/>
  <c r="Q49" i="4"/>
  <c r="O48" i="4"/>
  <c r="M47" i="4"/>
  <c r="Q45" i="4"/>
  <c r="O44" i="4"/>
  <c r="M43" i="4"/>
  <c r="Q41" i="4"/>
  <c r="O40" i="4"/>
  <c r="M39" i="4"/>
  <c r="Q37" i="4"/>
  <c r="O36" i="4"/>
  <c r="M35" i="4"/>
  <c r="Q33" i="4"/>
  <c r="U32" i="4"/>
  <c r="M32" i="4"/>
  <c r="E32" i="4"/>
  <c r="P31" i="4"/>
  <c r="H31" i="4"/>
  <c r="S30" i="4"/>
  <c r="K30" i="4"/>
  <c r="V29" i="4"/>
  <c r="N29" i="4"/>
  <c r="F29" i="4"/>
  <c r="Q28" i="4"/>
  <c r="I28" i="4"/>
  <c r="T27" i="4"/>
  <c r="L27" i="4"/>
  <c r="W26" i="4"/>
  <c r="O26" i="4"/>
  <c r="G26" i="4"/>
  <c r="R25" i="4"/>
  <c r="J25" i="4"/>
  <c r="U24" i="4"/>
  <c r="M24" i="4"/>
  <c r="E24" i="4"/>
  <c r="P23" i="4"/>
  <c r="H23" i="4"/>
  <c r="S22" i="4"/>
  <c r="K22" i="4"/>
  <c r="V21" i="4"/>
  <c r="N21" i="4"/>
  <c r="F21" i="4"/>
  <c r="Q20" i="4"/>
  <c r="I20" i="4"/>
  <c r="T19" i="4"/>
  <c r="L19" i="4"/>
  <c r="W18" i="4"/>
  <c r="O18" i="4"/>
  <c r="G18" i="4"/>
  <c r="R17" i="4"/>
  <c r="J17" i="4"/>
  <c r="U16" i="4"/>
  <c r="M16" i="4"/>
  <c r="E16" i="4"/>
  <c r="P15" i="4"/>
  <c r="H15" i="4"/>
  <c r="S14" i="4"/>
  <c r="K14" i="4"/>
  <c r="V13" i="4"/>
  <c r="N13" i="4"/>
  <c r="F13" i="4"/>
  <c r="Q12" i="4"/>
  <c r="I12" i="4"/>
  <c r="T11" i="4"/>
  <c r="L11" i="4"/>
  <c r="W10" i="4"/>
  <c r="O10" i="4"/>
  <c r="G10" i="4"/>
  <c r="R9" i="4"/>
  <c r="J9" i="4"/>
  <c r="U8" i="4"/>
  <c r="M8" i="4"/>
  <c r="E8" i="4"/>
  <c r="P7" i="4"/>
  <c r="H7" i="4"/>
  <c r="S6" i="4"/>
  <c r="K6" i="4"/>
  <c r="V5" i="4"/>
  <c r="N5" i="4"/>
  <c r="F5" i="4"/>
  <c r="Q4" i="4"/>
  <c r="I4" i="4"/>
  <c r="T3" i="4"/>
  <c r="L3" i="4"/>
  <c r="V2" i="4"/>
  <c r="N2" i="4"/>
  <c r="A364" i="5"/>
  <c r="I362" i="5"/>
  <c r="Q360" i="5"/>
  <c r="E359" i="5"/>
  <c r="M357" i="5"/>
  <c r="A356" i="5"/>
  <c r="I354" i="5"/>
  <c r="Q352" i="5"/>
  <c r="F351" i="5"/>
  <c r="J350" i="5"/>
  <c r="N349" i="5"/>
  <c r="R348" i="5"/>
  <c r="B348" i="5"/>
  <c r="F347" i="5"/>
  <c r="J346" i="5"/>
  <c r="N345" i="5"/>
  <c r="R344" i="5"/>
  <c r="B344" i="5"/>
  <c r="F343" i="5"/>
  <c r="J342" i="5"/>
  <c r="N341" i="5"/>
  <c r="R340" i="5"/>
  <c r="B340" i="5"/>
  <c r="F339" i="5"/>
  <c r="J338" i="5"/>
  <c r="N337" i="5"/>
  <c r="R336" i="5"/>
  <c r="B336" i="5"/>
  <c r="F335" i="5"/>
  <c r="J334" i="5"/>
  <c r="N333" i="5"/>
  <c r="R332" i="5"/>
  <c r="B332" i="5"/>
  <c r="F331" i="5"/>
  <c r="J330" i="5"/>
  <c r="N329" i="5"/>
  <c r="R328" i="5"/>
  <c r="B328" i="5"/>
  <c r="F327" i="5"/>
  <c r="J326" i="5"/>
  <c r="N325" i="5"/>
  <c r="R324" i="5"/>
  <c r="B324" i="5"/>
  <c r="F323" i="5"/>
  <c r="J322" i="5"/>
  <c r="N321" i="5"/>
  <c r="R320" i="5"/>
  <c r="B320" i="5"/>
  <c r="F319" i="5"/>
  <c r="J318" i="5"/>
  <c r="N317" i="5"/>
  <c r="R316" i="5"/>
  <c r="B316" i="5"/>
  <c r="F315" i="5"/>
  <c r="J314" i="5"/>
  <c r="N313" i="5"/>
  <c r="R312" i="5"/>
  <c r="B312" i="5"/>
  <c r="F311" i="5"/>
  <c r="J310" i="5"/>
  <c r="N309" i="5"/>
  <c r="R308" i="5"/>
  <c r="B308" i="5"/>
  <c r="F307" i="5"/>
  <c r="J306" i="5"/>
  <c r="N305" i="5"/>
  <c r="R304" i="5"/>
  <c r="B304" i="5"/>
  <c r="F303" i="5"/>
  <c r="J302" i="5"/>
  <c r="N301" i="5"/>
  <c r="R300" i="5"/>
  <c r="B300" i="5"/>
  <c r="F299" i="5"/>
  <c r="J298" i="5"/>
  <c r="N297" i="5"/>
  <c r="R296" i="5"/>
  <c r="B296" i="5"/>
  <c r="F295" i="5"/>
  <c r="J294" i="5"/>
  <c r="N293" i="5"/>
  <c r="R292" i="5"/>
  <c r="B292" i="5"/>
  <c r="F291" i="5"/>
  <c r="J290" i="5"/>
  <c r="N289" i="5"/>
  <c r="R288" i="5"/>
  <c r="B288" i="5"/>
  <c r="F287" i="5"/>
  <c r="J286" i="5"/>
  <c r="N285" i="5"/>
  <c r="R284" i="5"/>
  <c r="B284" i="5"/>
  <c r="F283" i="5"/>
  <c r="J282" i="5"/>
  <c r="N281" i="5"/>
  <c r="R280" i="5"/>
  <c r="B280" i="5"/>
  <c r="F279" i="5"/>
  <c r="J278" i="5"/>
  <c r="N277" i="5"/>
  <c r="R276" i="5"/>
  <c r="B276" i="5"/>
  <c r="F275" i="5"/>
  <c r="J274" i="5"/>
  <c r="N273" i="5"/>
  <c r="R272" i="5"/>
  <c r="B272" i="5"/>
  <c r="F271" i="5"/>
  <c r="J270" i="5"/>
  <c r="N269" i="5"/>
  <c r="R268" i="5"/>
  <c r="B268" i="5"/>
  <c r="F267" i="5"/>
  <c r="J266" i="5"/>
  <c r="N265" i="5"/>
  <c r="R264" i="5"/>
  <c r="B264" i="5"/>
  <c r="F263" i="5"/>
  <c r="J262" i="5"/>
  <c r="N261" i="5"/>
  <c r="R260" i="5"/>
  <c r="B260" i="5"/>
  <c r="F259" i="5"/>
  <c r="J258" i="5"/>
  <c r="N257" i="5"/>
  <c r="R256" i="5"/>
  <c r="B256" i="5"/>
  <c r="F255" i="5"/>
  <c r="J254" i="5"/>
  <c r="N253" i="5"/>
  <c r="R252" i="5"/>
  <c r="B252" i="5"/>
  <c r="F251" i="5"/>
  <c r="J250" i="5"/>
  <c r="N249" i="5"/>
  <c r="R248" i="5"/>
  <c r="B248" i="5"/>
  <c r="F247" i="5"/>
  <c r="J246" i="5"/>
  <c r="N245" i="5"/>
  <c r="R244" i="5"/>
  <c r="B244" i="5"/>
  <c r="F243" i="5"/>
  <c r="J242" i="5"/>
  <c r="N241" i="5"/>
  <c r="R240" i="5"/>
  <c r="B240" i="5"/>
  <c r="F239" i="5"/>
  <c r="J238" i="5"/>
  <c r="N237" i="5"/>
  <c r="R236" i="5"/>
  <c r="B236" i="5"/>
  <c r="F235" i="5"/>
  <c r="J234" i="5"/>
  <c r="N233" i="5"/>
  <c r="R232" i="5"/>
  <c r="B232" i="5"/>
  <c r="F231" i="5"/>
  <c r="J230" i="5"/>
  <c r="N229" i="5"/>
  <c r="R228" i="5"/>
  <c r="B228" i="5"/>
  <c r="F227" i="5"/>
  <c r="J226" i="5"/>
  <c r="N225" i="5"/>
  <c r="R224" i="5"/>
  <c r="B224" i="5"/>
  <c r="F223" i="5"/>
  <c r="J222" i="5"/>
  <c r="N221" i="5"/>
  <c r="R220" i="5"/>
  <c r="B220" i="5"/>
  <c r="F219" i="5"/>
  <c r="J218" i="5"/>
  <c r="N217" i="5"/>
  <c r="R216" i="5"/>
  <c r="B216" i="5"/>
  <c r="F215" i="5"/>
  <c r="J214" i="5"/>
  <c r="N213" i="5"/>
  <c r="R212" i="5"/>
  <c r="B212" i="5"/>
  <c r="F211" i="5"/>
  <c r="J210" i="5"/>
  <c r="N209" i="5"/>
  <c r="R208" i="5"/>
  <c r="B208" i="5"/>
  <c r="F207" i="5"/>
  <c r="J206" i="5"/>
  <c r="N205" i="5"/>
  <c r="R204" i="5"/>
  <c r="B204" i="5"/>
  <c r="F203" i="5"/>
  <c r="J202" i="5"/>
  <c r="N201" i="5"/>
  <c r="R200" i="5"/>
  <c r="B200" i="5"/>
  <c r="F199" i="5"/>
  <c r="J198" i="5"/>
  <c r="N197" i="5"/>
  <c r="R196" i="5"/>
  <c r="B196" i="5"/>
  <c r="F195" i="5"/>
  <c r="J194" i="5"/>
  <c r="N193" i="5"/>
  <c r="R192" i="5"/>
  <c r="B192" i="5"/>
  <c r="F191" i="5"/>
  <c r="J190" i="5"/>
  <c r="N189" i="5"/>
  <c r="R188" i="5"/>
  <c r="B188" i="5"/>
  <c r="F187" i="5"/>
  <c r="J186" i="5"/>
  <c r="N185" i="5"/>
  <c r="R184" i="5"/>
  <c r="B184" i="5"/>
  <c r="F183" i="5"/>
  <c r="J182" i="5"/>
  <c r="N181" i="5"/>
  <c r="R180" i="5"/>
  <c r="C180" i="5"/>
  <c r="O179" i="5"/>
  <c r="G179" i="5"/>
  <c r="S178" i="5"/>
  <c r="K178" i="5"/>
  <c r="C178" i="5"/>
  <c r="O177" i="5"/>
  <c r="G177" i="5"/>
  <c r="S176" i="5"/>
  <c r="K176" i="5"/>
  <c r="C176" i="5"/>
  <c r="O175" i="5"/>
  <c r="G175" i="5"/>
  <c r="S174" i="5"/>
  <c r="K174" i="5"/>
  <c r="C174" i="5"/>
  <c r="O173" i="5"/>
  <c r="G173" i="5"/>
  <c r="S172" i="5"/>
  <c r="K172" i="5"/>
  <c r="C172" i="5"/>
  <c r="O171" i="5"/>
  <c r="G171" i="5"/>
  <c r="S170" i="5"/>
  <c r="K170" i="5"/>
  <c r="C170" i="5"/>
  <c r="O169" i="5"/>
  <c r="G169" i="5"/>
  <c r="S168" i="5"/>
  <c r="K168" i="5"/>
  <c r="C168" i="5"/>
  <c r="O167" i="5"/>
  <c r="G167" i="5"/>
  <c r="S166" i="5"/>
  <c r="K166" i="5"/>
  <c r="C166" i="5"/>
  <c r="O165" i="5"/>
  <c r="G165" i="5"/>
  <c r="S164" i="5"/>
  <c r="K164" i="5"/>
  <c r="C164" i="5"/>
  <c r="O163" i="5"/>
  <c r="G163" i="5"/>
  <c r="S162" i="5"/>
  <c r="K162" i="5"/>
  <c r="C162" i="5"/>
  <c r="O161" i="5"/>
  <c r="G161" i="5"/>
  <c r="S160" i="5"/>
  <c r="K160" i="5"/>
  <c r="C160" i="5"/>
  <c r="O159" i="5"/>
  <c r="G159" i="5"/>
  <c r="S158" i="5"/>
  <c r="K158" i="5"/>
  <c r="C158" i="5"/>
  <c r="O157" i="5"/>
  <c r="G157" i="5"/>
  <c r="S156" i="5"/>
  <c r="K156" i="5"/>
  <c r="C156" i="5"/>
  <c r="O155" i="5"/>
  <c r="G155" i="5"/>
  <c r="S154" i="5"/>
  <c r="K154" i="5"/>
  <c r="C154" i="5"/>
  <c r="O153" i="5"/>
  <c r="G153" i="5"/>
  <c r="S152" i="5"/>
  <c r="K152" i="5"/>
  <c r="C152" i="5"/>
  <c r="O151" i="5"/>
  <c r="G151" i="5"/>
  <c r="S150" i="5"/>
  <c r="K150" i="5"/>
  <c r="C150" i="5"/>
  <c r="O149" i="5"/>
  <c r="G149" i="5"/>
  <c r="S148" i="5"/>
  <c r="K148" i="5"/>
  <c r="C148" i="5"/>
  <c r="O147" i="5"/>
  <c r="G147" i="5"/>
  <c r="S146" i="5"/>
  <c r="K146" i="5"/>
  <c r="C146" i="5"/>
  <c r="O145" i="5"/>
  <c r="G145" i="5"/>
  <c r="S144" i="5"/>
  <c r="K144" i="5"/>
  <c r="C144" i="5"/>
  <c r="O143" i="5"/>
  <c r="G143" i="5"/>
  <c r="S142" i="5"/>
  <c r="K142" i="5"/>
  <c r="C142" i="5"/>
  <c r="O141" i="5"/>
  <c r="G141" i="5"/>
  <c r="S140" i="5"/>
  <c r="K140" i="5"/>
  <c r="C140" i="5"/>
  <c r="O139" i="5"/>
  <c r="G139" i="5"/>
  <c r="S138" i="5"/>
  <c r="K138" i="5"/>
  <c r="C138" i="5"/>
  <c r="O137" i="5"/>
  <c r="G137" i="5"/>
  <c r="S136" i="5"/>
  <c r="K136" i="5"/>
  <c r="C136" i="5"/>
  <c r="O135" i="5"/>
  <c r="G135" i="5"/>
  <c r="S134" i="5"/>
  <c r="K134" i="5"/>
  <c r="C134" i="5"/>
  <c r="O133" i="5"/>
  <c r="G133" i="5"/>
  <c r="S132" i="5"/>
  <c r="K132" i="5"/>
  <c r="C132" i="5"/>
  <c r="O131" i="5"/>
  <c r="G131" i="5"/>
  <c r="S130" i="5"/>
  <c r="K130" i="5"/>
  <c r="C130" i="5"/>
  <c r="O129" i="5"/>
  <c r="G129" i="5"/>
  <c r="S128" i="5"/>
  <c r="K128" i="5"/>
  <c r="C128" i="5"/>
  <c r="O127" i="5"/>
  <c r="G127" i="5"/>
  <c r="S126" i="5"/>
  <c r="K126" i="5"/>
  <c r="C126" i="5"/>
  <c r="O125" i="5"/>
  <c r="G125" i="5"/>
  <c r="S124" i="5"/>
  <c r="K124" i="5"/>
  <c r="C124" i="5"/>
  <c r="O123" i="5"/>
  <c r="G123" i="5"/>
  <c r="S122" i="5"/>
  <c r="K122" i="5"/>
  <c r="C122" i="5"/>
  <c r="O121" i="5"/>
  <c r="G121" i="5"/>
  <c r="S120" i="5"/>
  <c r="K120" i="5"/>
  <c r="C120" i="5"/>
  <c r="O119" i="5"/>
  <c r="G119" i="5"/>
  <c r="S118" i="5"/>
  <c r="K118" i="5"/>
  <c r="C118" i="5"/>
  <c r="O117" i="5"/>
  <c r="G117" i="5"/>
  <c r="S116" i="5"/>
  <c r="K116" i="5"/>
  <c r="C116" i="5"/>
  <c r="O115" i="5"/>
  <c r="G115" i="5"/>
  <c r="S114" i="5"/>
  <c r="K114" i="5"/>
  <c r="C114" i="5"/>
  <c r="O113" i="5"/>
  <c r="G113" i="5"/>
  <c r="S112" i="5"/>
  <c r="K112" i="5"/>
  <c r="C112" i="5"/>
  <c r="O111" i="5"/>
  <c r="G111" i="5"/>
  <c r="S110" i="5"/>
  <c r="K110" i="5"/>
  <c r="C110" i="5"/>
  <c r="O109" i="5"/>
  <c r="G109" i="5"/>
  <c r="S108" i="5"/>
  <c r="K108" i="5"/>
  <c r="C108" i="5"/>
  <c r="O107" i="5"/>
  <c r="G107" i="5"/>
  <c r="S106" i="5"/>
  <c r="K106" i="5"/>
  <c r="C106" i="5"/>
  <c r="O105" i="5"/>
  <c r="G105" i="5"/>
  <c r="S104" i="5"/>
  <c r="K104" i="5"/>
  <c r="C104" i="5"/>
  <c r="O103" i="5"/>
  <c r="G103" i="5"/>
  <c r="S102" i="5"/>
  <c r="K102" i="5"/>
  <c r="C102" i="5"/>
  <c r="O101" i="5"/>
  <c r="G101" i="5"/>
  <c r="S100" i="5"/>
  <c r="K100" i="5"/>
  <c r="C100" i="5"/>
  <c r="O99" i="5"/>
  <c r="G99" i="5"/>
  <c r="S98" i="5"/>
  <c r="K98" i="5"/>
  <c r="C98" i="5"/>
  <c r="O97" i="5"/>
  <c r="G97" i="5"/>
  <c r="S96" i="5"/>
  <c r="K96" i="5"/>
  <c r="C96" i="5"/>
  <c r="O95" i="5"/>
  <c r="G95" i="5"/>
  <c r="S94" i="5"/>
  <c r="K94" i="5"/>
  <c r="C94" i="5"/>
  <c r="O93" i="5"/>
  <c r="G93" i="5"/>
  <c r="S92" i="5"/>
  <c r="K92" i="5"/>
  <c r="C92" i="5"/>
  <c r="O91" i="5"/>
  <c r="G91" i="5"/>
  <c r="S90" i="5"/>
  <c r="K90" i="5"/>
  <c r="C90" i="5"/>
  <c r="O89" i="5"/>
  <c r="G89" i="5"/>
  <c r="S88" i="5"/>
  <c r="K88" i="5"/>
  <c r="C88" i="5"/>
  <c r="O87" i="5"/>
  <c r="G87" i="5"/>
  <c r="S86" i="5"/>
  <c r="K86" i="5"/>
  <c r="C86" i="5"/>
  <c r="O85" i="5"/>
  <c r="G85" i="5"/>
  <c r="S84" i="5"/>
  <c r="K84" i="5"/>
  <c r="C84" i="5"/>
  <c r="O83" i="5"/>
  <c r="G83" i="5"/>
  <c r="S82" i="5"/>
  <c r="K82" i="5"/>
  <c r="C82" i="5"/>
  <c r="O81" i="5"/>
  <c r="G81" i="5"/>
  <c r="S80" i="5"/>
  <c r="K80" i="5"/>
  <c r="C80" i="5"/>
  <c r="O79" i="5"/>
  <c r="G79" i="5"/>
  <c r="S78" i="5"/>
  <c r="K78" i="5"/>
  <c r="C78" i="5"/>
  <c r="O77" i="5"/>
  <c r="G77" i="5"/>
  <c r="S76" i="5"/>
  <c r="O76" i="5"/>
  <c r="K76" i="5"/>
  <c r="G76" i="5"/>
  <c r="C76" i="5"/>
  <c r="S75" i="5"/>
  <c r="O75" i="5"/>
  <c r="K75" i="5"/>
  <c r="G75" i="5"/>
  <c r="C75" i="5"/>
  <c r="S74" i="5"/>
  <c r="O74" i="5"/>
  <c r="K74" i="5"/>
  <c r="G74" i="5"/>
  <c r="C74" i="5"/>
  <c r="S73" i="5"/>
  <c r="O73" i="5"/>
  <c r="K73" i="5"/>
  <c r="G73" i="5"/>
  <c r="C73" i="5"/>
  <c r="S72" i="5"/>
  <c r="O72" i="5"/>
  <c r="K72" i="5"/>
  <c r="G72" i="5"/>
  <c r="C72" i="5"/>
  <c r="S71" i="5"/>
  <c r="O71" i="5"/>
  <c r="K71" i="5"/>
  <c r="G71" i="5"/>
  <c r="C71" i="5"/>
  <c r="S70" i="5"/>
  <c r="O70" i="5"/>
  <c r="K70" i="5"/>
  <c r="G70" i="5"/>
  <c r="C70" i="5"/>
  <c r="S69" i="5"/>
  <c r="O69" i="5"/>
  <c r="K69" i="5"/>
  <c r="G69" i="5"/>
  <c r="C69" i="5"/>
  <c r="S68" i="5"/>
  <c r="O68" i="5"/>
  <c r="K68" i="5"/>
  <c r="G68" i="5"/>
  <c r="C68" i="5"/>
  <c r="S67" i="5"/>
  <c r="O67" i="5"/>
  <c r="K67" i="5"/>
  <c r="G67" i="5"/>
  <c r="C67" i="5"/>
  <c r="S66" i="5"/>
  <c r="O66" i="5"/>
  <c r="K66" i="5"/>
  <c r="G66" i="5"/>
  <c r="C66" i="5"/>
  <c r="S65" i="5"/>
  <c r="O65" i="5"/>
  <c r="K65" i="5"/>
  <c r="G65" i="5"/>
  <c r="C65" i="5"/>
  <c r="S64" i="5"/>
  <c r="O64" i="5"/>
  <c r="K64" i="5"/>
  <c r="G64" i="5"/>
  <c r="C64" i="5"/>
  <c r="S63" i="5"/>
  <c r="O63" i="5"/>
  <c r="K63" i="5"/>
  <c r="G63" i="5"/>
  <c r="C63" i="5"/>
  <c r="S62" i="5"/>
  <c r="O62" i="5"/>
  <c r="K62" i="5"/>
  <c r="G62" i="5"/>
  <c r="C62" i="5"/>
  <c r="S61" i="5"/>
  <c r="O61" i="5"/>
  <c r="K61" i="5"/>
  <c r="G61" i="5"/>
  <c r="C61" i="5"/>
  <c r="S60" i="5"/>
  <c r="O60" i="5"/>
  <c r="K60" i="5"/>
  <c r="G60" i="5"/>
  <c r="C60" i="5"/>
  <c r="S59" i="5"/>
  <c r="O59" i="5"/>
  <c r="K59" i="5"/>
  <c r="G59" i="5"/>
  <c r="C59" i="5"/>
  <c r="S58" i="5"/>
  <c r="O58" i="5"/>
  <c r="K58" i="5"/>
  <c r="G58" i="5"/>
  <c r="C58" i="5"/>
  <c r="S57" i="5"/>
  <c r="O57" i="5"/>
  <c r="K57" i="5"/>
  <c r="G57" i="5"/>
  <c r="C57" i="5"/>
  <c r="S56" i="5"/>
  <c r="O56" i="5"/>
  <c r="K56" i="5"/>
  <c r="G56" i="5"/>
  <c r="C56" i="5"/>
  <c r="S55" i="5"/>
  <c r="O55" i="5"/>
  <c r="K55" i="5"/>
  <c r="G55" i="5"/>
  <c r="C55" i="5"/>
  <c r="S54" i="5"/>
  <c r="O54" i="5"/>
  <c r="K54" i="5"/>
  <c r="G54" i="5"/>
  <c r="C54" i="5"/>
  <c r="S53" i="5"/>
  <c r="O53" i="5"/>
  <c r="K53" i="5"/>
  <c r="G53" i="5"/>
  <c r="C53" i="5"/>
  <c r="S52" i="5"/>
  <c r="O52" i="5"/>
  <c r="K52" i="5"/>
  <c r="G52" i="5"/>
  <c r="C52" i="5"/>
  <c r="S51" i="5"/>
  <c r="O51" i="5"/>
  <c r="K51" i="5"/>
  <c r="G51" i="5"/>
  <c r="C51" i="5"/>
  <c r="S50" i="5"/>
  <c r="O50" i="5"/>
  <c r="K50" i="5"/>
  <c r="G50" i="5"/>
  <c r="C50" i="5"/>
  <c r="S49" i="5"/>
  <c r="O49" i="5"/>
  <c r="K49" i="5"/>
  <c r="G49" i="5"/>
  <c r="C49" i="5"/>
  <c r="S48" i="5"/>
  <c r="O48" i="5"/>
  <c r="K48" i="5"/>
  <c r="G48" i="5"/>
  <c r="C48" i="5"/>
  <c r="S47" i="5"/>
  <c r="O47" i="5"/>
  <c r="K47" i="5"/>
  <c r="G47" i="5"/>
  <c r="C47" i="5"/>
  <c r="S46" i="5"/>
  <c r="O46" i="5"/>
  <c r="K46" i="5"/>
  <c r="G46" i="5"/>
  <c r="C46" i="5"/>
  <c r="S45" i="5"/>
  <c r="O45" i="5"/>
  <c r="K45" i="5"/>
  <c r="G45" i="5"/>
  <c r="C45" i="5"/>
  <c r="S44" i="5"/>
  <c r="O44" i="5"/>
  <c r="K44" i="5"/>
  <c r="G44" i="5"/>
  <c r="C44" i="5"/>
  <c r="S43" i="5"/>
  <c r="O43" i="5"/>
  <c r="K43" i="5"/>
  <c r="G43" i="5"/>
  <c r="C43" i="5"/>
  <c r="S42" i="5"/>
  <c r="O42" i="5"/>
  <c r="K42" i="5"/>
  <c r="G42" i="5"/>
  <c r="C42" i="5"/>
  <c r="S41" i="5"/>
  <c r="O41" i="5"/>
  <c r="K41" i="5"/>
  <c r="G41" i="5"/>
  <c r="C41" i="5"/>
  <c r="S40" i="5"/>
  <c r="O40" i="5"/>
  <c r="K40" i="5"/>
  <c r="G40" i="5"/>
  <c r="C40" i="5"/>
  <c r="S39" i="5"/>
  <c r="O39" i="5"/>
  <c r="K39" i="5"/>
  <c r="G39" i="5"/>
  <c r="C39" i="5"/>
  <c r="S38" i="5"/>
  <c r="O38" i="5"/>
  <c r="K38" i="5"/>
  <c r="G38" i="5"/>
  <c r="C38" i="5"/>
  <c r="S37" i="5"/>
  <c r="O37" i="5"/>
  <c r="K37" i="5"/>
  <c r="G37" i="5"/>
  <c r="C37" i="5"/>
  <c r="S36" i="5"/>
  <c r="O36" i="5"/>
  <c r="K36" i="5"/>
  <c r="G36" i="5"/>
  <c r="C36" i="5"/>
  <c r="S35" i="5"/>
  <c r="O35" i="5"/>
  <c r="K35" i="5"/>
  <c r="G35" i="5"/>
  <c r="C35" i="5"/>
  <c r="S34" i="5"/>
  <c r="O34" i="5"/>
  <c r="K34" i="5"/>
  <c r="G34" i="5"/>
  <c r="C34" i="5"/>
  <c r="S33" i="5"/>
  <c r="O33" i="5"/>
  <c r="K33" i="5"/>
  <c r="G33" i="5"/>
  <c r="C33" i="5"/>
  <c r="S32" i="5"/>
  <c r="O32" i="5"/>
  <c r="K32" i="5"/>
  <c r="G32" i="5"/>
  <c r="C32" i="5"/>
  <c r="S31" i="5"/>
  <c r="O31" i="5"/>
  <c r="K31" i="5"/>
  <c r="G31" i="5"/>
  <c r="C31" i="5"/>
  <c r="S30" i="5"/>
  <c r="O30" i="5"/>
  <c r="K30" i="5"/>
  <c r="G30" i="5"/>
  <c r="C30" i="5"/>
  <c r="S29" i="5"/>
  <c r="O29" i="5"/>
  <c r="K29" i="5"/>
  <c r="G29" i="5"/>
  <c r="C29" i="5"/>
  <c r="S28" i="5"/>
  <c r="O28" i="5"/>
  <c r="K28" i="5"/>
  <c r="G28" i="5"/>
  <c r="C28" i="5"/>
  <c r="S27" i="5"/>
  <c r="O27" i="5"/>
  <c r="K27" i="5"/>
  <c r="G27" i="5"/>
  <c r="C27" i="5"/>
  <c r="S26" i="5"/>
  <c r="O26" i="5"/>
  <c r="K26" i="5"/>
  <c r="G26" i="5"/>
  <c r="C26" i="5"/>
  <c r="S25" i="5"/>
  <c r="O25" i="5"/>
  <c r="K25" i="5"/>
  <c r="G25" i="5"/>
  <c r="C25" i="5"/>
  <c r="S24" i="5"/>
  <c r="O24" i="5"/>
  <c r="K24" i="5"/>
  <c r="G24" i="5"/>
  <c r="C24" i="5"/>
  <c r="S23" i="5"/>
  <c r="O23" i="5"/>
  <c r="K23" i="5"/>
  <c r="G23" i="5"/>
  <c r="C23" i="5"/>
  <c r="S22" i="5"/>
  <c r="O22" i="5"/>
  <c r="K22" i="5"/>
  <c r="G22" i="5"/>
  <c r="C22" i="5"/>
  <c r="S21" i="5"/>
  <c r="O21" i="5"/>
  <c r="K21" i="5"/>
  <c r="G21" i="5"/>
  <c r="C21" i="5"/>
  <c r="S20" i="5"/>
  <c r="O20" i="5"/>
  <c r="K20" i="5"/>
  <c r="G20" i="5"/>
  <c r="C20" i="5"/>
  <c r="S19" i="5"/>
  <c r="O19" i="5"/>
  <c r="K19" i="5"/>
  <c r="G19" i="5"/>
  <c r="C19" i="5"/>
  <c r="S18" i="5"/>
  <c r="O18" i="5"/>
  <c r="K18" i="5"/>
  <c r="G18" i="5"/>
  <c r="C18" i="5"/>
  <c r="S17" i="5"/>
  <c r="O17" i="5"/>
  <c r="K17" i="5"/>
  <c r="G17" i="5"/>
  <c r="C17" i="5"/>
  <c r="S16" i="5"/>
  <c r="O16" i="5"/>
  <c r="K16" i="5"/>
  <c r="G16" i="5"/>
  <c r="C16" i="5"/>
  <c r="S15" i="5"/>
  <c r="O15" i="5"/>
  <c r="K15" i="5"/>
  <c r="G15" i="5"/>
  <c r="C15" i="5"/>
  <c r="S14" i="5"/>
  <c r="O14" i="5"/>
  <c r="K14" i="5"/>
  <c r="G14" i="5"/>
  <c r="C14" i="5"/>
  <c r="S13" i="5"/>
  <c r="O13" i="5"/>
  <c r="K13" i="5"/>
  <c r="G13" i="5"/>
  <c r="C13" i="5"/>
  <c r="S12" i="5"/>
  <c r="O12" i="5"/>
  <c r="K12" i="5"/>
  <c r="G12" i="5"/>
  <c r="C12" i="5"/>
  <c r="S11" i="5"/>
  <c r="O11" i="5"/>
  <c r="K11" i="5"/>
  <c r="G11" i="5"/>
  <c r="C11" i="5"/>
  <c r="S10" i="5"/>
  <c r="O10" i="5"/>
  <c r="K10" i="5"/>
  <c r="G10" i="5"/>
  <c r="C10" i="5"/>
  <c r="S9" i="5"/>
  <c r="O9" i="5"/>
  <c r="K9" i="5"/>
  <c r="G9" i="5"/>
  <c r="C9" i="5"/>
  <c r="S8" i="5"/>
  <c r="O8" i="5"/>
  <c r="K8" i="5"/>
  <c r="G8" i="5"/>
  <c r="C8" i="5"/>
  <c r="S7" i="5"/>
  <c r="O7" i="5"/>
  <c r="K7" i="5"/>
  <c r="G7" i="5"/>
  <c r="C7" i="5"/>
  <c r="S6" i="5"/>
  <c r="O6" i="5"/>
  <c r="K6" i="5"/>
  <c r="G6" i="5"/>
  <c r="C6" i="5"/>
  <c r="S5" i="5"/>
  <c r="O5" i="5"/>
  <c r="K5" i="5"/>
  <c r="G5" i="5"/>
  <c r="C5" i="5"/>
  <c r="S4" i="5"/>
  <c r="O4" i="5"/>
  <c r="K4" i="5"/>
  <c r="G4" i="5"/>
  <c r="C4" i="5"/>
  <c r="S3" i="5"/>
  <c r="O3" i="5"/>
  <c r="K3" i="5"/>
  <c r="G3" i="5"/>
  <c r="C3" i="5"/>
  <c r="S2" i="5"/>
  <c r="O2" i="5"/>
  <c r="K2" i="5"/>
  <c r="G2" i="5"/>
  <c r="C2" i="5"/>
  <c r="P102" i="4"/>
  <c r="L102" i="4"/>
  <c r="N101" i="4"/>
  <c r="P100" i="4"/>
  <c r="L100" i="4"/>
  <c r="N99" i="4"/>
  <c r="P98" i="4"/>
  <c r="L98" i="4"/>
  <c r="N97" i="4"/>
  <c r="P96" i="4"/>
  <c r="L96" i="4"/>
  <c r="N95" i="4"/>
  <c r="P94" i="4"/>
  <c r="L94" i="4"/>
  <c r="N93" i="4"/>
  <c r="P92" i="4"/>
  <c r="L92" i="4"/>
  <c r="N91" i="4"/>
  <c r="P90" i="4"/>
  <c r="L90" i="4"/>
  <c r="N89" i="4"/>
  <c r="P88" i="4"/>
  <c r="L88" i="4"/>
  <c r="N87" i="4"/>
  <c r="P86" i="4"/>
  <c r="L86" i="4"/>
  <c r="N85" i="4"/>
  <c r="P84" i="4"/>
  <c r="L84" i="4"/>
  <c r="N83" i="4"/>
  <c r="P82" i="4"/>
  <c r="L82" i="4"/>
  <c r="N81" i="4"/>
  <c r="P80" i="4"/>
  <c r="L80" i="4"/>
  <c r="N79" i="4"/>
  <c r="P78" i="4"/>
  <c r="L78" i="4"/>
  <c r="N77" i="4"/>
  <c r="P76" i="4"/>
  <c r="L76" i="4"/>
  <c r="N75" i="4"/>
  <c r="P74" i="4"/>
  <c r="L74" i="4"/>
  <c r="N73" i="4"/>
  <c r="P72" i="4"/>
  <c r="L72" i="4"/>
  <c r="N71" i="4"/>
  <c r="P70" i="4"/>
  <c r="L70" i="4"/>
  <c r="N69" i="4"/>
  <c r="P68" i="4"/>
  <c r="L68" i="4"/>
  <c r="N67" i="4"/>
  <c r="P66" i="4"/>
  <c r="L66" i="4"/>
  <c r="N65" i="4"/>
  <c r="P64" i="4"/>
  <c r="L64" i="4"/>
  <c r="N63" i="4"/>
  <c r="P62" i="4"/>
  <c r="L62" i="4"/>
  <c r="N61" i="4"/>
  <c r="P60" i="4"/>
  <c r="L60" i="4"/>
  <c r="N59" i="4"/>
  <c r="P58" i="4"/>
  <c r="L58" i="4"/>
  <c r="N57" i="4"/>
  <c r="P56" i="4"/>
  <c r="L56" i="4"/>
  <c r="N55" i="4"/>
  <c r="P54" i="4"/>
  <c r="L54" i="4"/>
  <c r="N53" i="4"/>
  <c r="P52" i="4"/>
  <c r="L52" i="4"/>
  <c r="N51" i="4"/>
  <c r="P50" i="4"/>
  <c r="L50" i="4"/>
  <c r="N49" i="4"/>
  <c r="P48" i="4"/>
  <c r="L48" i="4"/>
  <c r="N47" i="4"/>
  <c r="P46" i="4"/>
  <c r="L46" i="4"/>
  <c r="N45" i="4"/>
  <c r="P44" i="4"/>
  <c r="L44" i="4"/>
  <c r="N43" i="4"/>
  <c r="P42" i="4"/>
  <c r="L42" i="4"/>
  <c r="N41" i="4"/>
  <c r="P40" i="4"/>
  <c r="L40" i="4"/>
  <c r="N39" i="4"/>
  <c r="P38" i="4"/>
  <c r="L38" i="4"/>
  <c r="N37" i="4"/>
  <c r="P36" i="4"/>
  <c r="L36" i="4"/>
  <c r="N35" i="4"/>
  <c r="P34" i="4"/>
  <c r="L34" i="4"/>
  <c r="N33" i="4"/>
  <c r="V32" i="4"/>
  <c r="R32" i="4"/>
  <c r="N32" i="4"/>
  <c r="J32" i="4"/>
  <c r="F32" i="4"/>
  <c r="U31" i="4"/>
  <c r="Q31" i="4"/>
  <c r="M31" i="4"/>
  <c r="I31" i="4"/>
  <c r="E31" i="4"/>
  <c r="T30" i="4"/>
  <c r="P30" i="4"/>
  <c r="L30" i="4"/>
  <c r="H30" i="4"/>
  <c r="W29" i="4"/>
  <c r="S29" i="4"/>
  <c r="O29" i="4"/>
  <c r="K29" i="4"/>
  <c r="G29" i="4"/>
  <c r="V28" i="4"/>
  <c r="R28" i="4"/>
  <c r="N28" i="4"/>
  <c r="J28" i="4"/>
  <c r="F28" i="4"/>
  <c r="U27" i="4"/>
  <c r="Q27" i="4"/>
  <c r="M27" i="4"/>
  <c r="I27" i="4"/>
  <c r="E27" i="4"/>
  <c r="T26" i="4"/>
  <c r="P26" i="4"/>
  <c r="L26" i="4"/>
  <c r="H26" i="4"/>
  <c r="W25" i="4"/>
  <c r="S25" i="4"/>
  <c r="O25" i="4"/>
  <c r="K25" i="4"/>
  <c r="G25" i="4"/>
  <c r="V24" i="4"/>
  <c r="R24" i="4"/>
  <c r="N24" i="4"/>
  <c r="J24" i="4"/>
  <c r="F24" i="4"/>
  <c r="U23" i="4"/>
  <c r="Q23" i="4"/>
  <c r="M23" i="4"/>
  <c r="I23" i="4"/>
  <c r="E23" i="4"/>
  <c r="T22" i="4"/>
  <c r="P22" i="4"/>
  <c r="L22" i="4"/>
  <c r="H22" i="4"/>
  <c r="W21" i="4"/>
  <c r="S21" i="4"/>
  <c r="O21" i="4"/>
  <c r="K21" i="4"/>
  <c r="G21" i="4"/>
  <c r="V20" i="4"/>
  <c r="R20" i="4"/>
  <c r="N20" i="4"/>
  <c r="J20" i="4"/>
  <c r="F20" i="4"/>
  <c r="U19" i="4"/>
  <c r="Q19" i="4"/>
  <c r="M19" i="4"/>
  <c r="I19" i="4"/>
  <c r="E19" i="4"/>
  <c r="T18" i="4"/>
  <c r="P18" i="4"/>
  <c r="L18" i="4"/>
  <c r="H18" i="4"/>
  <c r="W17" i="4"/>
  <c r="S17" i="4"/>
  <c r="O17" i="4"/>
  <c r="K17" i="4"/>
  <c r="G17" i="4"/>
  <c r="V16" i="4"/>
  <c r="R16" i="4"/>
  <c r="N16" i="4"/>
  <c r="J16" i="4"/>
  <c r="F16" i="4"/>
  <c r="U15" i="4"/>
  <c r="Q15" i="4"/>
  <c r="M15" i="4"/>
  <c r="I15" i="4"/>
  <c r="E15" i="4"/>
  <c r="T14" i="4"/>
  <c r="P14" i="4"/>
  <c r="L14" i="4"/>
  <c r="H14" i="4"/>
  <c r="W13" i="4"/>
  <c r="S13" i="4"/>
  <c r="O13" i="4"/>
  <c r="K13" i="4"/>
  <c r="G13" i="4"/>
  <c r="V12" i="4"/>
  <c r="R12" i="4"/>
  <c r="N12" i="4"/>
  <c r="J12" i="4"/>
  <c r="F12" i="4"/>
  <c r="U11" i="4"/>
  <c r="Q11" i="4"/>
  <c r="M11" i="4"/>
  <c r="I11" i="4"/>
  <c r="E11" i="4"/>
  <c r="T10" i="4"/>
  <c r="P10" i="4"/>
  <c r="L10" i="4"/>
  <c r="H10" i="4"/>
  <c r="W9" i="4"/>
  <c r="S9" i="4"/>
  <c r="O9" i="4"/>
  <c r="K9" i="4"/>
  <c r="G9" i="4"/>
  <c r="V8" i="4"/>
  <c r="R8" i="4"/>
  <c r="N8" i="4"/>
  <c r="J8" i="4"/>
  <c r="F8" i="4"/>
  <c r="U7" i="4"/>
  <c r="Q7" i="4"/>
  <c r="M7" i="4"/>
  <c r="I7" i="4"/>
  <c r="E7" i="4"/>
  <c r="T6" i="4"/>
  <c r="P6" i="4"/>
  <c r="L6" i="4"/>
  <c r="H6" i="4"/>
  <c r="W5" i="4"/>
  <c r="S5" i="4"/>
  <c r="O5" i="4"/>
  <c r="K5" i="4"/>
  <c r="G5" i="4"/>
  <c r="V4" i="4"/>
  <c r="R4" i="4"/>
  <c r="N4" i="4"/>
  <c r="J4" i="4"/>
  <c r="F4" i="4"/>
  <c r="U3" i="4"/>
  <c r="Q3" i="4"/>
  <c r="M3" i="4"/>
  <c r="I3" i="4"/>
  <c r="E3" i="4"/>
  <c r="U2" i="4"/>
  <c r="Q2" i="4"/>
  <c r="M2" i="4"/>
  <c r="P55" i="4"/>
  <c r="L51" i="4"/>
  <c r="P49" i="4"/>
  <c r="N48" i="4"/>
  <c r="P47" i="4"/>
  <c r="N46" i="4"/>
  <c r="L45" i="4"/>
  <c r="N44" i="4"/>
  <c r="L43" i="4"/>
  <c r="P41" i="4"/>
  <c r="L41" i="4"/>
  <c r="P39" i="4"/>
  <c r="L39" i="4"/>
  <c r="P37" i="4"/>
  <c r="L37" i="4"/>
  <c r="P35" i="4"/>
  <c r="N34" i="4"/>
  <c r="P33" i="4"/>
  <c r="T32" i="4"/>
  <c r="P32" i="4"/>
  <c r="H32" i="4"/>
  <c r="S31" i="4"/>
  <c r="K31" i="4"/>
  <c r="V30" i="4"/>
  <c r="R30" i="4"/>
  <c r="J30" i="4"/>
  <c r="M29" i="4"/>
  <c r="I29" i="4"/>
  <c r="T28" i="4"/>
  <c r="L28" i="4"/>
  <c r="W27" i="4"/>
  <c r="O27" i="4"/>
  <c r="G27" i="4"/>
  <c r="V26" i="4"/>
  <c r="N26" i="4"/>
  <c r="J26" i="4"/>
  <c r="U25" i="4"/>
  <c r="I25" i="4"/>
  <c r="E25" i="4"/>
  <c r="P24" i="4"/>
  <c r="H24" i="4"/>
  <c r="S23" i="4"/>
  <c r="O23" i="4"/>
  <c r="G23" i="4"/>
  <c r="V22" i="4"/>
  <c r="N22" i="4"/>
  <c r="F22" i="4"/>
  <c r="U21" i="4"/>
  <c r="M21" i="4"/>
  <c r="I21" i="4"/>
  <c r="T20" i="4"/>
  <c r="L20" i="4"/>
  <c r="H20" i="4"/>
  <c r="S19" i="4"/>
  <c r="K19" i="4"/>
  <c r="G19" i="4"/>
  <c r="R18" i="4"/>
  <c r="J18" i="4"/>
  <c r="U17" i="4"/>
  <c r="M17" i="4"/>
  <c r="I17" i="4"/>
  <c r="T16" i="4"/>
  <c r="L16" i="4"/>
  <c r="H16" i="4"/>
  <c r="S15" i="4"/>
  <c r="O15" i="4"/>
  <c r="G15" i="4"/>
  <c r="V14" i="4"/>
  <c r="N14" i="4"/>
  <c r="F14" i="4"/>
  <c r="U13" i="4"/>
  <c r="Q13" i="4"/>
  <c r="E13" i="4"/>
  <c r="T12" i="4"/>
  <c r="L12" i="4"/>
  <c r="H12" i="4"/>
  <c r="S11" i="4"/>
  <c r="O11" i="4"/>
  <c r="G11" i="4"/>
  <c r="V10" i="4"/>
  <c r="R10" i="4"/>
  <c r="N10" i="4"/>
  <c r="J10" i="4"/>
  <c r="F10" i="4"/>
  <c r="Q9" i="4"/>
  <c r="I9" i="4"/>
  <c r="P8" i="4"/>
  <c r="H8" i="4"/>
  <c r="W7" i="4"/>
  <c r="O7" i="4"/>
  <c r="G7" i="4"/>
  <c r="V6" i="4"/>
  <c r="N6" i="4"/>
  <c r="F6" i="4"/>
  <c r="U5" i="4"/>
  <c r="Q5" i="4"/>
  <c r="I5" i="4"/>
  <c r="P4" i="4"/>
  <c r="L4" i="4"/>
  <c r="W3" i="4"/>
  <c r="K3" i="4"/>
  <c r="W2" i="4"/>
  <c r="T2" i="5" l="1"/>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9" i="5"/>
  <c r="T81" i="5"/>
  <c r="T83" i="5"/>
  <c r="T85" i="5"/>
  <c r="T87" i="5"/>
  <c r="T89" i="5"/>
  <c r="T91" i="5"/>
  <c r="T93" i="5"/>
  <c r="T95" i="5"/>
  <c r="T97" i="5"/>
  <c r="T99" i="5"/>
  <c r="T101" i="5"/>
  <c r="T103" i="5"/>
  <c r="T105" i="5"/>
  <c r="T107" i="5"/>
  <c r="T109" i="5"/>
  <c r="T111" i="5"/>
  <c r="T113" i="5"/>
  <c r="T115" i="5"/>
  <c r="T117" i="5"/>
  <c r="T119" i="5"/>
  <c r="T121" i="5"/>
  <c r="T123" i="5"/>
  <c r="T125" i="5"/>
  <c r="T127" i="5"/>
  <c r="T129" i="5"/>
  <c r="T131" i="5"/>
  <c r="T133" i="5"/>
  <c r="T135" i="5"/>
  <c r="T137" i="5"/>
  <c r="T139" i="5"/>
  <c r="T141" i="5"/>
  <c r="T143" i="5"/>
  <c r="T145" i="5"/>
  <c r="T147" i="5"/>
  <c r="T149" i="5"/>
  <c r="T151" i="5"/>
  <c r="T153" i="5"/>
  <c r="T155" i="5"/>
  <c r="T157" i="5"/>
  <c r="T159" i="5"/>
  <c r="T161" i="5"/>
  <c r="T163" i="5"/>
  <c r="T165" i="5"/>
  <c r="T167" i="5"/>
  <c r="T169" i="5"/>
  <c r="T171" i="5"/>
  <c r="T173" i="5"/>
  <c r="T175" i="5"/>
  <c r="T177" i="5"/>
  <c r="T179" i="5"/>
  <c r="T78" i="5"/>
  <c r="T80" i="5"/>
  <c r="T82" i="5"/>
  <c r="T84" i="5"/>
  <c r="T86" i="5"/>
  <c r="T88" i="5"/>
  <c r="T90" i="5"/>
  <c r="T92" i="5"/>
  <c r="T94" i="5"/>
  <c r="T96" i="5"/>
  <c r="T98" i="5"/>
  <c r="T100" i="5"/>
  <c r="T102" i="5"/>
  <c r="T104" i="5"/>
  <c r="T106" i="5"/>
  <c r="T108" i="5"/>
  <c r="T110" i="5"/>
  <c r="T112" i="5"/>
  <c r="T114" i="5"/>
  <c r="T116" i="5"/>
  <c r="T118" i="5"/>
  <c r="T120" i="5"/>
  <c r="T122" i="5"/>
  <c r="T124" i="5"/>
  <c r="T126" i="5"/>
  <c r="T128" i="5"/>
  <c r="T130" i="5"/>
  <c r="T132" i="5"/>
  <c r="T134" i="5"/>
  <c r="T136" i="5"/>
  <c r="T138" i="5"/>
  <c r="T140" i="5"/>
  <c r="T142" i="5"/>
  <c r="T144" i="5"/>
  <c r="T146" i="5"/>
  <c r="T148" i="5"/>
  <c r="T150" i="5"/>
  <c r="T152" i="5"/>
  <c r="T154" i="5"/>
  <c r="T156" i="5"/>
  <c r="T158" i="5"/>
  <c r="T160" i="5"/>
  <c r="T162" i="5"/>
  <c r="T164" i="5"/>
  <c r="T166" i="5"/>
  <c r="T168" i="5"/>
  <c r="T170" i="5"/>
  <c r="T172" i="5"/>
  <c r="T174" i="5"/>
  <c r="T176" i="5"/>
  <c r="T178" i="5"/>
  <c r="B3" i="4"/>
  <c r="B2" i="4"/>
  <c r="T352" i="5"/>
  <c r="T356" i="5"/>
  <c r="T360" i="5"/>
  <c r="T364" i="5"/>
  <c r="T368" i="5"/>
  <c r="T372" i="5"/>
  <c r="T376" i="5"/>
  <c r="T380" i="5"/>
  <c r="T384" i="5"/>
  <c r="T388" i="5"/>
  <c r="T392" i="5"/>
  <c r="T396" i="5"/>
  <c r="T400" i="5"/>
  <c r="T404" i="5"/>
  <c r="T408" i="5"/>
  <c r="T412" i="5"/>
  <c r="T416" i="5"/>
  <c r="T420" i="5"/>
  <c r="T422" i="5"/>
  <c r="T424" i="5"/>
  <c r="T426" i="5"/>
  <c r="T428" i="5"/>
  <c r="T430" i="5"/>
  <c r="T432" i="5"/>
  <c r="T434" i="5"/>
  <c r="T436" i="5"/>
  <c r="T438" i="5"/>
  <c r="T440" i="5"/>
  <c r="T442" i="5"/>
  <c r="T444" i="5"/>
  <c r="T446" i="5"/>
  <c r="T448" i="5"/>
  <c r="T450" i="5"/>
  <c r="T452" i="5"/>
  <c r="T454" i="5"/>
  <c r="T456" i="5"/>
  <c r="T458" i="5"/>
  <c r="T460" i="5"/>
  <c r="T462" i="5"/>
  <c r="T466" i="5"/>
  <c r="T470" i="5"/>
  <c r="T474" i="5"/>
  <c r="T478" i="5"/>
  <c r="T482" i="5"/>
  <c r="T486" i="5"/>
  <c r="T490" i="5"/>
  <c r="T494" i="5"/>
  <c r="T498" i="5"/>
  <c r="T502" i="5"/>
  <c r="T506" i="5"/>
  <c r="T510" i="5"/>
  <c r="T514" i="5"/>
  <c r="T518" i="5"/>
  <c r="T522" i="5"/>
  <c r="T526" i="5"/>
  <c r="T530" i="5"/>
  <c r="T534" i="5"/>
  <c r="T538" i="5"/>
  <c r="T542" i="5"/>
  <c r="T546" i="5"/>
  <c r="T550" i="5"/>
  <c r="T554" i="5"/>
  <c r="T558" i="5"/>
  <c r="T562" i="5"/>
  <c r="T566" i="5"/>
  <c r="T570" i="5"/>
  <c r="T574" i="5"/>
  <c r="T578" i="5"/>
  <c r="T638" i="5"/>
  <c r="T670" i="5"/>
  <c r="T702" i="5"/>
  <c r="T354" i="5"/>
  <c r="T358" i="5"/>
  <c r="T362" i="5"/>
  <c r="T366" i="5"/>
  <c r="T370" i="5"/>
  <c r="T374" i="5"/>
  <c r="T378" i="5"/>
  <c r="T382" i="5"/>
  <c r="T386" i="5"/>
  <c r="T390" i="5"/>
  <c r="T394" i="5"/>
  <c r="T398" i="5"/>
  <c r="T402" i="5"/>
  <c r="T406" i="5"/>
  <c r="T410" i="5"/>
  <c r="T414" i="5"/>
  <c r="T418" i="5"/>
  <c r="T419" i="5"/>
  <c r="T421" i="5"/>
  <c r="T423" i="5"/>
  <c r="T425" i="5"/>
  <c r="T427" i="5"/>
  <c r="T429" i="5"/>
  <c r="T431" i="5"/>
  <c r="T433" i="5"/>
  <c r="T435" i="5"/>
  <c r="T437" i="5"/>
  <c r="T439" i="5"/>
  <c r="T441" i="5"/>
  <c r="T443" i="5"/>
  <c r="T445" i="5"/>
  <c r="T447" i="5"/>
  <c r="T449" i="5"/>
  <c r="T451" i="5"/>
  <c r="T453" i="5"/>
  <c r="T455" i="5"/>
  <c r="T457" i="5"/>
  <c r="T459" i="5"/>
  <c r="T464" i="5"/>
  <c r="T468" i="5"/>
  <c r="T472" i="5"/>
  <c r="T476" i="5"/>
  <c r="T480" i="5"/>
  <c r="T484" i="5"/>
  <c r="T488" i="5"/>
  <c r="T492" i="5"/>
  <c r="T496" i="5"/>
  <c r="T500" i="5"/>
  <c r="T504" i="5"/>
  <c r="T508" i="5"/>
  <c r="T512" i="5"/>
  <c r="T516" i="5"/>
  <c r="T520" i="5"/>
  <c r="T524" i="5"/>
  <c r="T528" i="5"/>
  <c r="T532" i="5"/>
  <c r="T536" i="5"/>
  <c r="T540" i="5"/>
  <c r="T544" i="5"/>
  <c r="T548" i="5"/>
  <c r="T552" i="5"/>
  <c r="T556" i="5"/>
  <c r="T560" i="5"/>
  <c r="T564" i="5"/>
  <c r="T568" i="5"/>
  <c r="T572" i="5"/>
  <c r="T576" i="5"/>
  <c r="T580" i="5"/>
  <c r="T654" i="5"/>
  <c r="T686" i="5"/>
  <c r="T718" i="5"/>
  <c r="T687" i="5"/>
  <c r="T646" i="5"/>
  <c r="T662" i="5"/>
  <c r="T678" i="5"/>
  <c r="T694" i="5"/>
  <c r="T710" i="5"/>
  <c r="T748" i="5"/>
  <c r="T655" i="5"/>
  <c r="T720" i="5"/>
  <c r="T750" i="5"/>
  <c r="T639" i="5"/>
  <c r="T671" i="5"/>
  <c r="T703" i="5"/>
  <c r="T725"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349" i="5"/>
  <c r="T350" i="5"/>
  <c r="T351" i="5"/>
  <c r="T353" i="5"/>
  <c r="T355" i="5"/>
  <c r="T357" i="5"/>
  <c r="T359" i="5"/>
  <c r="T361" i="5"/>
  <c r="T363" i="5"/>
  <c r="T365" i="5"/>
  <c r="T367" i="5"/>
  <c r="T369" i="5"/>
  <c r="T371" i="5"/>
  <c r="T373" i="5"/>
  <c r="T375" i="5"/>
  <c r="T377" i="5"/>
  <c r="T379" i="5"/>
  <c r="T381" i="5"/>
  <c r="T383" i="5"/>
  <c r="T385" i="5"/>
  <c r="T387" i="5"/>
  <c r="T389" i="5"/>
  <c r="T391" i="5"/>
  <c r="T393" i="5"/>
  <c r="T395" i="5"/>
  <c r="T397" i="5"/>
  <c r="T399" i="5"/>
  <c r="T401" i="5"/>
  <c r="T403" i="5"/>
  <c r="T405" i="5"/>
  <c r="T407" i="5"/>
  <c r="T409" i="5"/>
  <c r="T411" i="5"/>
  <c r="T413" i="5"/>
  <c r="T415" i="5"/>
  <c r="T417" i="5"/>
  <c r="T461" i="5"/>
  <c r="T463" i="5"/>
  <c r="T465" i="5"/>
  <c r="T467" i="5"/>
  <c r="T469" i="5"/>
  <c r="T471" i="5"/>
  <c r="T473" i="5"/>
  <c r="T475" i="5"/>
  <c r="T477" i="5"/>
  <c r="T479" i="5"/>
  <c r="T481" i="5"/>
  <c r="T483" i="5"/>
  <c r="T485" i="5"/>
  <c r="T487" i="5"/>
  <c r="T489" i="5"/>
  <c r="T491" i="5"/>
  <c r="T493" i="5"/>
  <c r="T495" i="5"/>
  <c r="T497" i="5"/>
  <c r="T499" i="5"/>
  <c r="T501" i="5"/>
  <c r="T503" i="5"/>
  <c r="T505" i="5"/>
  <c r="T507" i="5"/>
  <c r="T509" i="5"/>
  <c r="T511" i="5"/>
  <c r="T513" i="5"/>
  <c r="T515" i="5"/>
  <c r="T517" i="5"/>
  <c r="T519" i="5"/>
  <c r="T521" i="5"/>
  <c r="T523" i="5"/>
  <c r="T525" i="5"/>
  <c r="T527" i="5"/>
  <c r="T529" i="5"/>
  <c r="T531" i="5"/>
  <c r="T533" i="5"/>
  <c r="T535" i="5"/>
  <c r="T537" i="5"/>
  <c r="T539" i="5"/>
  <c r="T541" i="5"/>
  <c r="T543" i="5"/>
  <c r="T545" i="5"/>
  <c r="T547" i="5"/>
  <c r="T549" i="5"/>
  <c r="T551" i="5"/>
  <c r="T553" i="5"/>
  <c r="T555" i="5"/>
  <c r="T557" i="5"/>
  <c r="T559" i="5"/>
  <c r="T561" i="5"/>
  <c r="T563" i="5"/>
  <c r="T565" i="5"/>
  <c r="T567" i="5"/>
  <c r="T569" i="5"/>
  <c r="T571" i="5"/>
  <c r="T573" i="5"/>
  <c r="T575" i="5"/>
  <c r="T577" i="5"/>
  <c r="T579" i="5"/>
  <c r="T634" i="5"/>
  <c r="T642" i="5"/>
  <c r="T650" i="5"/>
  <c r="T658" i="5"/>
  <c r="T666" i="5"/>
  <c r="T674" i="5"/>
  <c r="T682" i="5"/>
  <c r="T690" i="5"/>
  <c r="T698" i="5"/>
  <c r="T706" i="5"/>
  <c r="T714" i="5"/>
  <c r="T732" i="5"/>
  <c r="T632" i="5"/>
  <c r="T647" i="5"/>
  <c r="T663" i="5"/>
  <c r="T679" i="5"/>
  <c r="T695" i="5"/>
  <c r="T711" i="5"/>
  <c r="T752" i="5"/>
  <c r="T734" i="5"/>
  <c r="T757" i="5"/>
  <c r="T741" i="5"/>
  <c r="T581" i="5"/>
  <c r="T582" i="5"/>
  <c r="T583" i="5"/>
  <c r="T584" i="5"/>
  <c r="T585" i="5"/>
  <c r="T586" i="5"/>
  <c r="T587" i="5"/>
  <c r="T588" i="5"/>
  <c r="T589" i="5"/>
  <c r="T590" i="5"/>
  <c r="T591" i="5"/>
  <c r="T592" i="5"/>
  <c r="T593" i="5"/>
  <c r="T594" i="5"/>
  <c r="T595" i="5"/>
  <c r="T596" i="5"/>
  <c r="T597" i="5"/>
  <c r="T598" i="5"/>
  <c r="T599" i="5"/>
  <c r="T600" i="5"/>
  <c r="T601" i="5"/>
  <c r="T602" i="5"/>
  <c r="T603" i="5"/>
  <c r="T604" i="5"/>
  <c r="T605" i="5"/>
  <c r="T606" i="5"/>
  <c r="T607" i="5"/>
  <c r="T608" i="5"/>
  <c r="T609" i="5"/>
  <c r="T610" i="5"/>
  <c r="T611" i="5"/>
  <c r="T612" i="5"/>
  <c r="T613" i="5"/>
  <c r="T614" i="5"/>
  <c r="T615" i="5"/>
  <c r="T616" i="5"/>
  <c r="T617" i="5"/>
  <c r="T618" i="5"/>
  <c r="T619" i="5"/>
  <c r="T620" i="5"/>
  <c r="T621" i="5"/>
  <c r="T622" i="5"/>
  <c r="T623" i="5"/>
  <c r="T624" i="5"/>
  <c r="T625" i="5"/>
  <c r="T626" i="5"/>
  <c r="T627" i="5"/>
  <c r="T628" i="5"/>
  <c r="T629" i="5"/>
  <c r="T630" i="5"/>
  <c r="T631" i="5"/>
  <c r="T636" i="5"/>
  <c r="T640" i="5"/>
  <c r="T644" i="5"/>
  <c r="T648" i="5"/>
  <c r="T652" i="5"/>
  <c r="T656" i="5"/>
  <c r="T660" i="5"/>
  <c r="T664" i="5"/>
  <c r="T668" i="5"/>
  <c r="T672" i="5"/>
  <c r="T676" i="5"/>
  <c r="T680" i="5"/>
  <c r="T684" i="5"/>
  <c r="T688" i="5"/>
  <c r="T692" i="5"/>
  <c r="T696" i="5"/>
  <c r="T700" i="5"/>
  <c r="T704" i="5"/>
  <c r="T708" i="5"/>
  <c r="T712" i="5"/>
  <c r="T716" i="5"/>
  <c r="T724" i="5"/>
  <c r="T740" i="5"/>
  <c r="T756" i="5"/>
  <c r="T635" i="5"/>
  <c r="T643" i="5"/>
  <c r="T651" i="5"/>
  <c r="T659" i="5"/>
  <c r="T667" i="5"/>
  <c r="T675" i="5"/>
  <c r="T683" i="5"/>
  <c r="T691" i="5"/>
  <c r="T699" i="5"/>
  <c r="T707" i="5"/>
  <c r="T715" i="5"/>
  <c r="T736" i="5"/>
  <c r="T726" i="5"/>
  <c r="T742" i="5"/>
  <c r="T758" i="5"/>
  <c r="T733" i="5"/>
  <c r="T749" i="5"/>
  <c r="T633" i="5"/>
  <c r="T637" i="5"/>
  <c r="T641" i="5"/>
  <c r="T645" i="5"/>
  <c r="T649" i="5"/>
  <c r="T653" i="5"/>
  <c r="T657" i="5"/>
  <c r="T661" i="5"/>
  <c r="T665" i="5"/>
  <c r="T669" i="5"/>
  <c r="T673" i="5"/>
  <c r="T677" i="5"/>
  <c r="T681" i="5"/>
  <c r="T685" i="5"/>
  <c r="T689" i="5"/>
  <c r="T693" i="5"/>
  <c r="T697" i="5"/>
  <c r="T701" i="5"/>
  <c r="T705" i="5"/>
  <c r="T709" i="5"/>
  <c r="T713" i="5"/>
  <c r="T717" i="5"/>
  <c r="T728" i="5"/>
  <c r="T744" i="5"/>
  <c r="T760" i="5"/>
  <c r="T722" i="5"/>
  <c r="T730" i="5"/>
  <c r="T738" i="5"/>
  <c r="T746" i="5"/>
  <c r="T754" i="5"/>
  <c r="T721" i="5"/>
  <c r="T729" i="5"/>
  <c r="T737" i="5"/>
  <c r="T745" i="5"/>
  <c r="T753" i="5"/>
  <c r="T761" i="5"/>
  <c r="T719" i="5"/>
  <c r="T723" i="5"/>
  <c r="T727" i="5"/>
  <c r="T731" i="5"/>
  <c r="T735" i="5"/>
  <c r="T739" i="5"/>
  <c r="T743" i="5"/>
  <c r="T747" i="5"/>
  <c r="T751" i="5"/>
  <c r="T755" i="5"/>
  <c r="T759" i="5"/>
  <c r="T762" i="5"/>
  <c r="T763" i="5"/>
  <c r="T764" i="5"/>
  <c r="T765" i="5"/>
  <c r="T766" i="5"/>
  <c r="T767" i="5"/>
  <c r="T768" i="5"/>
  <c r="T769" i="5"/>
  <c r="T770" i="5"/>
  <c r="T771" i="5"/>
  <c r="T772" i="5"/>
  <c r="T773" i="5"/>
  <c r="T774" i="5"/>
  <c r="T775" i="5"/>
  <c r="T776" i="5"/>
  <c r="T777" i="5"/>
  <c r="T778" i="5"/>
  <c r="T779" i="5"/>
  <c r="T780" i="5"/>
  <c r="T781" i="5"/>
  <c r="T782" i="5"/>
  <c r="T783" i="5"/>
  <c r="T784" i="5"/>
  <c r="T785" i="5"/>
  <c r="T786" i="5"/>
  <c r="T787" i="5"/>
  <c r="T788" i="5"/>
  <c r="T789" i="5"/>
  <c r="T790" i="5"/>
  <c r="T791" i="5"/>
  <c r="T792" i="5"/>
  <c r="T793" i="5"/>
  <c r="T794" i="5"/>
  <c r="T795" i="5"/>
  <c r="T796" i="5"/>
  <c r="T797" i="5"/>
  <c r="B1" i="4" l="1"/>
</calcChain>
</file>

<file path=xl/sharedStrings.xml><?xml version="1.0" encoding="utf-8"?>
<sst xmlns="http://schemas.openxmlformats.org/spreadsheetml/2006/main" count="29946" uniqueCount="5537">
  <si>
    <t>numero_reunion</t>
  </si>
  <si>
    <t>año</t>
  </si>
  <si>
    <t>modalidad_reunion</t>
  </si>
  <si>
    <t>fecha</t>
  </si>
  <si>
    <t>reunion_conjunta</t>
  </si>
  <si>
    <t>comision</t>
  </si>
  <si>
    <t>cantidad_comisiones</t>
  </si>
  <si>
    <t>cantidad_temas</t>
  </si>
  <si>
    <t>numero_tema</t>
  </si>
  <si>
    <t>tipo_proyecto</t>
  </si>
  <si>
    <t>numero_expediente</t>
  </si>
  <si>
    <t>origen</t>
  </si>
  <si>
    <t>extracto</t>
  </si>
  <si>
    <t>despacho</t>
  </si>
  <si>
    <t>invitados</t>
  </si>
  <si>
    <t>cantidad_invitados</t>
  </si>
  <si>
    <t>taquigráfica</t>
  </si>
  <si>
    <t>video</t>
  </si>
  <si>
    <t>actas</t>
  </si>
  <si>
    <t>PRESENCIAL</t>
  </si>
  <si>
    <t>NO</t>
  </si>
  <si>
    <t>DEPORTES Y RECREACIÓN</t>
  </si>
  <si>
    <t>NC</t>
  </si>
  <si>
    <t>NA</t>
  </si>
  <si>
    <t>Constitución formal de la Comisión y designación de sus autoridades.</t>
  </si>
  <si>
    <t>https://gld.legislaturacba.gob.ar/Publics/Actas.aspx?id=Uj-TJ3BIYig=</t>
  </si>
  <si>
    <t>LEGISLACIÓN DEL TRABAJO, PREVISIÓN Y SEGURIDAD SOCIAL</t>
  </si>
  <si>
    <t>https://gld.legislaturacba.gob.ar/Publics/Actas.aspx?id=ZmDfu4aOfA8=</t>
  </si>
  <si>
    <t>OBRAS PÚBLICAS, VIVIENDA Y COMUNICACIONES</t>
  </si>
  <si>
    <t>https://gld.legislaturacba.gob.ar/Publics/Actas.aspx?id=QcG_t7mSh2Y=</t>
  </si>
  <si>
    <t>Ley</t>
  </si>
  <si>
    <t>Poder Ejecutivo Provincial</t>
  </si>
  <si>
    <t>Declarando de utilidad pública y sujetos a expropiación los inmuebles necesarios para la ejecución de la obro "Desvío Tránsito Pesado en la localidad de La Puerta - Departamento Río Primero"</t>
  </si>
  <si>
    <t>SI</t>
  </si>
  <si>
    <t>Declarando de utilidad pública y sujeto a expropiación inmuebles para la ejecución de la obra “Pavimentación de la Ruta Provincial T 201 - 36 (calle Chingolo) y Rotonda en Av. Rancagua (2º Parte)”</t>
  </si>
  <si>
    <t>ASUNTOS ECOLÓGICOS</t>
  </si>
  <si>
    <t>https://gld.legislaturacba.gob.ar/Publics/Actas.aspx?id=7lxFU7OrFzw=</t>
  </si>
  <si>
    <t>ASUNTOS CONSTITUCIONALES, JUSTICIA Y ACUERDOS</t>
  </si>
  <si>
    <t>https://gld.legislaturacba.gob.ar/Publics/Actas.aspx?id=_X_Hz7uI5t8=</t>
  </si>
  <si>
    <t>SALUD HUMANA</t>
  </si>
  <si>
    <t>https://gld.legislaturacba.gob.ar/Publics/Actas.aspx?id=RVqlQS6cGV4=</t>
  </si>
  <si>
    <t>EQUIDAD Y LUCHA CONTRA LA VIOLENCIA DE GÉNERO</t>
  </si>
  <si>
    <t>https://gld.legislaturacba.gob.ar/Publics/Actas.aspx?id=aENQzRi7rMU=</t>
  </si>
  <si>
    <t>TURISMO Y SU RELACIÓN CON EL DESARROLLO REGIONAL</t>
  </si>
  <si>
    <t>https://gld.legislaturacba.gob.ar/Publics/Actas.aspx?id=JYF6CVKRM3A=</t>
  </si>
  <si>
    <t>AGRICULTURA, GANADERÍA Y RECURSOS RENOVABLES</t>
  </si>
  <si>
    <t>https://gld.legislaturacba.gob.ar/Publics/Actas.aspx?id=Put8LgPMkRI=</t>
  </si>
  <si>
    <t>ASUNTOS INSTITUCIONALES, MUNICIPALES Y COMUNALES</t>
  </si>
  <si>
    <t>https://gld.legislaturacba.gob.ar/Publics/Actas.aspx?id=X9-Az1nuIOo=</t>
  </si>
  <si>
    <t>ECONOMÍA SOCIAL, COOPERATIVAS Y MUTUALES</t>
  </si>
  <si>
    <t>https://gld.legislaturacba.gob.ar/Publics/Actas.aspx?id=t3crsEi3xa8=</t>
  </si>
  <si>
    <t>EDUCACIÓN, CULTURA, CIENCIA, TECNOLOGÍA E INFORMÁTICA</t>
  </si>
  <si>
    <t>https://gld.legislaturacba.gob.ar/Publics/Actas.aspx?id=8o7mfejY_uA=</t>
  </si>
  <si>
    <t>LEGISLACIÓN GENERAL</t>
  </si>
  <si>
    <t>https://gld.legislaturacba.gob.ar/Publics/Actas.aspx?id=r1pdSVzNQnk=</t>
  </si>
  <si>
    <t>ECONOMÍA, PRESUPUESTO, GESTIÓN PÚBLICA E INNOVACIÓN</t>
  </si>
  <si>
    <t>https://gld.legislaturacba.gob.ar/Publics/Actas.aspx?id=JNNsy1gVu-8=</t>
  </si>
  <si>
    <t>SERVICIOS PÚBLICOS;ECONOMÍA, PRESUPUESTO, GESTIÓN PÚBLICA E INNOVACIÓN</t>
  </si>
  <si>
    <t>Proyecto de Ley Nº 29850/E/20, aprobando el convenio suscripto entre la Provincia de Córdoba, la Empresa Provincial de Energía de Córdoba y la Municipalidad de la ciudad de Córdoba, para la promoción, desarrollo y ejecución de planes de normalización de alumbrado público de la ciudad capital, celebrado el día 23 de diciembre de 2019.</t>
  </si>
  <si>
    <r>
      <rPr>
        <sz val="10"/>
        <color rgb="FF000000"/>
        <rFont val="Arial"/>
      </rPr>
      <t>https://gld.legislaturacba.gob.ar/Publics/Actas.aspx?id=LkDsrjpMKeM=;</t>
    </r>
    <r>
      <rPr>
        <u/>
        <sz val="10"/>
        <color rgb="FF1155CC"/>
        <rFont val="Arial"/>
      </rPr>
      <t>https://gld.legislaturacba.gob.ar/Publics/Actas.aspx?id=Axm3py3JWEs=</t>
    </r>
  </si>
  <si>
    <t>EDUCACIÓN, CULTURA, CIENCIA, TECNOLOGÍA E INFORMÁTICA;LEGISLACIÓN GENERAL</t>
  </si>
  <si>
    <t>Poder Legislativo Provincial</t>
  </si>
  <si>
    <t>Proyecto de Ley Nº 29860/L/20, disponiendo acciones conmemorativas del proceso político, institucional y constitucional liderado por el prócer argentino Brigadier General Juan Bautista Bustos.</t>
  </si>
  <si>
    <r>
      <rPr>
        <sz val="10"/>
        <color rgb="FF000000"/>
        <rFont val="Arial"/>
      </rPr>
      <t>https://gld.legislaturacba.gob.ar/Publics/Actas.aspx?id=jqYlfP5169I=</t>
    </r>
    <r>
      <rPr>
        <sz val="10"/>
        <color theme="1"/>
        <rFont val="Arial"/>
      </rPr>
      <t>;</t>
    </r>
    <r>
      <rPr>
        <sz val="10"/>
        <color rgb="FF000000"/>
        <rFont val="Arial"/>
      </rPr>
      <t>https://gld.legislaturacba.gob.ar/Publics/Actas.aspx?id=IISzCSxObi4=</t>
    </r>
  </si>
  <si>
    <t>Pliego</t>
  </si>
  <si>
    <t>Solicitando acuerdo para designar, en los términos del Art. 15 de la Ley Nº 9050, a la Contadora Élida Cristina Ruiz como síndico titular por el sector público de la Agencia Córdoba De Inversión Y Financiamiento SEM.</t>
  </si>
  <si>
    <t>https://gld.legislaturacba.gob.ar/Publics/Actas.aspx?id=gnSVSGHX6rc=</t>
  </si>
  <si>
    <t>PREVENCIÓN, TRATAMIENTO Y CONTROL DE LAS ADICCIONES</t>
  </si>
  <si>
    <t>https://gld.legislaturacba.gob.ar/Publics/Actas.aspx?id=gQ4-FLnc044=</t>
  </si>
  <si>
    <t>Vacunas contra la Meningitis y el Sarampión.</t>
  </si>
  <si>
    <t>https://gld.legislaturacba.gob.ar/Publics/Actas.aspx?id=95FbuEIA1ho=</t>
  </si>
  <si>
    <t>Resolución</t>
  </si>
  <si>
    <t>Proyecto de Resolución Nº 29882/L/20, respaldando institucional y operativamente las acciones que desarrolle el Ministerio de Salud en el marco del plan director de lucha contra el dengue, aprobado por Ley Nº 9666.</t>
  </si>
  <si>
    <t>DERECHOS HUMANOS Y DESARROLLO SOCIAL</t>
  </si>
  <si>
    <t>https://gld.legislaturacba.gob.ar/Publics/Actas.aspx?id=xTxPX0xF6_k=</t>
  </si>
  <si>
    <t>Temas varios relacionados con las competencias del Ministerio de la Mujer de la Provincia de Córdoba.</t>
  </si>
  <si>
    <t>https://gld.legislaturacba.gob.ar/Publics/Actas.aspx?id=htjkbebq8Dw=</t>
  </si>
  <si>
    <t>Proyecto de Ley Nº 29791/E/20, modificando el radio municipal de la ciudad de Hernando, dpto. Tercero Arriba.</t>
  </si>
  <si>
    <t>https://gld.legislaturacba.gob.ar/Publics/Actas.aspx?id=IVUZ6YuNgyA=</t>
  </si>
  <si>
    <t>MERCOSUR, COMERCIO INTERIOR Y EXTERIOR</t>
  </si>
  <si>
    <t>https://gld.legislaturacba.gob.ar/Publics/Actas.aspx?id=j0o6ECEU6U0=</t>
  </si>
  <si>
    <t>Temas varios.</t>
  </si>
  <si>
    <t>https://gld.legislaturacba.gob.ar/Publics/Actas.aspx?id=IeeooHM1_MM=</t>
  </si>
  <si>
    <t>https://gld.legislaturacba.gob.ar/Publics/Actas.aspx?id=NfODToWNSnU=;https://gld.legislaturacba.gob.ar/Publics/Actas.aspx?id=HyzvFJfkjgw=</t>
  </si>
  <si>
    <t>Proyecto de Ley Nº 29961/L/20, instituyendo el 18 de marzo de cada año como "Día de la Provincia de Córdoba", en conmemoración de la declaración de la autonomía de la provincia el 18 de marzo de 1820.</t>
  </si>
  <si>
    <t>Declaración</t>
  </si>
  <si>
    <t>Proyecto de Declaración Nº 29996/L/20, declarando de interés legislativo el V Foro Mundial de Desarrollo Económico Local, a llevarse a cabo del 6 al 8 de mayo en la ciudad de córdoba.</t>
  </si>
  <si>
    <t>https://gld.legislaturacba.gob.ar/Publics/Actas.aspx?id=yZPsM9xnYqs=</t>
  </si>
  <si>
    <t>Proyecto de Declaración Nº 30035/L/20, declarando de interés legislativo el V Foro Mundial de Desarrollo Económico Local, a llevarse a cabo del 6 al 8 de mayo en la ciudad.</t>
  </si>
  <si>
    <t>Actividades programadas durante la “Semana de la Memoria”, de acuerdo a lo dispuesto por la Ley Nº 10.619.</t>
  </si>
  <si>
    <t>https://gld.legislaturacba.gob.ar/Publics/Actas.aspx?id=qbLjKQgPZaA=</t>
  </si>
  <si>
    <t>Temas varios relacionados con las competencias de la Secretaría de Ambiente de la Provincia de Córdoba.</t>
  </si>
  <si>
    <t>https://gld.legislaturacba.gob.ar/Publics/Actas.aspx?id=zAIADgRNzXs=</t>
  </si>
  <si>
    <t>Anteproyecto de prórroga de la Ley 10.003.</t>
  </si>
  <si>
    <t>https://gld.legislaturacba.gob.ar/Publics/Actas.aspx?id=xWTBMHPcxQg=</t>
  </si>
  <si>
    <t>Proyecto de Ley Nº 29918/L/20, regulando la práctica del montañismo como actividad deportiva, de interés cultural o socio-recreativa.</t>
  </si>
  <si>
    <t>PROMOCIÓN Y DESARROLLO DE LAS COMUNIDADES REGIONALES</t>
  </si>
  <si>
    <t>https://gld.legislaturacba.gob.ar/Publics/Actas.aspx?id=wyLPBNCCMac=</t>
  </si>
  <si>
    <t>ASUNTOS CONSTITUCIONALES, JUSTICIA Y ACUERDOS;LEGISLACIÓN GENERAL</t>
  </si>
  <si>
    <t>Proyecto de Ley Nº 30064/L/20, modificando la Ley Nº 9380, que regula la utilización de videocámaras de seguridad.</t>
  </si>
  <si>
    <r>
      <rPr>
        <sz val="10"/>
        <color rgb="FF000000"/>
        <rFont val="Arial"/>
      </rPr>
      <t>https://gld.legislaturacba.gob.ar/Publics/Actas.aspx?id=niqJ5jpnycc=</t>
    </r>
    <r>
      <rPr>
        <sz val="10"/>
        <color theme="1"/>
        <rFont val="Arial"/>
      </rPr>
      <t>;</t>
    </r>
    <r>
      <rPr>
        <sz val="10"/>
        <color rgb="FF000000"/>
        <rFont val="Arial"/>
      </rPr>
      <t>https://gld.legislaturacba.gob.ar/Publics/Actas.aspx?id=fATJVaLhlog=</t>
    </r>
  </si>
  <si>
    <t>Proyecto de Ley Nº 29791/E/20, modificando el radio municipal de la ciudad de Hernando, Dpto. Tercero Arriba.</t>
  </si>
  <si>
    <t>VIRTUAL</t>
  </si>
  <si>
    <t>Proyecto de Ley Nº 30177/E/20, por el cual se ratifica el decreto que dispone el otorgamiento por parte de la Provincia de Córdoba, de avales, fianzas o cualquier otro tipo de garantía a favor de empresas “MiPyMEs” (micro, pequeñas y medianas empresas).</t>
  </si>
  <si>
    <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</si>
  <si>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https://www.youtube.com/watch?v=vUB_INPxhE4</t>
  </si>
  <si>
    <t>https://gld.legislaturacba.gob.ar/Publics/Actas.aspx?id=WnuvlgHXSNY=</t>
  </si>
  <si>
    <t>Proyecto de Ley Nº 30219/E/20, por el cual se autoriza al Poder Ejecutivo Provincial a crear un Programa Global de Emisión de Títulos de Deuda destinados a la cancelación de obligaciones contraídas con proveedores y contratistas del Sector Público Provincial no Financiero.</t>
  </si>
  <si>
    <t>Temas vinculados al Ministerio de Educación de la Provincia de Córdoba, en el marco del Aislamiento Social, Preventivo y Obligatorio. Respuesta a pedidos de informe.</t>
  </si>
  <si>
    <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</si>
  <si>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https://www.youtube.com/watch?v=07Y2v4hV47s</t>
  </si>
  <si>
    <t>https://gld.legislaturacba.gob.ar/Publics/Actas.aspx?id=05nq1TIMSso=</t>
  </si>
  <si>
    <t>Violencia de género en el marco del Aislamiento Social, Preventivo y Obligatorio. Respuesta a pedidos de informe.</t>
  </si>
  <si>
    <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</si>
  <si>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https://www.youtube.com/watch?v=vvIHzsKlQ08</t>
  </si>
  <si>
    <t>https://gld.legislaturacba.gob.ar/Publics/Actas.aspx?id=m6AwGSHemLo=</t>
  </si>
  <si>
    <t>Temas vinculados al Ministerio de Trabajo de la Provincia de Córdoba en el marco del Aislamiento Social, Preventivo y Obligatorio.</t>
  </si>
  <si>
    <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</si>
  <si>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https://www.youtube.com/watch?v=-DVljyOAsvY</t>
  </si>
  <si>
    <t>https://gld.legislaturacba.gob.ar/Publics/Actas.aspx?id=FNYJSALtxmg=</t>
  </si>
  <si>
    <t>Temas vinculados a la Secretaría de Prevención y Asistencia de las Adicciones en el marco de la Pandemia COVID-19 y del Aislamiento Social, Preventivo y Obligatorio.</t>
  </si>
  <si>
    <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</si>
  <si>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https://www.youtube.com/watch?v=kyCmdAaT278</t>
  </si>
  <si>
    <t>https://gld.legislaturacba.gob.ar/Publics/Actas.aspx?id=Ps9WXRrPjoI=</t>
  </si>
  <si>
    <t>PROMOCIÓN Y DESARROLLO DE ECONOMÍAS REGIONALES Y PYMES</t>
  </si>
  <si>
    <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</si>
  <si>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https://www.youtube.com/watch?v=u2SzA8HwB1E</t>
  </si>
  <si>
    <t>https://gld.legislaturacba.gob.ar/Publics/Actas.aspx?id=Wn7zEuoaaXY=</t>
  </si>
  <si>
    <t>Temas vinculados al Programa PAICOR en el marco de la Pandemia COVID-19 y del Aislamiento Social, Preventivo y Obligatorio. Respuesta a pedidos de informe.</t>
  </si>
  <si>
    <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</si>
  <si>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https://www.youtube.com/watch?v=2l00sknI04g</t>
  </si>
  <si>
    <t>https://gld.legislaturacba.gob.ar/Publics/Actas.aspx?id=FSbC1P5ngP8=</t>
  </si>
  <si>
    <t>Temas vinculados al Ministerio de Agricultura y Ganadería, en el marco de la Pandemia COVID-19 y del Aislamiento Social, Preventivo y Obligatorio.</t>
  </si>
  <si>
    <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</si>
  <si>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https://www.youtube.com/watch?v=RfZnXExkPbo</t>
  </si>
  <si>
    <t>https://gld.legislaturacba.gob.ar/Publics/Actas.aspx?id=qR7nflaeajk=</t>
  </si>
  <si>
    <t>El rol de los municipios y comunas y los distintos protocolos elaborados por los Centros de Operaciones de Emergencia (COE), en el marco de la Pandemia COVID-19 y del Aislamiento Social, Preventivo y Obligatorio.</t>
  </si>
  <si>
    <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</si>
  <si>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https://www.youtube.com/watch?v=AWkJOiQ1eXY</t>
  </si>
  <si>
    <t>https://gld.legislaturacba.gob.ar/Publics/Actas.aspx?id=DUDipVNTFbo=</t>
  </si>
  <si>
    <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</si>
  <si>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https://www.youtube.com/watch?v=AhB6yRqsRLM</t>
  </si>
  <si>
    <t>https://gld.legislaturacba.gob.ar/Publics/Actas.aspx?id=5aTpKdkZ7Vc=;https://gld.legislaturacba.gob.ar/Publics/Actas.aspx?id=6IdxXWsVigc=</t>
  </si>
  <si>
    <t>OBRAS PÚBLICAS, VIVIENDA Y COMUNICACIONES;ECONOMÍA, PRESUPUESTO, GESTIÓN PÚBLICA E INNOVACIÓN</t>
  </si>
  <si>
    <t>Proyecto de Ley Nº 29909/E/20, declarando de utilidad pública y sujeto a expropiación una fracción de terreno del inmueble ubicado en parte de Establecimiento La Negrita, Pedanía Reducción, Departamento Juárez Celman, para la ejecución de la obra “Ensanche de Traza Camino t-188-07”.</t>
  </si>
  <si>
    <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</si>
  <si>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https://gld.legislaturacba.gob.ar/Publics/Actas.aspx?id=AQL7pGfFENQ=;https://gld.legislaturacba.gob.ar/Publics/Actas.aspx?id=Ph0rko7w0Ks=</t>
  </si>
  <si>
    <t>Proyecto de Ley Nº 29910, declarando de utilidad pública y sujeto a expropiación los inmuebles necesarios para la ejecución de la obra “Circunvalación Villa María y Villa Nueva - Tramo: Río Tercero (con puente) - Ruta Nacional Nº 9 y tramo: Ruta Provincial Nº 4 - Río Tercero (sin puente)”.</t>
  </si>
  <si>
    <t>SERVICIOS PÚBLICOS</t>
  </si>
  <si>
    <t>Temas varios relativos al Ente Regulador de Servicios Públicos (ERSEP) en el marco de la Pandemia COVID-19 y del Aislamiento Social, Preventivo y Obligatorio.</t>
  </si>
  <si>
    <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</si>
  <si>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https://gld.legislaturacba.gob.ar/Publics/Actas.aspx?id=dVHyxoNfHEg=</t>
  </si>
  <si>
    <t>Proyecto de Ley Nº 30091, modificando el artículo 1º de la Ley Nº 10003, suspendiendo hasta el 31 de marzo de 2021 las ejecuciones judiciales que persigan la subasta de bienes inmuebles de las asociaciones civiles, clubes o entidades sin fines de lucro.</t>
  </si>
  <si>
    <t>https://gld.legislaturacba.gob.ar/Publics/Actas.aspx?id=MsIhocb7vlw=</t>
  </si>
  <si>
    <t>Situación actual del sector turístico en el marco de la Pandemia COVID-19 y del Aislamiento Social, Preventivo y Obligatorio.</t>
  </si>
  <si>
    <t>https://www.youtube.com/watch?v=22MzWnk5Qwo</t>
  </si>
  <si>
    <t>https://gld.legislaturacba.gob.ar/Publics/Actas.aspx?id=pH2vAN9G27Q=</t>
  </si>
  <si>
    <t>Proyecto de Ley Nº 29816/E/19, designando con el nombre Antonio Seguí al Centro de Arte Contemporáneo que funciona en el inmueble propiedad de la Provincia ubicado en Av. Ramón J. Cárcano 1750 de la ciudad de Córdoba.</t>
  </si>
  <si>
    <t>https://www.youtube.com/watch?v=XzsipIZasEc</t>
  </si>
  <si>
    <t>https://gld.legislaturacba.gob.ar/Publics/Actas.aspx?id=EXfKU0xc7rc=</t>
  </si>
  <si>
    <t>Otros proyectos vinculados a la situación de los docentes suplentes, interinos y de aquellos que cumplían “jornada extendida” en instituciones educativas de la provincia.</t>
  </si>
  <si>
    <t>Armado de un cronograma de actividades y de visitas a la Comisión.</t>
  </si>
  <si>
    <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</si>
  <si>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https://gld.legislaturacba.gob.ar/Publics/Actas.aspx?id=7XiWl0SmqtE=</t>
  </si>
  <si>
    <t>Proyecto de Ley Nº 30091/L/20, modificando el artículo 1º de la Ley Nº 10003, suspendiendo hasta el 31 de marzo de 2021 las ejecuciones judiciales que persigan la subasta de bienes inmuebles de las asociaciones civiles, clubes o entidades sin fines de lucro.</t>
  </si>
  <si>
    <t>https://www.youtube.com/watch?v=djS9MQlIzg8</t>
  </si>
  <si>
    <t>https://gld.legislaturacba.gob.ar/Publics/Actas.aspx?id=9drLIh305UY=</t>
  </si>
  <si>
    <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</si>
  <si>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https://www.youtube.com/watch?v=aL7VO4R-0B0</t>
  </si>
  <si>
    <t>https://gld.legislaturacba.gob.ar/Publics/Actas.aspx?id=nGfd4U-JHDo=;https://gld.legislaturacba.gob.ar/Publics/Actas.aspx?id=6pHcN_GfMzI=</t>
  </si>
  <si>
    <t>Pliego Nº 29695/P/19, solicitando acuerdo para designar al abogado JORGE ENRIQUE CASTRO Vocal de Cámara en la Cámara en lo Civil y Comercial, del Trabajo y Familia de la Séptima Circunscripción Judicial con asiento en la ciudad de Cruz del Eje.</t>
  </si>
  <si>
    <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</si>
  <si>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https://www.youtube.com/watch?v=aL7VO4R-0B0&amp;t=782s</t>
  </si>
  <si>
    <t>https://gld.legislaturacba.gob.ar/Publics/Actas.aspx?id=lWx-ooIJv_A=</t>
  </si>
  <si>
    <t>Pliego Nº 29847/P/19, solicitando acuerdo para designar a la abogada LUCRECIA NOCETTO Vocal de Cámara en la Cámara en lo Civil y Comercial, del Trabajo y Familia de la Séptima Circunscripción Judicial con asiento en la ciudad de Cruz del Eje.</t>
  </si>
  <si>
    <t>INDUSTRIA Y MINERÍA</t>
  </si>
  <si>
    <t>Constitución formal de la comisión y designación de sus autoridades.</t>
  </si>
  <si>
    <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</si>
  <si>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https://gld.legislaturacba.gob.ar/Publics/Actas.aspx?id=40IZo5e99lI=</t>
  </si>
  <si>
    <t>Análisis del anteproyecto de resolución modificatorio del Reglamento Interno de la Legislatura en relación al cambio de nombre de la Comisión.</t>
  </si>
  <si>
    <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</si>
  <si>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https://www.youtube.com/watch?v=XvQJYkgwKV8</t>
  </si>
  <si>
    <t>https://gld.legislaturacba.gob.ar/Publics/Actas.aspx?id=yw6LckpotcU=</t>
  </si>
  <si>
    <t>Presentación de la iniciativa de elaboración de un relevamiento y sistematización de legislación referida a la temática de la Comisión.</t>
  </si>
  <si>
    <t>Programa Regional de Protección de la Biodiversidad, novedosa iniciativa de conservación animal y vegetal de competencia interprovincial.</t>
  </si>
  <si>
    <t>SEGUIMIENTO DE LA EMISIÓN DE TÍTULOS DE DEUDA;ECONOMÍA, PRESUPUESTO, GESTIÓN PÚBLICA E INNOVACIÓN</t>
  </si>
  <si>
    <t>Constitución formal de la Comisión de Seguimiento de la Emisión de Títulos de Deuda.</t>
  </si>
  <si>
    <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t>
  </si>
  <si>
    <t>NA;https://gld.legislaturacba.gob.ar/Publics/Actas.aspx?id=_yEQxNXdbRM=</t>
  </si>
  <si>
    <t>Proyecto de Ley Nº 30455/L/20, declarando prioritaria para el interés de la Provincia de Córdoba la consolidación de la sostenibilidad de la deuda pública.</t>
  </si>
  <si>
    <t>PROMOCIÓN Y DEFENSA DE LOS DERECHOS DE LA NIÑEZ, ADOLESCENCIA Y FAMILIA</t>
  </si>
  <si>
    <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</si>
  <si>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https://www.youtube.com/watch?v=VP2Goa6bZWs</t>
  </si>
  <si>
    <t>https://gld.legislaturacba.gob.ar/Publics/Actas.aspx?id=KpIydxfBSiQ=</t>
  </si>
  <si>
    <t>El rol de las Comunidades Regionales en el contexto de la pandemia. Experiencias y desafíos.</t>
  </si>
  <si>
    <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</si>
  <si>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https://www.youtube.com/watch?v=wUo-YGm8jxA</t>
  </si>
  <si>
    <t>https://gld.legislaturacba.gob.ar/Publics/Actas.aspx?id=adSWnGOJjr0=</t>
  </si>
  <si>
    <t>Pliego Nº 29845/P/19, solicitando acuerdo para designar al abogado JORGE JOSÉ AÍTA TAGLE Vocal de Cámara en la Cámara en lo Civil y Comercial y de Familia de 1a Nominación de la Segunda Circunscripción Judicial con asiento en la ciudad de Río Cuarto.</t>
  </si>
  <si>
    <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</si>
  <si>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https://www.youtube.com/watch?v=8agLeR4ew_Q</t>
  </si>
  <si>
    <t>https://gld.legislaturacba.gob.ar/Publics/Actas.aspx?id=7fiRyVaVZFQ=</t>
  </si>
  <si>
    <t>Pliego Nº 29846/P/19, solicitando acuerdo para designar a la abogada MARÍA ADRIANA GODOY Vocal de Cámara en la Cámara en lo Civil y Comercial, de Familia y del Trabajo de la Décima Circunscripción Judicial con asiento en la ciudad de Río Tercero.</t>
  </si>
  <si>
    <t>Pliego Nº 30083/P/20, solicitando acuerdo para la designación de la señora Técnica Superior en Seguridad Comunitaria CLARISA FANY CARRERA, como Subjefa de la Fuerza Policial Antinarcotráfico, conforme el artículo 5º de la Ley Nº 10200.</t>
  </si>
  <si>
    <t>Situación de los clubes en el contexto de la pandemia. Programa de Asistencia Económica a Clubes. Protocolos para el regreso de diferentes actividades deportivas.</t>
  </si>
  <si>
    <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</si>
  <si>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https://www.youtube.com/watch?v=XhawY8_f6FM</t>
  </si>
  <si>
    <t>https://gld.legislaturacba.gob.ar/Publics/Actas.aspx?id=0WwcRr7pXDQ=</t>
  </si>
  <si>
    <t>Programas del Ministerio de Desarrollo Social en el marco de la coyuntura actual. Respuestas a pedidos de informe.</t>
  </si>
  <si>
    <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</si>
  <si>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https://www.youtube.com/watch?v=SkrYOJFqb18</t>
  </si>
  <si>
    <t>https://gld.legislaturacba.gob.ar/Publics/Actas.aspx?id=REr3OAO908s=</t>
  </si>
  <si>
    <t>Anteproyecto de digesto ambiental.</t>
  </si>
  <si>
    <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</si>
  <si>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https://www.youtube.com/watch?v=84hysprcySM</t>
  </si>
  <si>
    <t>https://gld.legislaturacba.gob.ar/Publics/Actas.aspx?id=CWofJDIRJh0=</t>
  </si>
  <si>
    <t>Anteproyecto de resolución modificatorio del Reglamento Interno de la Legislatura en relación al cambio de nombre de la Comisión.</t>
  </si>
  <si>
    <t>PREVENCIÓN, TRATAMIENTO Y CONTROL DE LAS ADICCIONES;PROMOCIÓN Y DEFENSA DE LOS DERECHOS DE LA NIÑEZ, ADOLESCENCIA Y FAMILIA</t>
  </si>
  <si>
    <t>Una mirada en el pasado, para poder trabajar el presente y mejorar el futuro de la niñez en el consumo de drogas. Programa de Asistencia Interdisciplinaria de Consumo y Abuso Sexual.</t>
  </si>
  <si>
    <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</si>
  <si>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https://gld.legislaturacba.gob.ar/Publics/Actas.aspx?id=fkfnXSWbB_U=;https://gld.legislaturacba.gob.ar/Publics/Actas.aspx?id=8lFGCx5eMV4=</t>
  </si>
  <si>
    <t>Proyecto de Resolución Nº 30541/L/20, iniciado por el Bloque de la UCR, solicitando informe al Poder Ejecutivo (Art. 102 CP), a través del Ministerio de Finanzas y la Caja de Jubilaciones, Pensiones y Retiros de Córdoba.</t>
  </si>
  <si>
    <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</si>
  <si>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https://www.youtube.com/watch?v=Sy-Ceyf86pc</t>
  </si>
  <si>
    <t>https://gld.legislaturacba.gob.ar/Publics/Actas.aspx?id=BU5agbT93g0=</t>
  </si>
  <si>
    <t>SALUD HUMANA;LEGISLACIÓN GENERAL</t>
  </si>
  <si>
    <t>Proyecto de Ley Nº 30555/E/20, adhiriendo a la Ley Nacional Nº 27548, Programa de Protección al Personal de Salud.</t>
  </si>
  <si>
    <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</si>
  <si>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https://gld.legislaturacba.gob.ar/Publics/Actas.aspx?id=oEuuZUfnAtw=;https://gld.legislaturacba.gob.ar/Publics/Actas.aspx?id=4RVXc8Iwp_w=</t>
  </si>
  <si>
    <t>Proyecto de Declaración Nº 30546/L/20, iniciado por la legisladora Irazuzta, expresando su repudio y preocupación ante el anuncio del Gobierno Nacional de la intervención de la empresa Vicentín SAIC.</t>
  </si>
  <si>
    <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</si>
  <si>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https://gld.legislaturacba.gob.ar/Publics/Actas.aspx?id=g4UxmTFTTPk=</t>
  </si>
  <si>
    <t>Proyecto de Resolución Nº 30560/L/20, iniciado los legisladores Paleo, Capitani, De Ferrari Rueda, Caffaratti, Gudiño y Recalde, instruyendo a los Senadores Nacionales y solicitando a los Diputados Nacionales por Córdoba a que realicen las gestiones pertinentes ante el Congreso Nacional para que éste recupere para sí las competencias que le son propias en materia de expropiación con relación a la Sociedad Vicentín SAIC.</t>
  </si>
  <si>
    <t>Radios municipales y comunales. Detalle de municipios y comunas que tienen sus radios aprobados y aquellos que aún no lo tienen.</t>
  </si>
  <si>
    <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</si>
  <si>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https://www.youtube.com/watch?v=ZOlUUKojTGA</t>
  </si>
  <si>
    <t>https://gld.legislaturacba.gob.ar/Publics/Actas.aspx?id=kKiuMZyZFnY=</t>
  </si>
  <si>
    <t>Pliego Nº 30427/P/20, remitido por el Poder Ejecutivo, solicitando acuerdo para designar al Ab. Esteban José Diaz Reyna, como Vocal de Cámara en lo Criminal y Correccional en la Cámara en lo Criminal y Correccional de Sexta Nominación con sede en la ciudad de Córdoba.</t>
  </si>
  <si>
    <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</si>
  <si>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https://gld.legislaturacba.gob.ar/Publics/Actas.aspx?id=EwKsGWind_M=</t>
  </si>
  <si>
    <t>Pliego Nº 30428/L/20, remitido por el Poder Ejecutivo, solicitando acuerdo para designar al Ab. Juna pablo Miguel, como Vocal de Cámara en la Cámara de Apelaciones en lo Civil y Comercial, del Trabajo y de Familia con sede en la ciudad de Bell Ville, perteneciente a la Tercera Circunscripción Judicial.</t>
  </si>
  <si>
    <t>Cronograma de actividades de la Comisión.</t>
  </si>
  <si>
    <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</si>
  <si>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https://gld.legislaturacba.gob.ar/Publics/Actas.aspx?id=0a-VWLGzTlE=</t>
  </si>
  <si>
    <t>ECONOMÍA, PRESUPUESTO, GESTIÓN PÚBLICA E INNOVACIÓN;SERVICIOS PÚBLICOS</t>
  </si>
  <si>
    <t>Proyecto de Ley Nº 21237/L/17, iniciado por el Legislador González, estableciendo que las empresas prestatarias de servicios públicos deben emitir boletas y facturas en soporte digital para ser remitidas a los usuarios por correo electrónico, y en el caso de los no videntes tendrán que hacerlo en sistema Braile.</t>
  </si>
  <si>
    <t>https://gld.legislaturacba.gob.ar/Publics/Actas.aspx?id=Hleew-X62sI=;https://gld.legislaturacba.gob.ar/Publics/Actas.aspx?id=ISpnyBqW7dU=</t>
  </si>
  <si>
    <t>Funcionamiento del Centro Integral de Varones en situación de Violencia.</t>
  </si>
  <si>
    <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</si>
  <si>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https://gld.legislaturacba.gob.ar/Publics/Actas.aspx?id=7MfUxNhD-8g=</t>
  </si>
  <si>
    <t>ASUNTOS CONSTITUCIONALES, JUSTICIA Y ACUERDOS;LEGISLACIÓN GENERAL;DERECHOS HUMANOS Y DESARROLLO SOCIAL</t>
  </si>
  <si>
    <t>Proyecto de Resolución 30104/R/20, iniciado por la Legisladora Díaz García, solicitando al Poder Ejecutivo informe sobre cuestiones referidas a la prisión domiciliaria de la Sra. Flavia Saganias.</t>
  </si>
  <si>
    <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</si>
  <si>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https://www.youtube.com/watch?v=nPxpGApgkYs</t>
  </si>
  <si>
    <t>https://gld.legislaturacba.gob.ar/Publics/Actas.aspx?id=gvWgld1E_58=;https://gld.legislaturacba.gob.ar/Publics/Actas.aspx?id=0ZRIEIuurWE=;https://gld.legislaturacba.gob.ar/Publics/Actas.aspx?id=IXdwozlhmSI=</t>
  </si>
  <si>
    <t>Proyecto de Resolución 30314/R/20, iniciado por la Legisladora Irazuzta, citando al Ministro de Justicia Julián López, a los fines de brindar precisiones respecto al tratamiento de detenidos en establecimientos penitenciarios en las distintas jurisdicciones de la Provincia de Córdoba, en el marco de la crisis sanitaria declarada por el COVID-19.</t>
  </si>
  <si>
    <t>Proyecto de Resolución 30509/R/20, iniciado por el Bloque Encuentro Vecinal Córdoba, solicitando al Poder Ejecutivo sobre distintos puntos referidos al Programa de Asistencia y Reinserción Social del Liberado.</t>
  </si>
  <si>
    <t>Proyecto de Resolución 30375/R/20, iniciado por los legisladores Paleo y Capitani, solicitando informe al Poder Ejecutivo a través del Ministerio de Justicia y Derechos Humanos, sobre el alcance del programa “Asistencia Jurídica Gratuita”, dependiente de la Dirección de Política Judicial de la Secretaría de Justicia de la Provincia de Córdoba.</t>
  </si>
  <si>
    <t>Proyecto de Resolución 29875/R/20, iniciado por el Leg. Arduh, solicitando al Poder Ejecutivo informe sobre el impacto ambiental generado por el escape de ácido nítrico de la Petroquímica Río Tercero al cauce del río, acciones realizadas, controles y políticas de prevención.</t>
  </si>
  <si>
    <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</si>
  <si>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https://gld.legislaturacba.gob.ar/Publics/Actas.aspx?id=hpVfcUhJmFk=</t>
  </si>
  <si>
    <t>Proyecto de Resolución 29879/R/20, iniciado por la Leg. Díaz García, solicitando al Poder Ejecutivo informe sobre la situación generada por el derrame de ácido nítrico en el Río Ctalamochita producida por un escape en el polo químico de la ciudad de Río Tercero.</t>
  </si>
  <si>
    <t>Proyecto de Resolución 29881/R/20, iniciado por el Bloque EVC, solicitando al Poder Ejecutivo informe sobre aspectos relacionados al derrame producido en la Petroquímica Río Tercero.</t>
  </si>
  <si>
    <t>Proyecto de Resolución 30346/R/20, iniciado por el Leg. Rossi, solicitando informe al Poder Ejecutivo a través de la Secretaría de Ambiente y Cambio Climático, sobre distintos puntos relacionados con el Jardín Zoológico de la Provincia. Procedimientos llevados adelante por Policía Ambiental por desmontes y decomisos y liberación de especies.</t>
  </si>
  <si>
    <t>LEGISLACIÓN DEL TRABAJO, PREVISIÓN Y SEGURIDAD SOCIAL;PROMOCIÓN Y DESARROLLO DE ECONOMÍAS REGIONALES Y PYMES;INDUSTRIA Y MINERÍA</t>
  </si>
  <si>
    <t>Situación del sector de la industria de la alimentación en el marco de la pandemia del Coronavirus.</t>
  </si>
  <si>
    <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</si>
  <si>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https://www.youtube.com/watch?v=igViBMdzCQw</t>
  </si>
  <si>
    <t>https://gld.legislaturacba.gob.ar/Publics/Actas.aspx?id=L0n68cPZPfM=;https://gld.legislaturacba.gob.ar/Publics/Actas.aspx?id=TdYLB8CURzo=;https://gld.legislaturacba.gob.ar/Publics/Actas.aspx?id=6C397JfwzlU=</t>
  </si>
  <si>
    <t>ASUNTOS CONSTITUCIONALES, JUSTICIA Y ACUERDOS;DERECHOS HUMANOS Y DESARROLLO SOCIAL</t>
  </si>
  <si>
    <t>Proyecto de Ley Nº 30569/L/20, adhiriendo la Provincia a la Resolución 114/2020 del Ministerio de Relaciones Exteriores, Comercio Internacional y Culto de la Nación, que adopta la definición de Antisemitismo de la Alianza Internacional para el Recuerdo del Holocausto (IHRA por sus siglas en inglés).</t>
  </si>
  <si>
    <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</si>
  <si>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https://www.youtube.com/watch?v=kUFP9SN9sTU</t>
  </si>
  <si>
    <t>https://gld.legislaturacba.gob.ar/Publics/Actas.aspx?id=RH5Ckn56qkI=;https://gld.legislaturacba.gob.ar/Publics/Actas.aspx?id=y7J7vEeLhpw=</t>
  </si>
  <si>
    <t>Fondo de Auxilio para prestadores turísticos. Capacitación Turística en cursos virtuales. Protocolos con acciones recomendadas para establecimientos gastronómicos y alojamientos. Protocolos y recomendaciones para las futuras visitas -cuando se reanude la actividad turística- a los distintos paseos que tiene la provincia (ríos, montañas, museos, iglesias u otras atracciones similares).</t>
  </si>
  <si>
    <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</si>
  <si>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https://www.youtube.com/watch?v=mZikB96oorc</t>
  </si>
  <si>
    <t>https://gld.legislaturacba.gob.ar/Publics/Actas.aspx?id=LKjvg0y0y6M=</t>
  </si>
  <si>
    <t>Presentación de los programas impulsados por el Instituto Nacional de Asociativismo y Economía Social (INAES): “Mesas de Fomento del Asociativismo y la Economía Social”.</t>
  </si>
  <si>
    <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</si>
  <si>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https://www.youtube.com/watch?v=OP7J1_I14rc</t>
  </si>
  <si>
    <t>https://gld.legislaturacba.gob.ar/Publics/Actas.aspx?id=f0JBO8UM84U=</t>
  </si>
  <si>
    <t>EDUCACIÓN, CULTURA, CIENCIA, TECNOLOGÍA E INFORMÁTICA;PROMOCIÓN Y DEFENSA DE LOS DERECHOS DE LA NIÑEZ, ADOLESCENCIA Y FAMILIA</t>
  </si>
  <si>
    <t>Ciberacoso y Grooming en Contextos de Aislamiento.</t>
  </si>
  <si>
    <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</si>
  <si>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https://www.youtube.com/watch?v=4mMZS65PqEU</t>
  </si>
  <si>
    <t>https://gld.legislaturacba.gob.ar/Publics/Actas.aspx?id=zLYZlyX1mBc=;https://gld.legislaturacba.gob.ar/Publics/Actas.aspx?id=49rbsWS-jsA=</t>
  </si>
  <si>
    <t>Proyecto de Ley 30673/L/20, creación de un régimen sancionatorio para conductas que transgredan los protocolos de seguridad o sanitarias, dictados con el fin de proteger la salud pública en el marco del COVID-19.</t>
  </si>
  <si>
    <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</si>
  <si>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https://www.youtube.com/watch?v=9NmtZ6tejtE</t>
  </si>
  <si>
    <t>https://gld.legislaturacba.gob.ar/Publics/Actas.aspx?id=-HQqYenYtHU=;https://gld.legislaturacba.gob.ar/Publics/Actas.aspx?id=nZpmE4Fr-CY=</t>
  </si>
  <si>
    <t>Proyecto de Ley Nº 30578/L/20, iniciado por los Leg. González, Rinaldi, Cid, Abraham y Lorenzo, modificando el texto del Título II y del Capítulo Único de la Ley 10326 -Código de Convivencia Ciudadana-.</t>
  </si>
  <si>
    <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</si>
  <si>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https://gld.legislaturacba.gob.ar/Publics/Actas.aspx?id=YUldpHklaps=</t>
  </si>
  <si>
    <t>Pliego 30653/P/20, solicitando acuerdo para designar al Ab. Arnaldo Enrique Romero, como Juez en lo Civil, Comercial y de Familia, en el Juzgado Civil, Comercial y de Familia de Segunda Nominación, con sede en Villa María, Cuarta Circunscripción Judicial.</t>
  </si>
  <si>
    <t>PROMOCIÓN Y DESARROLLO DE ECONOMÍAS REGIONALES Y PYMES;INDUSTRIA Y MINERÍA</t>
  </si>
  <si>
    <t>Situación actual del sector de la industria metalúrgica en el marco de la pandemia del Coronavirus.</t>
  </si>
  <si>
    <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</si>
  <si>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https://gld.legislaturacba.gob.ar/Publics/Actas.aspx?id=NKQdC309I2U=;https://gld.legislaturacba.gob.ar/Publics/Actas.aspx?id=TejQhDHK_6o=</t>
  </si>
  <si>
    <t>LEGISLACIÓN DEL TRABAJO, PREVISIÓN Y SEGURIDAD SOCIAL;TURISMO Y SU RELACIÓN CON EL DESARROLLO REGIONAL</t>
  </si>
  <si>
    <t>Situación del Sector de la Unión de Trabajadores del Turismo, Hoteleros y Gastronómicos de la República Argentina (UTHGRA), en el marco de la Pandemia COVID-19.</t>
  </si>
  <si>
    <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</si>
  <si>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https://www.youtube.com/watch?v=RpYQNBscRjU</t>
  </si>
  <si>
    <t>https://gld.legislaturacba.gob.ar/Publics/Actas.aspx?id=B2lBCiOeenY=;https://gld.legislaturacba.gob.ar/Publics/Actas.aspx?id=14GNdM37niA=</t>
  </si>
  <si>
    <t>Proyecto de Resolución 30692/R/20, modificando el artículo 2º de la Resolución R-3472/20 e incorporando como artículo 3º ter la “Comisión de Ambiente”.</t>
  </si>
  <si>
    <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</si>
  <si>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https://www.youtube.com/watch?v=z5fsoDIIb_0</t>
  </si>
  <si>
    <t>https://gld.legislaturacba.gob.ar/Publics/Actas.aspx?id=P8ysM8CNC2k=</t>
  </si>
  <si>
    <t>Anteproyecto de resolución modificatorio del Reglamento Interno de la Legislatura en relación al cambio de nombre de la Comisión y sus incumbencias.</t>
  </si>
  <si>
    <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</si>
  <si>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https://gld.legislaturacba.gob.ar/Publics/Actas.aspx?id=ehQB6nziyfc=</t>
  </si>
  <si>
    <t>Proyecto de Resolución 29952/R/20, iniciado por el Bloque Encuentro Vecinal Córdoba, solicitando informe sobre la obra de recuperación del edificio para el CPC de Barrio Jardín Espinosa.</t>
  </si>
  <si>
    <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</si>
  <si>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https://www.youtube.com/watch?v=RO4SqDiLWFk</t>
  </si>
  <si>
    <t>https://gld.legislaturacba.gob.ar/Publics/Actas.aspx?id=r-Vt3cIYRKs=</t>
  </si>
  <si>
    <t>Proyecto de Resolución 29915/R/20, iniciado por la Leg. Caffaratti, solicitando informe sobre las obras del edificio donde funcionará el CPC del barrio Jardín Espinosa.</t>
  </si>
  <si>
    <t>Ratificación del despacho del Proyecto de Ley Nº 30578/L/20, iniciado por los Leg. González, Rinaldi, Cid, Abraham y Lorenzo, modificando el texto del Título II y del Capítulo Único de la Ley 10326 -Código de Convivencia Ciudadana-.</t>
  </si>
  <si>
    <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</si>
  <si>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https://www.youtube.com/watch?v=KhyBGPJ-5rw</t>
  </si>
  <si>
    <t>https://gld.legislaturacba.gob.ar/Publics/Actas.aspx?id=3D54FEXKeEk=</t>
  </si>
  <si>
    <t>INDUSTRIA Y MINERÍA;PROMOCIÓN Y DESARROLLO DE ECONOMÍAS REGIONALES Y PYMES;ECONOMÍA, PRESUPUESTO, GESTIÓN PÚBLICA E INNOVACIÓN</t>
  </si>
  <si>
    <t>Proyecto de Ley Nº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t>
  </si>
  <si>
    <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</si>
  <si>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https://www.youtube.com/watch?v=hNgiqMOTMf8</t>
  </si>
  <si>
    <t>https://gld.legislaturacba.gob.ar/Publics/Actas.aspx?id=8apxt34HXbU=;https://gld.legislaturacba.gob.ar/Publics/Actas.aspx?id=VQEFHVyx92o=;https://gld.legislaturacba.gob.ar/Publics/Actas.aspx?id=k7EAn1D5Vuo=</t>
  </si>
  <si>
    <t>Programa de Buenas Prácticas Agropecuarias.</t>
  </si>
  <si>
    <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</si>
  <si>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https://www.youtube.com/watch?v=5wLEIV3c9Zw</t>
  </si>
  <si>
    <t>https://gld.legislaturacba.gob.ar/Publics/Actas.aspx?id=PbdH3VBZK-4=</t>
  </si>
  <si>
    <t>La brecha tecnológica en cuestiones de género.</t>
  </si>
  <si>
    <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</si>
  <si>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https://gld.legislaturacba.gob.ar/Publics/Actas.aspx?id=d9DGmDMyAOU=</t>
  </si>
  <si>
    <t>Proyecto de Ley Nº 30698/L/20, iniciado por los Legisladores Ambrosio y Paleo, modificando el Código Arancelario para Abogados y Procuradores de la Provincia de Córdoba -Ley Nº 9459-.</t>
  </si>
  <si>
    <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</si>
  <si>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https://www.youtube.com/watch?v=T-kVdu39kVM</t>
  </si>
  <si>
    <t>https://gld.legislaturacba.gob.ar/Publics/Actas.aspx?id=GQa6vMgcktE=;https://gld.legislaturacba.gob.ar/Publics/Actas.aspx?id=rhxtfSFoqEg=</t>
  </si>
  <si>
    <t>Proyecto de Resolución 29955/R/20 SOLICITANDO AL PODER EJECUTIVO INFORME (ART. 102 CP) SOBRE EL ESTADO DE LA DEUDA DE LA PROVINCIA.</t>
  </si>
  <si>
    <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</si>
  <si>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https://www.youtube.com/watch?v=l3hml7StaKU</t>
  </si>
  <si>
    <t>https://gld.legislaturacba.gob.ar/Publics/Actas.aspx?id=5dOvOWXhWSw=</t>
  </si>
  <si>
    <t>Proyecto de Resolución 30058/R/20 SOLICITANDO AL PODER EJECUTIVO INFORME (ART. 102 CP) SOBRE LA EJECUCIÓN PRESUPUESTARIA DEL EJERCICIO 2019 DEL PROGRAMA 084-000, APORTES A LA AGENCIA CÓRDOBA DE INVERSIÓN Y FINANCIAMIENTO SEM.</t>
  </si>
  <si>
    <t>Proyecto de Resolución 30242/R/20 SOLICITANDO INFORME AL PODER EJECUTIVO (ART. 102 CP), SOBRE DIVERSOS PUNTOS RELACIONADOS A LAS EMPRESAS PROVEEDORAS DEL ESTADO PROVINCIAL.</t>
  </si>
  <si>
    <t>Proyecto de Resolución 30264/R/20 SOLICITANDO AL PODER EJECUTIVO (ART. 102 CP), A TRAVÉS DEL MINISTERIO DE FINANZAS, SE SIRVA A INFORMAR Y AMPLIAR ALGUNOS PUNTOS DE LA EXPOSICIÓN REALIZADA POR EL MINISTRO ANTE LA COMISIÓN DE ECONOMÍA, PRESUPUESTO, GESTIÓN PÚBLICA E INNOVACIÓN DEL 14 DE ABRIL DEL CORRIENTE AÑO.</t>
  </si>
  <si>
    <t>Proyecto de Resolución 30276/R/20 SOLICITANDO INFORME AL PODER EJECUTIVO (ART. 102 CP), A TRAVÉS DE LA LOTERÍA DE CÓRDOBA S.E, RESPECTO A LA LICITACIÓN PÚBLICA SOBRE LA CONTRATACIÓN DE SERVICIO DE LIMPIEZA PARA LOCALES URBANOS, DELEGACIONES, CASINOS PROVINCIALES Y DEPÓSITOS: CONCURSO DE PRECIOS Nº 21740/19.</t>
  </si>
  <si>
    <t>PROMOCIÓN Y DEFENSA DE LOS DERECHOS DE LA NIÑEZ, ADOLESCENCIA Y FAMILIA;EDUCACIÓN, CULTURA, CIENCIA, TECNOLOGÍA E INFORMÁTICA</t>
  </si>
  <si>
    <t>La situación de niños, niñas y adolescentes en el marco del aislamiento y su relación con el uso de las tecnologías.</t>
  </si>
  <si>
    <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</si>
  <si>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https://www.youtube.com/watch?v=XiuWk0lAs_E</t>
  </si>
  <si>
    <t>https://gld.legislaturacba.gob.ar/Publics/Actas.aspx?id=c0AQJcd4CUM=;https://gld.legislaturacba.gob.ar/Publics/Actas.aspx?id=ExNm1jSkjic=</t>
  </si>
  <si>
    <t>Proyecto de Ley 30747/L/20, iniciado por el Poder Ejecutivo, modificando el artículo 15 de la Ley Nº 9375, de creación de la Universidad Provincial de Córdoba, ampliando el plazo para llevar adelante el proceso de normalización.</t>
  </si>
  <si>
    <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</si>
  <si>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https://www.youtube.com/watch?v=XiuWk0lAs_E&amp;t=4460s</t>
  </si>
  <si>
    <t>https://gld.legislaturacba.gob.ar/Publics/Actas.aspx?id=ExNm1jSkjic=</t>
  </si>
  <si>
    <t>Proyecto de Ley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t>
  </si>
  <si>
    <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</si>
  <si>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https://gld.legislaturacba.gob.ar/Publics/Actas.aspx?id=GbG3M9A6i8s=</t>
  </si>
  <si>
    <t>Proyecto de Ley 30698/L/20, iniciado por los Legisladores Ambrosio y Paleo, modificando el Código Arancelario para Abogados y Procuradores de la Provincia de Córdoba -Ley Nº 9459-.</t>
  </si>
  <si>
    <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</si>
  <si>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https://www.youtube.com/watch?v=7kq6Wp9RyQ0</t>
  </si>
  <si>
    <r>
      <rPr>
        <sz val="10"/>
        <color rgb="FF000000"/>
        <rFont val="Arial"/>
      </rPr>
      <t>https://gld.legislaturacba.gob.ar/Publics/Actas.aspx?id=5fQn2dkWBpk=</t>
    </r>
    <r>
      <rPr>
        <sz val="10"/>
        <color theme="1"/>
        <rFont val="Arial"/>
      </rPr>
      <t>;</t>
    </r>
    <r>
      <rPr>
        <sz val="10"/>
        <color rgb="FF000000"/>
        <rFont val="Arial"/>
      </rPr>
      <t>https://gld.legislaturacba.gob.ar/Publics/Actas.aspx?id=MxHm0Fyll8c=</t>
    </r>
  </si>
  <si>
    <t>Proyecto de Resolución 30743/R/20, iniciado por los legisladores Alesandri, Iturria, Latimori, Ramallo, Serrano, Ambrosio, Jure, Rossi y Marcone, modificando el artículo 77 del Reglamento Interno, el que quedará redactado de la siguiente manera: Comisión de Relaciones Internacionales, Mercosur y Comercio Exterior.</t>
  </si>
  <si>
    <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</si>
  <si>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https://www.youtube.com/watch?v=vWt3AhB8_4E</t>
  </si>
  <si>
    <t>https://gld.legislaturacba.gob.ar/Publics/Actas.aspx?id=D4FWBWSlL5c=</t>
  </si>
  <si>
    <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</si>
  <si>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https://www.youtube.com/watch?v=2H5lDERAsVw</t>
  </si>
  <si>
    <r>
      <rPr>
        <sz val="10"/>
        <color rgb="FF000000"/>
        <rFont val="Arial"/>
      </rPr>
      <t>https://gld.legislaturacba.gob.ar/Publics/Actas.aspx?id=O-uPG-d7AEs=</t>
    </r>
    <r>
      <rPr>
        <sz val="10"/>
        <color theme="1"/>
        <rFont val="Arial"/>
      </rPr>
      <t>;</t>
    </r>
    <r>
      <rPr>
        <sz val="10"/>
        <color rgb="FF000000"/>
        <rFont val="Arial"/>
      </rPr>
      <t>https://gld.legislaturacba.gob.ar/Publics/Actas.aspx?id=Jy6PKZOznAM=</t>
    </r>
  </si>
  <si>
    <t>Proyecto de Resolución 30472/R/20, iniciado por los legisladores Cossar, Rins, Garade Panetta, Rossi y Carrillo, instando al Poder Ejecutivo a crear un “Grupo Asesor Multidisciplinario de Expertos” destinado a aportar documentos técnicos, recomendaciones y protocolos de acciones de mediano y largo plazo tendientes a mitigar los efectos de la Pandemia Covid-19.</t>
  </si>
  <si>
    <t>https://www.youtube.com/watch?v=2H5lDERAsVw&amp;t=4720s</t>
  </si>
  <si>
    <t>https://gld.legislaturacba.gob.ar/Publics/Actas.aspx?id=gf38IAaP-1E=</t>
  </si>
  <si>
    <t>AMBIENTE</t>
  </si>
  <si>
    <t>Proyecto de Resolución 30072/R/20, iniciado por el Bloque de la Unión Cívica Radical, solicitando al Poder Ejecutivo informe (Art. 102 CP) sobre aspectos referidos a la preservación y conservación de Áreas Protegidas, relacionado con el avance de la degradación ambiental de las mismas.</t>
  </si>
  <si>
    <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</si>
  <si>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https://www.youtube.com/watch?v=RjL2cgpjhY0</t>
  </si>
  <si>
    <t>https://gld.legislaturacba.gob.ar/Publics/Actas.aspx?id=FjNTYTG40Ko=</t>
  </si>
  <si>
    <t>Proyecto de Declaración 30790/D/20, iniciado por la legisladora Fernández, expresando su beneplácito y reconocimiento a la labor realizada por las y los jóvenes que integran la cooperativa “ReciclarCOOP”, quienes por medio del armado de una cooperativa de trabajo buscan dar una solución al problema de contaminación ambiental y al desempleo.</t>
  </si>
  <si>
    <t>Proyecto de Ley 30622/L/20, iniciado por los legisladores Fernández y Serrano, creando el Calendario Ambiental de la Provincia de Córdoba con la finalidad de concientizar a la sociedad en la temática de la preservación medioambiental.</t>
  </si>
  <si>
    <t>Proyecto de Resolución 30193/L/20, iniciado por el Bloque EVC, solicitando informe al Poder Ejecutivo (Art. 102 CP) sobre distintos puntos referidos el Programa Punto Mujer y la línea gratuita 0800-888-9898 del Polo Integral de la Mujer, pertenecientes al Ministerio de la Mujer.</t>
  </si>
  <si>
    <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</si>
  <si>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https://gld.legislaturacba.gob.ar/Publics/Actas.aspx?id=hZXs_FwvcZ8=</t>
  </si>
  <si>
    <t>Proyecto de Resolución 30263/R/20, iniciado por la Legisladora Echevarría, solicitando informe al Poder Ejecutivo (Art. 102 CP), a través del Ministerio de la Mujer de la Provincia, sobre distintos puntos relacionados a la atención integral a las víctimas de violencia de género durante el aislamiento obligatorio dispuesto a nivel nacional.</t>
  </si>
  <si>
    <t>Proyecto de Resolución 30315/R/20, iniciado por la Legisladora Díaz García, solicitando informe al Poder Ejecutivo (Art. 102 CP), a través del Ministerio de la Mujer, sobre diferentes aspectos relacionados con el crecimiento de las violencias hacia las mujeres durante la emergencia sanitaria por el Coronavirus. Anteproyecto de ley instituyendo el Día de las Futbolistas.</t>
  </si>
  <si>
    <t>Programas, proyectos y realizaciones del Ministerio de Ciencia y Tecnología.</t>
  </si>
  <si>
    <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</si>
  <si>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https://www.youtube.com/watch?v=aSMNB5NBqeg</t>
  </si>
  <si>
    <t>https://gld.legislaturacba.gob.ar/Publics/Actas.aspx?id=4gHPfwzYL6w=</t>
  </si>
  <si>
    <t>AMBIENTE;OBRAS PÚBLICAS, VIVIENDA Y COMUNICACIONES</t>
  </si>
  <si>
    <t>Proyecto de Resolución 29975/R/20, iniciado por el Bloque de la Unión Cívica Radical, solicitando informe respecto de la preservación y conservación de recursos hídricos de la cuenca del río Xanaes.</t>
  </si>
  <si>
    <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</si>
  <si>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https://gld.legislaturacba.gob.ar/Publics/Actas.aspx?id=OxSdeH2CGs0=</t>
    </r>
    <r>
      <rPr>
        <sz val="10"/>
        <color theme="1"/>
        <rFont val="Arial"/>
      </rPr>
      <t>;</t>
    </r>
    <r>
      <rPr>
        <sz val="10"/>
        <color rgb="FF000000"/>
        <rFont val="Arial"/>
      </rPr>
      <t>https://gld.legislaturacba.gob.ar/Publics/Actas.aspx?id=X9xNBQZV8EI=</t>
    </r>
  </si>
  <si>
    <t>Proyecto de Resolución 30603/R/20, iniciado por la Legisladora Echevarría, solicitando informe sobre distintos aspectos referidos al estado del camino público S-522 que une Villa Allende con San Fernando por la Reserva Hídrica y Recreativa Natural Villa Allende.</t>
  </si>
  <si>
    <t>Proyecto de Ley 28827/L/19, iniciado por los Legisladores García Elorrio y Marcone, declarando Día Provincial del Bosque del Espinal el 21 de marzo.</t>
  </si>
  <si>
    <t>Proyecto de Ley 30746/L/20, remitido por el Poder Ejecutivo, declarando de utilidad pública y sujeto a expropiación para la ejecución de la obra: “Mejoramiento y rehabilitación vial e hidráulica de rutas provinciales A-104. Camino a San Antonio”, los inmuebles necesarios para llevar a cabo la obra mencionada.</t>
  </si>
  <si>
    <t>https://gld.legislaturacba.gob.ar/Publics/Actas.aspx?id=d1Zp2CePOsY=</t>
  </si>
  <si>
    <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</si>
  <si>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https://gld.legislaturacba.gob.ar/Publics/Actas.aspx?id=L5erObfVC28=</t>
    </r>
    <r>
      <rPr>
        <sz val="10"/>
        <color theme="1"/>
        <rFont val="Arial"/>
      </rPr>
      <t>;</t>
    </r>
    <r>
      <rPr>
        <sz val="10"/>
        <color rgb="FF000000"/>
        <rFont val="Arial"/>
      </rPr>
      <t>https://gld.legislaturacba.gob.ar/Publics/Actas.aspx?id=YS5Hk2iIbUw=</t>
    </r>
  </si>
  <si>
    <t>EQUIDAD Y LUCHA CONTRA LA VIOLENCIA DE GÉNERO;DEPORTES Y RECREACIÓN</t>
  </si>
  <si>
    <t>Anteproyecto de ley instituyendo el Día de las Futbolistas.</t>
  </si>
  <si>
    <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</si>
  <si>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https://www.youtube.com/watch?v=w3r2sMJBkmo</t>
  </si>
  <si>
    <t>https://gld.legislaturacba.gob.ar/Publics/Actas.aspx?id=RkUKcIaoVmk=;https://gld.legislaturacba.gob.ar/Publics/Actas.aspx?id=20REfmQAdnk=</t>
  </si>
  <si>
    <t>Proyecto de Resolución 30320/R/20, iniciado por la legisladora Díaz García, solicitando informe sobre distintos puntos relacionados con las políticas de género en el Departamento Punilla y Cruz del Eje, durante la emergencia sanitaria por el Coronavirus.</t>
  </si>
  <si>
    <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</si>
  <si>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https://gld.legislaturacba.gob.ar/Publics/Actas.aspx?id=RkUKcIaoVmk=</t>
  </si>
  <si>
    <t>Tareas desarrolladas por la Defensoría de los Derechos de Niñas, Niños y Adolescentes de la Provincia de Córdoba en el marco de la Pandemia COVID-19 y del Aislamiento Social, Preventivo y Obligatorio.</t>
  </si>
  <si>
    <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</si>
  <si>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https://www.youtube.com/watch?v=4IRg-Flt1mQ</t>
  </si>
  <si>
    <t>https://gld.legislaturacba.gob.ar/Publics/Actas.aspx?id=nfSz2FXyFFo=</t>
  </si>
  <si>
    <t>Proyecto de Resolución 30068/R/20, iniciado por el Bloque Encuentro Vecinal Córdoba, solicitando informe sobre la posible sobrefacturación de prestadores a la APROSS. .</t>
  </si>
  <si>
    <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</si>
  <si>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https://www.youtube.com/watch?v=R29x-R8GsbY</t>
  </si>
  <si>
    <t>https://gld.legislaturacba.gob.ar/Publics/Actas.aspx?id=qs9q-YlEAIU=</t>
  </si>
  <si>
    <t>Proyecto de Resolución 30069/R/20, iniciado por el Bloque Encuentro Vecinal Córdoba, solicitando informe en relación entre la cantidad de afiliados y prestadores de la APROSS, convenios y deudas con obras sociales de otras provincias.</t>
  </si>
  <si>
    <t>Proyecto de Resolución 30222/R/20, iniciado por el legislador Ambrosio, solicitando informe a través de la APROSS, sobre distintos aspectos vinculados al Fondo de Enfermedades Catastróficas y su impacto en la crisis sanitaria actual.</t>
  </si>
  <si>
    <t>Proyecto de Resolución 30223/R/20, iniciado por el legislador Ambrosio, solicitando informe a través de la APROSS, las medidas adoptadas para investigar y transmitir tranquilidad a toda la población, respecto a la situación que se volvió mediática en las últimas horas, sobre el fallecimiento de la docente Liliana Giménez en la localidad de Villa Giardino</t>
  </si>
  <si>
    <t>Proyecto de Resolución 30225/R/20, iniciado por la legisladora Díaz García, solicitando informe sobre distintos puntos relacionados con el fallecimiento de la docente Liliana Giménez y el funcionamiento de la APROSS en la atención sanitaria frente a la pandemia COVID-19.</t>
  </si>
  <si>
    <t>Nota</t>
  </si>
  <si>
    <t>Nota 30187/N/20, remitida por el Poder Ejecutivo Provincial, elevando para su conocimiento la Cuenta de Inversión del Ejercicio Financiero 2019.</t>
  </si>
  <si>
    <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</si>
  <si>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https://www.youtube.com/watch?v=g35kzRP_XjU</t>
  </si>
  <si>
    <t>https://gld.legislaturacba.gob.ar/Publics/Actas.aspx?id=aCqOHq-N2JQ=</t>
  </si>
  <si>
    <t>LEGISLACIÓN DEL TRABAJO, PREVISIÓN Y SEGURIDAD SOCIAL;SERVICIOS PÚBLICOS</t>
  </si>
  <si>
    <t>El transporte interurbano en el marco de la Pandemia COVID-19.</t>
  </si>
  <si>
    <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</si>
  <si>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https://www.youtube.com/watch?v=061txvY0N9Q</t>
  </si>
  <si>
    <t>https://gld.legislaturacba.gob.ar/Publics/Actas.aspx?id=8nQcwAu1nTI=;https://gld.legislaturacba.gob.ar/Publics/Actas.aspx?id=N8wLaiR_NRk=</t>
  </si>
  <si>
    <t>EQUIDAD Y LUCHA CONTRA LA VIOLENCIA DE GÉNERO;LEGISLACIÓN GENERAL;DEPORTES Y RECREACIÓN</t>
  </si>
  <si>
    <t>Proyecto de Ley 30829/L/20, iniciado por la legisladora Fernández, estableciendo la Capacitación Obligatoria de Género y Violencia contra las Mujeres (Ley Micaela 27.499), para la totalidad de las autoridades y personal que se desempeñe en las Entidades Deportivas de la Provincia de Córdoba.</t>
  </si>
  <si>
    <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</si>
  <si>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https://www.youtube.com/watch?v=5_2ZUaK5ubU</t>
  </si>
  <si>
    <t>https://gld.legislaturacba.gob.ar/Publics/Actas.aspx?id=n-5lZUoGHLU=;https://gld.legislaturacba.gob.ar/Publics/Actas.aspx?id=QHBmzgtMdl0=;https://gld.legislaturacba.gob.ar/Publics/Actas.aspx?id=kiP__nP_xt8=</t>
  </si>
  <si>
    <t>Pliego 30851/P/20, remitido por el Poder Ejecutivo, solicitando acuerdo para designar a los señores Pablo Ezequiel Choi y Santiago Bergallo como Síndicos Suplentes “ad honorem” por el Sector Público de la Agencia Córdoba de Inversión y Financiamiento.</t>
  </si>
  <si>
    <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</si>
  <si>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https://www.youtube.com/watch?v=1Mw3WuCpN0c</t>
  </si>
  <si>
    <t>https://gld.legislaturacba.gob.ar/Publics/Actas.aspx?id=QvfbQvSF3rM=</t>
  </si>
  <si>
    <t>DEPORTES Y RECREACIÓN;TURISMO Y SU RELACIÓN CON EL DESARROLLO REGIONAL</t>
  </si>
  <si>
    <t>Proyecto de Ley 29918/L/20, iniciado por los Legisladores González, Caserio y Majul, regulando la práctica del montañismo como actividad deportiva, de interés cultural o socio-recreativa.</t>
  </si>
  <si>
    <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</si>
  <si>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https://www.youtube.com/watch?v=ILEuuchUnMw</t>
  </si>
  <si>
    <t>https://gld.legislaturacba.gob.ar/Publics/Actas.aspx?id=vzuSkNqgoZM=;https://gld.legislaturacba.gob.ar/Publics/Actas.aspx?id=FNJwqNWZm3Y=</t>
  </si>
  <si>
    <t>Proyecto de Resolución 30057/R/20, iniciado por el Bloque de la Unión Cívica Radical, solicitando informe sobre la autorización y controles del Downhill Copina 2020, realizado en el mes de febrero.</t>
  </si>
  <si>
    <t>Proyecto de Resolución 30215/R/20, iniciado por los legisladores Marcone y García Elorrio, solicitando informe respecto al recorte presupuestario para el programa Te Incluye para el año 2020.</t>
  </si>
  <si>
    <t>Actividades, programas y proyectos desarrollados por el Clúster Informático de la Provincia de Córdoba.</t>
  </si>
  <si>
    <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</si>
  <si>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https://www.youtube.com/watch?v=hsevjCFKImc</t>
  </si>
  <si>
    <t>https://gld.legislaturacba.gob.ar/Publics/Actas.aspx?id=gsh6Qt6HFHY=</t>
  </si>
  <si>
    <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</si>
  <si>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https://gld.legislaturacba.gob.ar/Publics/Actas.aspx?id=_6jqoXJBmsU=</t>
  </si>
  <si>
    <t>El rol de las Comunidades Regionales en la gestión de residuos sólidos urbanos.</t>
  </si>
  <si>
    <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</si>
  <si>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https://www.youtube.com/watch?v=MADXHdHhY2Q</t>
  </si>
  <si>
    <t>https://gld.legislaturacba.gob.ar/Publics/Actas.aspx?id=zzFOTHxW9eA=</t>
  </si>
  <si>
    <t>AGRICULTURA, GANADERÍA Y RECURSOS RENOVABLES;LEGISLACIÓN GENERAL</t>
  </si>
  <si>
    <t>Proyecto de Resolución 30641/R/20, iniciado por la legisladora Irazuzta, citando al Ministro de Agricultura y Ganadería, Sr. Sergio Busso y al Ministro de Seguridad, Sr. Alfonso Mosquera a los fines de que informen sobre las medidas tomadas frente a los múltiples actos de vandalismo acaecidos en distintas zonas rurales de la Provincia.</t>
  </si>
  <si>
    <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</si>
  <si>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https://www.youtube.com/watch?v=yg8Ug5prpk0</t>
  </si>
  <si>
    <t>https://gld.legislaturacba.gob.ar/Publics/Actas.aspx?id=lW79jZPzvmw=;https://gld.legislaturacba.gob.ar/Publics/Actas.aspx?id=zXbeKwXB5-s=</t>
  </si>
  <si>
    <t>Proyecto de Ley 30401/L/20, iniciado por el legislador Lorenzo, creando el Programa de Inclusión Digital de Comedores y Merenderos Comunitarios, en el marco del Plan Conectividad Córdoba.</t>
  </si>
  <si>
    <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</si>
  <si>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https://www.youtube.com/watch?v=tYVO6ybdetE</t>
  </si>
  <si>
    <t>https://gld.legislaturacba.gob.ar/Publics/Actas.aspx?id=KFHAn9vxNos=</t>
  </si>
  <si>
    <t>Proyecto de Ley 30515/L/20, iniciado por la legisladora Echevarría, estableciendo la obligatoriedad de traducir a la Lengua de Señas Argentina (LSA), las transmisiones de las sesiones de la Legislatura de la Provincia de Córdoba, a través de sus canales oficiales.</t>
  </si>
  <si>
    <t>Proyecto de Ley 30247/L/20, iniciado por la legisladora Irazuzta, declarando la emergencia social y económica en todo el ámbito de la Provincia de Córdoba para las Entidades del tercer sector por el plazo de tres meses, con el fin de garantizar el efectivo ejercicio de los derechos sociales de la población vulnerable beneficiada por el trabajo de dichas organizaciones en el marco de la Emergencia sanitaria establecida por la Ley Nº 10.690</t>
  </si>
  <si>
    <t>Actividades, programas y proyectos de la Secretaría de Niñez, Adolescencia y Familia.</t>
  </si>
  <si>
    <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</si>
  <si>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https://www.youtube.com/watch?v=5KjpBCxpYgY</t>
  </si>
  <si>
    <t>https://gld.legislaturacba.gob.ar/Publics/Actas.aspx?id=v77R276zMnE=</t>
  </si>
  <si>
    <t>Presentación de la iniciativa “Obras para el Barrio + Trabajo para su Gente”, que tiene como finalidad impulsar obras en los barrios para fomentar el trabajo entre los vecinos, en el marco del Programa Potenciar Trabajo.</t>
  </si>
  <si>
    <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</si>
  <si>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https://www.youtube.com/watch?v=x037yjzcqME</t>
  </si>
  <si>
    <t>https://gld.legislaturacba.gob.ar/Publics/Actas.aspx?id=g5tPDVv3axc=</t>
  </si>
  <si>
    <t>RELACIONES INTERNACIONALES, MERCOSUR Y COMERCIO EXTERIOR</t>
  </si>
  <si>
    <t>Actividades de la Secretaría de Integración Regional y Relaciones Internacionales. Vinculación con cuerpo consular y macro regiones de ATACALAR y ZICOSUR.</t>
  </si>
  <si>
    <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</si>
  <si>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https://www.youtube.com/watch?v=fsdt6KPI5K0</t>
  </si>
  <si>
    <t>https://gld.legislaturacba.gob.ar/Publics/Actas.aspx?id=qIHwtN4lEms=</t>
  </si>
  <si>
    <t>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t>
  </si>
  <si>
    <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</si>
  <si>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https://gld.legislaturacba.gob.ar/Publics/Actas.aspx?id=W7YJs009aLY=</t>
  </si>
  <si>
    <t>Proyecto de Ley 30945/L/20, iniciado por la legisladora Irazuzta, estableciendo el protocolo para asistencia a funerales y garantizando a las personas el poder despedir a sus familiares fallecidos durante el período de emergencia establecido en virtud de la pandemia de COVID-19.</t>
  </si>
  <si>
    <t>Sistema de adopciones en la provincia de Córdoba: mirada de Juzgados de Niñez del interior provincial y de capital.</t>
  </si>
  <si>
    <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</si>
  <si>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https://gld.legislaturacba.gob.ar/Publics/Actas.aspx?id=pKtkb6NnWRI=</t>
  </si>
  <si>
    <t>LEGISLACIÓN DEL TRABAJO, PREVISIÓN Y SEGURIDAD SOCIAL;INDUSTRIA Y MINERÍA</t>
  </si>
  <si>
    <t>Situación del sector de la industria automotriz en el marco de la pandemia del Coronavirus.</t>
  </si>
  <si>
    <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</si>
  <si>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https://gld.legislaturacba.gob.ar/Publics/Actas.aspx?id=jJTv-KiWCi8=</t>
    </r>
    <r>
      <rPr>
        <sz val="10"/>
        <color theme="1"/>
        <rFont val="Arial"/>
      </rPr>
      <t>;</t>
    </r>
    <r>
      <rPr>
        <sz val="10"/>
        <color rgb="FF000000"/>
        <rFont val="Arial"/>
      </rPr>
      <t>https://gld.legislaturacba.gob.ar/Publics/Actas.aspx?id=24pmfQb_IAE=</t>
    </r>
  </si>
  <si>
    <t>Proyecto de Ley Nº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t>
  </si>
  <si>
    <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</si>
  <si>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https://gld.legislaturacba.gob.ar/Publics/Actas.aspx?id=0SVKlrXzb_k=</t>
    </r>
    <r>
      <rPr>
        <sz val="10"/>
        <color theme="1"/>
        <rFont val="Arial"/>
      </rPr>
      <t>;</t>
    </r>
    <r>
      <rPr>
        <sz val="10"/>
        <color rgb="FF000000"/>
        <rFont val="Arial"/>
      </rPr>
      <t>https://gld.legislaturacba.gob.ar/Publics/Actas.aspx?id=hy8aSjQNwPE=</t>
    </r>
  </si>
  <si>
    <t>Situación del sector turístico de la Provincia de Córdoba en el marco del Aislamiento Social, Preventivo y Obligatorio.</t>
  </si>
  <si>
    <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</si>
  <si>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https://gld.legislaturacba.gob.ar/Publics/Actas.aspx?id=uEgH03TMWzo=</t>
  </si>
  <si>
    <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</si>
  <si>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https://www.youtube.com/watch?v=at6uURE5PNU</t>
  </si>
  <si>
    <t>https://gld.legislaturacba.gob.ar/Publics/Actas.aspx?id=SrgkloHQ82k=</t>
  </si>
  <si>
    <t>Proyecto de Ley 31032/L/20, iniciado por el legislador González, modificando varios artículos de la Ley Nº 6222 - Ejercicio de las Profesiones y Actividades Relacionadas con la Salud Humana-, a los fines de garantizar el equilibrio entre los derechos del paciente y la actuación de profesionales e instituciones, particularmente en escenarios complejos como el actual.</t>
  </si>
  <si>
    <t>ECONOMÍA, PRESUPUESTO, GESTIÓN PÚBLICA E INNOVACIÓN;LEGISLACIÓN GENERAL</t>
  </si>
  <si>
    <t>Proyecto de Ley 30935/L/20, propiciando la ratificación legislativa de los Decretos Nros. 217/20, 252/20, 505/20, 516/20 y 522/20, mediante los cuales se dispuso la eximición del pago de impuestos, la validación de controles mediante plataformas digitales por parte de la DGR y diversas exenciones y diferimientos impositivos, todo en el marco de la Emergencia Sanitaria.</t>
  </si>
  <si>
    <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</si>
  <si>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https://www.youtube.com/watch?v=eA5paX3p0PQ</t>
  </si>
  <si>
    <t>https://gld.legislaturacba.gob.ar/Publics/Actas.aspx?id=vH1r7IVgwrc=;https://gld.legislaturacba.gob.ar/Publics/Actas.aspx?id=ZGI1f9LVcbw=</t>
  </si>
  <si>
    <t>Proyecto de Ley 30936/E/20,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t>
  </si>
  <si>
    <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</si>
  <si>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https://gld.legislaturacba.gob.ar/Publics/Actas.aspx?id=K6CYXQ9mI7U=</t>
  </si>
  <si>
    <t>Nota 30977/N/20, remitida por el Poder Ejecutivo ejerciendo veto parcial (Art. 109 y 104 CP) sobre la Ley Nº 10.705 modificatoria del Código arancelario para Abogados y Procuradores de la Provincia de Córdoba.</t>
  </si>
  <si>
    <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</si>
  <si>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https://www.youtube.com/watch?v=7Vn9mBijDiA</t>
  </si>
  <si>
    <t>https://gld.legislaturacba.gob.ar/Publics/Actas.aspx?id=Tz6t9K5zrMo=</t>
  </si>
  <si>
    <t>DEPORTES Y RECREACIÓN;LEGISLACIÓN GENERAL;TURISMO Y SU RELACIÓN CON EL DESARROLLO REGIONAL</t>
  </si>
  <si>
    <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</si>
  <si>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https://www.youtube.com/watch?v=C0GkAsSbHM0</t>
  </si>
  <si>
    <t>https://gld.legislaturacba.gob.ar/Publics/Actas.aspx?id=MsNHQuKT_rI=;https://gld.legislaturacba.gob.ar/Publics/Actas.aspx?id=0FBdnpclJUs=;https://gld.legislaturacba.gob.ar/Publics/Actas.aspx?id=TDdQKWj1Gas=</t>
  </si>
  <si>
    <t>Situación del sector de artistas y de las salas de teatro de Córdoba en el marco de la Pandemia COVID-19.</t>
  </si>
  <si>
    <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</si>
  <si>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https://gld.legislaturacba.gob.ar/Publics/Actas.aspx?id=gTl7fVOeuB8=</t>
  </si>
  <si>
    <t>Presentación del Programa de Desarrollo de la Cadena Caprina (ProDeCCa) para el Noroeste de la Provincia de Córdoba.</t>
  </si>
  <si>
    <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</si>
  <si>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https://gld.legislaturacba.gob.ar/Publics/Actas.aspx?id=SeKyNVbxBw8=</t>
  </si>
  <si>
    <t>Análisis del procedimiento de adopciones en la Provincia de Córdoba.</t>
  </si>
  <si>
    <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</si>
  <si>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https://www.youtube.com/watch?v=qehJBhhCaIM</t>
  </si>
  <si>
    <t>https://gld.legislaturacba.gob.ar/Publics/Actas.aspx?id=Inh6degDYrY=</t>
  </si>
  <si>
    <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</si>
  <si>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https://www.youtube.com/watch?v=QB7BthKNc6M</t>
  </si>
  <si>
    <t>https://gld.legislaturacba.gob.ar/Publics/Actas.aspx?id=rNuySbc59e4=</t>
  </si>
  <si>
    <t>LEGISLACIÓN DEL TRABAJO, PREVISIÓN Y SEGURIDAD SOCIAL;OBRAS PÚBLICAS, VIVIENDA Y COMUNICACIONES</t>
  </si>
  <si>
    <t>Situación del sector de la construcción en el marco de la Pandemia Covid-19.</t>
  </si>
  <si>
    <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</si>
  <si>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https://gld.legislaturacba.gob.ar/Publics/Actas.aspx?id=zPH447Z1zK0=;https://gld.legislaturacba.gob.ar/Publics/Actas.aspx?id=aAM_or9jrJI=</t>
  </si>
  <si>
    <t>DERECHOS HUMANOS Y DESARROLLO SOCIAL;ECONOMÍA, PRESUPUESTO, GESTIÓN PÚBLICA E INNOVACIÓN</t>
  </si>
  <si>
    <t>Proyecto de Ley 30936/L/20,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t>
  </si>
  <si>
    <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</si>
  <si>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https://www.youtube.com/watch?v=OXJFBhtMYqo</t>
  </si>
  <si>
    <t>https://gld.legislaturacba.gob.ar/Publics/Actas.aspx?id=C5tWEDeO3Vk=;https://gld.legislaturacba.gob.ar/Publics/Actas.aspx?id=jOC3-5UrufI=</t>
  </si>
  <si>
    <t>Política agroexportadora de Córdoba y evaluación de negociaciones nacionales para la producción de cerdos en Argentina por parte de China.</t>
  </si>
  <si>
    <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</si>
  <si>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https://www.youtube.com/watch?v=60uQjzyPatM</t>
  </si>
  <si>
    <t>https://gld.legislaturacba.gob.ar/Publics/Actas.aspx?id=i-QcwcG44qA=</t>
  </si>
  <si>
    <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</si>
  <si>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https://gld.legislaturacba.gob.ar/Publics/Actas.aspx?id=RTONUjDdWK8=;https://gld.legislaturacba.gob.ar/Publics/Actas.aspx?id=eTUR2rQYVCQ=;https://gld.legislaturacba.gob.ar/Publics/Actas.aspx?id=XpVIBT4DHG8=</t>
  </si>
  <si>
    <t>Presentación del informe “La Mujer y la Economía”.</t>
  </si>
  <si>
    <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</si>
  <si>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https://gld.legislaturacba.gob.ar/Publics/Actas.aspx?id=oA3G08hpoKk=</t>
  </si>
  <si>
    <t>Informe respecto a la situación provocada por los incendios en la Provincia de Córdoba y procedimientos llevados a cabo.</t>
  </si>
  <si>
    <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</si>
  <si>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https://www.youtube.com/watch?v=ACHEZpNSiC8</t>
  </si>
  <si>
    <t>https://gld.legislaturacba.gob.ar/Publics/Actas.aspx?id=_vCTw4hZxXQ=</t>
  </si>
  <si>
    <t>Análisis y evaluación de lo expuesto por los sectores turísticos de la Provincia de Córdoba, en las dos reuniones anteriores, respecto a su situación en el marco del Aislamiento Social, Preventivo y Obligatorio.</t>
  </si>
  <si>
    <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</si>
  <si>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https://www.youtube.com/watch?v=bfCu1Bs-Y6k</t>
  </si>
  <si>
    <t>https://gld.legislaturacba.gob.ar/Publics/Actas.aspx?id=y4WCXLMdzDQ=</t>
  </si>
  <si>
    <t>Situación de los jardines maternales o de infantes en el marco de la Pandemia COVID-19.</t>
  </si>
  <si>
    <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</si>
  <si>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https://www.youtube.com/watch?v=qjPs-qozZyc</t>
  </si>
  <si>
    <t>https://gld.legislaturacba.gob.ar/Publics/Actas.aspx?id=YmU-n5ECg6k=</t>
  </si>
  <si>
    <t>La importancia de la donación de plasma para su utilización en el tratamiento de pacientes con diagnóstico de Coronavirus.</t>
  </si>
  <si>
    <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</si>
  <si>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https://www.youtube.com/watch?v=90lnND66oos</t>
  </si>
  <si>
    <t>https://gld.legislaturacba.gob.ar/Publics/Actas.aspx?id=-JAnU4ouq80=</t>
  </si>
  <si>
    <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</si>
  <si>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https://www.youtube.com/watch?v=mN2SCaTz7H4</t>
  </si>
  <si>
    <t>https://gld.legislaturacba.gob.ar/Publics/Actas.aspx?id=zewMGhUKxyM=;https://gld.legislaturacba.gob.ar/Publics/Actas.aspx?id=GMwZnJwnwgE=;https://gld.legislaturacba.gob.ar/Publics/Actas.aspx?id=0Eqm4TgambM=</t>
  </si>
  <si>
    <t>El transporte en el marco de la Pandemia COVID-19.</t>
  </si>
  <si>
    <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</si>
  <si>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https://www.youtube.com/watch?v=h3EUrMgHoKw</t>
  </si>
  <si>
    <t>https://gld.legislaturacba.gob.ar/Publics/Actas.aspx?id=JGIGmQKoAic=</t>
  </si>
  <si>
    <t>DEPORTES Y RECREACIÓN;LEGISLACIÓN GENERAL</t>
  </si>
  <si>
    <t>Proyecto de Ley 30943/L/20, iniciado por los Legisladores Giraldi, Majul, Carpintero, Piasco, Miranda y Petrone, designando con el nombre de Osvaldo “el Turco” WEHBE, a las cabinas de transmisión del estadio Mario Alberto Kempes.</t>
  </si>
  <si>
    <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</si>
  <si>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https://www.youtube.com/watch?v=mhktJQOgiIc</t>
  </si>
  <si>
    <t>https://gld.legislaturacba.gob.ar/Publics/Actas.aspx?id=LEFsDiKYfpM=;https://gld.legislaturacba.gob.ar/Publics/Actas.aspx?id=z_lE-Cqo4ak=</t>
  </si>
  <si>
    <t>Proyecto de Ley 30952/L/20, iniciado por los Legisladores Cossar y Rins, designando con el nombre de “Osvaldo Wehbe” al sector principal de cabinas de transmisión del Estadio Kempes.</t>
  </si>
  <si>
    <t>Situación de los sectores turísticos de la Provincia de Córdoba en el marco del Aislamiento Social, Preventivo y Obligatorio por la Pandemia COVID-19.</t>
  </si>
  <si>
    <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</si>
  <si>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https://www.youtube.com/watch?v=yurBNP5nAnY</t>
  </si>
  <si>
    <t>https://gld.legislaturacba.gob.ar/Publics/Actas.aspx?id=JnDh9TMz0Sw=</t>
  </si>
  <si>
    <t>Continuación del tratamiento del Grooming y ciberacoso en el marco de la Pandemia COVID-19.</t>
  </si>
  <si>
    <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</si>
  <si>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https://www.youtube.com/watch?v=AvcfqDLIjJ0</t>
  </si>
  <si>
    <t>https://gld.legislaturacba.gob.ar/Publics/Actas.aspx?id=GtUVpHM7gug=;https://gld.legislaturacba.gob.ar/Publics/Actas.aspx?id=RpZv2gqGEj0=</t>
  </si>
  <si>
    <t>Situación del sector de los trabajadores de espectáculos públicos en el marco de la Pandemia COVID-19.</t>
  </si>
  <si>
    <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</si>
  <si>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https://www.youtube.com/watch?v=SS0ONVjFLd4</t>
  </si>
  <si>
    <t>https://gld.legislaturacba.gob.ar/Publics/Actas.aspx?id=lpwQXM4m7lE=</t>
  </si>
  <si>
    <t>Proyecto de Ley 31206/L/20, remitido por el Poder Ejecutivo, ratificando el “Convenio Marco de Cooperación y Asistencia Técnica” entre el Instituto Nacional de Estadísticas y Censos y la Dirección General de Estadísticas y Censos de la Provincia, aprobado por Decreto Nº 480 de fecha 2 de julio con el fin de dar cumplimiento a las tareas establecidas para el Programa Anual de Estadística 2020.</t>
  </si>
  <si>
    <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</si>
  <si>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https://www.youtube.com/watch?v=mC1lqGMl2XU</t>
  </si>
  <si>
    <t>https://gld.legislaturacba.gob.ar/Publics/Actas.aspx?id=5zY69mbZrZg=;https://gld.legislaturacba.gob.ar/Publics/Actas.aspx?id=PfSUe_9VIj8=</t>
  </si>
  <si>
    <t>EDUCACIÓN, CULTURA, CIENCIA, TECNOLOGÍA E INFORMÁTICA;SERVICIOS PÚBLICOS</t>
  </si>
  <si>
    <t>Situación del sector de transportistas escolares y propietarios de cantinas escolares en el marco de la Pandemia COVID 19.</t>
  </si>
  <si>
    <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</si>
  <si>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https://gld.legislaturacba.gob.ar/Publics/Actas.aspx?id=AwLStwGZO3k=;https://gld.legislaturacba.gob.ar/Publics/Actas.aspx?id=EpbEay1TisY=</t>
  </si>
  <si>
    <t>Creando el Programa de Emergencia y asistencia del Deporte Barrial, Social y comunitario, el cual tendrá como duración un año</t>
  </si>
  <si>
    <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</si>
  <si>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https://gld.legislaturacba.gob.ar/Publics/Actas.aspx?id=V1kKjZ1SDac=</t>
  </si>
  <si>
    <t>AMBIENTE;PROMOCIÓN Y DESARROLLO DE LAS COMUNIDADES REGIONALES</t>
  </si>
  <si>
    <t>Análisis de la propuesta Reserva Urbana Tierras del Tacú en el Concejo Deliberante de Villa General Belgrano</t>
  </si>
  <si>
    <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</si>
  <si>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https://www.youtube.com/watch?v=t2NCVhlsLZ4</t>
  </si>
  <si>
    <r>
      <rPr>
        <sz val="10"/>
        <color rgb="FF000000"/>
        <rFont val="Arial"/>
      </rPr>
      <t>https://gld.legislaturacba.gob.ar/Publics/Actas.aspx?id=5dE_aP7spDU=</t>
    </r>
    <r>
      <rPr>
        <sz val="10"/>
        <color theme="1"/>
        <rFont val="Arial"/>
      </rPr>
      <t>;</t>
    </r>
    <r>
      <rPr>
        <sz val="10"/>
        <color rgb="FF000000"/>
        <rFont val="Arial"/>
      </rPr>
      <t>https://gld.legislaturacba.gob.ar/Publics/Actas.aspx?id=5EyUjmHGKSU=</t>
    </r>
  </si>
  <si>
    <t>Proyecto de Ley 31021/L/20, iniciado por el Legislador González, creando en el ámbito del Poder Ejecutivo el Programa Provincial de Recomposición de Predios bajo Incendios.</t>
  </si>
  <si>
    <t>Proyecto de Resolución 30355/R/20, iniciado por el Bloque Encuentro Vecinal Córdoba, solicitando informe al Poder Ejecutivo acerca de la cantidad de ozono contenida en el aire de la Provincia de Córdoba.</t>
  </si>
  <si>
    <t>INDUSTRIA Y MINERÍA;PROMOCIÓN Y DESARROLLO DE ECONOMÍAS REGIONALES Y PYMES</t>
  </si>
  <si>
    <t>Situación de la industria del software y servicios informáticos y modificación de la ley de economía del conocimiento que se trata en el Congreso de la Nación.</t>
  </si>
  <si>
    <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</si>
  <si>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https://gld.legislaturacba.gob.ar/Publics/Actas.aspx?id=tOos42TSLrw=;https://gld.legislaturacba.gob.ar/Publics/Actas.aspx?id=zl9lhxTUOZc=</t>
  </si>
  <si>
    <t>ASUNTOS INSTITUCIONALES, MUNICIPALES Y COMUNALES;LEGISLACIÓN GENERAL</t>
  </si>
  <si>
    <t>Proyecto de Ley 31280/L/20, iniciado por el Poder Ejecutivo, modificando el radio municipal de la localidad de Elena, Departamento Río Cuarto.</t>
  </si>
  <si>
    <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</si>
  <si>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https://www.youtube.com/watch?v=bRfYXfFoIpA</t>
  </si>
  <si>
    <t>https://gld.legislaturacba.gob.ar/Publics/Actas.aspx?id=nzbIpSSH61Y=;https://gld.legislaturacba.gob.ar/Publics/Actas.aspx?id=9teJ6yZAUm0=</t>
  </si>
  <si>
    <t>Situación del sector docente en el marco de la Pandemia COVID-19.</t>
  </si>
  <si>
    <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</si>
  <si>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https://gld.legislaturacba.gob.ar/Publics/Actas.aspx?id=_F3IkUyE1Gg=</t>
  </si>
  <si>
    <t>La violencia de género en los medios de comunicación.</t>
  </si>
  <si>
    <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</si>
  <si>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https://gld.legislaturacba.gob.ar/Publics/Actas.aspx?id=O5np-dBc70s=</t>
  </si>
  <si>
    <t>Proyecto de Ley 30791/L/20, iniciado por los legisladores Guirardelli, Fernández, Blangino, Busso, Abraham, Labat, Hak, Lorenzo, Limia, Chamorro, Basualdo y Carpintero, instituyendo en el ámbito de la Provincia de Córdoba, el día 25 de julio de cada año, como el “Día de Visibilización y lucha contra los Travesticidios y Transfemicidios”.</t>
  </si>
  <si>
    <t>Proyecto de Ley 30850/L/20, iniciado por la legisladora Díaz García, ordenando el relevamiento socioeconómico obligatorio de las mujeres y sus familias que se encuentren en ocupaciones precarias y la inmediata incorporación como beneficiarias de un plan de protección integral de mujeres sin vivienda.</t>
  </si>
  <si>
    <t>Situación del sector de trabajadores músicos en el marco de la Pandemia COVID-19.</t>
  </si>
  <si>
    <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</si>
  <si>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https://www.youtube.com/watch?v=yzKYesrRo6g</t>
  </si>
  <si>
    <t>https://gld.legislaturacba.gob.ar/Publics/Actas.aspx?id=DZTzji7wweg=</t>
  </si>
  <si>
    <t>Resultados de la cuarta edición de la Semana Provincial de Prevención del Consumo de Drogas, organizada por la Secretaría de Prevención y Asistencia de las Adicciones del Ministerio de Salud de la Provincia de Córdoba. Actividades de la Red Asistencial de Adicciones de Córdoba (RAAC) en el marco de la Pandemia COVID-19. Embarazo y consumo de sustancias adictivas.</t>
  </si>
  <si>
    <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</si>
  <si>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https://www.youtube.com/watch?v=_bZ4GO_otlM</t>
  </si>
  <si>
    <t>https://gld.legislaturacba.gob.ar/Publics/Actas.aspx?id=_3aZRSAlN0Y=</t>
  </si>
  <si>
    <t>Proyecto de Ley 31281/L/20, remitido por el Poder Ejecutivo modificando el radio municipal de la localidad de Ausonia, Departamento General. San Martín.</t>
  </si>
  <si>
    <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</si>
  <si>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https://gld.legislaturacba.gob.ar/Publics/Actas.aspx?id=LTzjzvofV0s=;https://gld.legislaturacba.gob.ar/Publics/Actas.aspx?id=5Xe9DHmYIgk=</t>
  </si>
  <si>
    <t>Adecuación a la Ley de Salud Mental y posibles modificaciones frente a la contingencia de la Pandemia COVID-19.</t>
  </si>
  <si>
    <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</si>
  <si>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https://www.youtube.com/watch?v=TJ5qA2OA-sk</t>
  </si>
  <si>
    <t>https://gld.legislaturacba.gob.ar/Publics/Actas.aspx?id=zSmPNu3mlTU=</t>
  </si>
  <si>
    <t>LEGISLACIÓN DEL TRABAJO, PREVISIÓN Y SEGURIDAD SOCIAL;ASUNTOS CONSTITUCIONALES, JUSTICIA Y ACUERDOS</t>
  </si>
  <si>
    <t>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t>
  </si>
  <si>
    <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</si>
  <si>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https://gld.legislaturacba.gob.ar/Publics/Actas.aspx?id=0gzjcIg7j2k=;https://gld.legislaturacba.gob.ar/Publics/Actas.aspx?id=VC8x9IdpcvU=</t>
  </si>
  <si>
    <t>Presentación del Cuerpo Consular y oportunidades comerciales en la India moderna.</t>
  </si>
  <si>
    <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</si>
  <si>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https://gld.legislaturacba.gob.ar/Publics/Actas.aspx?id=3S6u7sUaPwE=</t>
  </si>
  <si>
    <t>Situación epidemiológica de la provincia en el marco de la Pandemia COVID-19.</t>
  </si>
  <si>
    <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</si>
  <si>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https://gld.legislaturacba.gob.ar/Publics/Actas.aspx?id=BjgopClBJPg=</t>
  </si>
  <si>
    <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</si>
  <si>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https://www.youtube.com/watch?v=1agIyMT9ALs</t>
  </si>
  <si>
    <t>https://gld.legislaturacba.gob.ar/Publics/Actas.aspx?id=VU0SBXKGIaM=;https://gld.legislaturacba.gob.ar/Publics/Actas.aspx?id=7M6Mt40IfIQ=</t>
  </si>
  <si>
    <t>AMBIENTE;SERVICIOS PÚBLICOS</t>
  </si>
  <si>
    <t>Situación hidrometeorológica de la Provincia de Córdoba.</t>
  </si>
  <si>
    <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</si>
  <si>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https://www.youtube.com/watch?v=UOizdNEalMo</t>
  </si>
  <si>
    <t>https://gld.legislaturacba.gob.ar/Publics/Actas.aspx?id=EbILIce2xLU=;https://gld.legislaturacba.gob.ar/Publics/Actas.aspx?id=V0iumeaRE7Y=</t>
  </si>
  <si>
    <t>Programa Tomando Decisiones, implementado entre el Ministerio de Justicia y Derechos Humanos y el de Salud de la Provincia, con el fin de asistir y prevenir el consumo problemático de sustancias en las y los adolescentes privados de libertad.</t>
  </si>
  <si>
    <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</si>
  <si>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https://www.youtube.com/watch?v=ptLTcEVcM84</t>
  </si>
  <si>
    <r>
      <rPr>
        <sz val="10"/>
        <color rgb="FF000000"/>
        <rFont val="Arial"/>
      </rPr>
      <t>https://gld.legislaturacba.gob.ar/Publics/Actas.aspx?id=8ioP74G5gVo=</t>
    </r>
    <r>
      <rPr>
        <sz val="10"/>
        <color theme="1"/>
        <rFont val="Arial"/>
      </rPr>
      <t>;</t>
    </r>
    <r>
      <rPr>
        <sz val="10"/>
        <color rgb="FF000000"/>
        <rFont val="Arial"/>
      </rPr>
      <t>https://gld.legislaturacba.gob.ar/Publics/Actas.aspx?id=7Yl2Y4D5iDs=</t>
    </r>
  </si>
  <si>
    <t>Análisis de aspectos generales del Presupuesto Nacional para el año 2021.</t>
  </si>
  <si>
    <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</si>
  <si>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https://www.youtube.com/watch?v=Tc5MWKTolhg</t>
  </si>
  <si>
    <t>https://gld.legislaturacba.gob.ar/Publics/Actas.aspx?id=ttd2VGyy4iM=</t>
  </si>
  <si>
    <t>Trabajo de la Mesa Interpoderes en materia de adopciones.</t>
  </si>
  <si>
    <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</si>
  <si>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https://gld.legislaturacba.gob.ar/Publics/Actas.aspx?id=fS8oTmCdn80=</t>
  </si>
  <si>
    <t>PROMOCIÓN Y DEFENSA DE LOS DERECHOS DE LA NIÑEZ, ADOLESCENCIA Y FAMILIA;LEGISLACIÓN GENERAL</t>
  </si>
  <si>
    <t>Proyecto de Ley 31299/L/20, iniciado por los legisladores María Emilia Eslava, Basualdo, Argañaraz, Busso, Chamorro, Labat, Blangino, Fernández, Mansilla, Petrone, Caffaratti, Paleo, Carrillo, Irazuzta, Marcone, García Elorrio, Lencinas, García, Piasco, Giraldi y Guirardelli, adhiriendo a la Ley Nacional Nº 27.458, que instituye el 13 de noviembre de cada año como Día Nacional de Lucha contra el Grooming.</t>
  </si>
  <si>
    <t>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</si>
  <si>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https://gld.legislaturacba.gob.ar/Publics/Actas.aspx?id=HTb-7LpDZlU=;https://gld.legislaturacba.gob.ar/Publics/Actas.aspx?id=JrWeZYzTiG8=</t>
  </si>
  <si>
    <t>Acciones y actividades del Consejo Provincial de Políticas Sociales. Respuesta a Proyectos de Resolución Nº 30510/L/20; 30846/L/20; 30978/L/20; 31041/L/20 y 31042/L/20.</t>
  </si>
  <si>
    <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</si>
  <si>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https://www.youtube.com/watch?v=zFs2oKHDPsA</t>
  </si>
  <si>
    <t>https://gld.legislaturacba.gob.ar/Publics/Actas.aspx?id=uKUrfvT-mcE=</t>
  </si>
  <si>
    <t>Informe sobre la emergencia agropecuaria por incendios y las acciones llevadas a cabo por el Ministerio de Agricultura.</t>
  </si>
  <si>
    <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</si>
  <si>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https://www.youtube.com/watch?v=zDFr3tThd78</t>
  </si>
  <si>
    <t>https://gld.legislaturacba.gob.ar/Publics/Actas.aspx?id=odRJfQm7rdk=</t>
  </si>
  <si>
    <t>SERVICIOS PÚBLICOS;ASUNTOS INSTITUCIONALES, MUNICIPALES Y COMUNALES</t>
  </si>
  <si>
    <t>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t>
  </si>
  <si>
    <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</si>
  <si>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https://www.youtube.com/watch?v=Grhmua781ng</t>
  </si>
  <si>
    <t>https://gld.legislaturacba.gob.ar/Publics/Actas.aspx?id=xLZ1_VE6FJo=;https://gld.legislaturacba.gob.ar/Publics/Actas.aspx?id=gPgF7xyrmY8=</t>
  </si>
  <si>
    <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</si>
  <si>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https://gld.legislaturacba.gob.ar/Publics/Actas.aspx?id=rmWCLExN_LM=</t>
  </si>
  <si>
    <t>Situación de la actividad turística en el marco de la pandemia COVID-19.</t>
  </si>
  <si>
    <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</si>
  <si>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https://gld.legislaturacba.gob.ar/Publics/Actas.aspx?id=H0RUkfSPVcA=</t>
  </si>
  <si>
    <t>Posición de la colectividad armenia en Córdoba en relación al conflicto de Nagorno Karabaj.</t>
  </si>
  <si>
    <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</si>
  <si>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https://www.youtube.com/watch?v=UZN6o6zQRIU</t>
  </si>
  <si>
    <t>https://gld.legislaturacba.gob.ar/Publics/Actas.aspx?id=cJxDuKjiino=</t>
  </si>
  <si>
    <t>EQUIDAD Y LUCHA CONTRA LA VIOLENCIA DE GÉNERO;LEGISLACIÓN GENERAL</t>
  </si>
  <si>
    <t>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t>
  </si>
  <si>
    <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</si>
  <si>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https://gld.legislaturacba.gob.ar/Publics/Actas.aspx?id=pz23WaaTfbI=;https://gld.legislaturacba.gob.ar/Publics/Actas.aspx?id=QldnPW4oqwg=</t>
  </si>
  <si>
    <t>Proyecto de Resolución 30824/R/20, iniciado por el Bloque Encuentro Vecinal Córdoba, solicitando al Poder Ejecutivo informe a través de la Agencia Córdoba Joven, acerca de algunas cuestiones vinculadas al subprograma “Club del Pedal”. Anteproyecto Código de Convivencia en Espectáculos Deportivos de la Provincia de Córdoba.</t>
  </si>
  <si>
    <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</si>
  <si>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https://gld.legislaturacba.gob.ar/Publics/Actas.aspx?id=aZHayzf7rhc=</t>
  </si>
  <si>
    <t>Estado del sector y distintos lineamientos impulsados por la Subsecretaría de Cooperativas y Mutuales.</t>
  </si>
  <si>
    <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</si>
  <si>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https://www.youtube.com/watch?v=wIgoO7ogfEc</t>
  </si>
  <si>
    <t>https://gld.legislaturacba.gob.ar/Publics/Actas.aspx?id=2xGPeo0MNDM=</t>
  </si>
  <si>
    <t>Resoluciones del ejecutivo aprobando reestructuración del Presupuesto General de la Administración Provincial para el año 2020, y modificando asignaciones de Recursos Financieros.</t>
  </si>
  <si>
    <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</si>
  <si>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https://gld.legislaturacba.gob.ar/Publics/Actas.aspx?id=MK6iu-zNF6c=</t>
  </si>
  <si>
    <t>Proyecto de Ley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t>
  </si>
  <si>
    <t>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</si>
  <si>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https://www.youtube.com/watch?v=XcMWuIIJoSY</t>
  </si>
  <si>
    <t>https://gld.legislaturacba.gob.ar/Publics/Actas.aspx?id=VjF6bCL4Ozc=;https://gld.legislaturacba.gob.ar/Publics/Actas.aspx?id=2uK-5ZPOm2Y=;https://gld.legislaturacba.gob.ar/Publics/Actas.aspx?id=_sQrrasnI1M=</t>
  </si>
  <si>
    <t>Anteproyecto Código de Convivencia en Espectáculos Deportivos de la Provincia de Córdoba.</t>
  </si>
  <si>
    <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</si>
  <si>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https://www.youtube.com/watch?v=_8-BA5ti370</t>
  </si>
  <si>
    <t>https://gld.legislaturacba.gob.ar/Publics/Actas.aspx?id=gY-mkOp6Dm0=</t>
  </si>
  <si>
    <t>Anteproyecto de resolución respecto al conflicto de Artsaj (ex Nagorno Karabagh).</t>
  </si>
  <si>
    <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</si>
  <si>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https://www.youtube.com/watch?v=0vdosNhELQw</t>
  </si>
  <si>
    <t>https://gld.legislaturacba.gob.ar/Publics/Actas.aspx?id=RTtmy-HbQBc=</t>
  </si>
  <si>
    <t>Proyecto de Resolución 30993/R/20, iniciado por el legislador Rins, solicitando al Poder Ejecutivo informe sobre algunas de las acciones realizadas en la Reserva Provincial de usos Múltiples Corredor Chocancharava.</t>
  </si>
  <si>
    <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</si>
  <si>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https://www.youtube.com/watch?v=qtR9DXq3br8</t>
  </si>
  <si>
    <t>https://gld.legislaturacba.gob.ar/Publics/Actas.aspx?id=Tv40g56mTUY=</t>
  </si>
  <si>
    <t>Proyecto de Resolución 31179/R/20, iniciado por la Legisladora Díaz García, solicitando al Poder Ejecutivo informe sobre algunos puntos relacionados al avance de urbanizaciones, deforestación y extracción de áridos en las Sierras Chicas.</t>
  </si>
  <si>
    <t>Proyecto de Resolución 31207/R/20, iniciado por el Bloque Encuentro Vecinal Córdoba, solicitando al Poder Ejecutivo informe sobre las denuncias realizadas por vecinos de la localidad de Villa Giardino contra el Sr. Mario Decara, propietario del Hotel “Alto San Pedro”. Presentación del Seminario Internacional: “La Interacción entre el Derecho Ambiental y el Derecho Administrativo”.</t>
  </si>
  <si>
    <t>Actualización de la Ley Nº 8801-Creación del Registro Provincial de Prestadores de Turismo Alternativo-.</t>
  </si>
  <si>
    <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</si>
  <si>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https://www.youtube.com/watch?v=jIoQ5lJ13D4</t>
  </si>
  <si>
    <t>https://gld.legislaturacba.gob.ar/Publics/Actas.aspx?id=0FJ_2R8fchk=</t>
  </si>
  <si>
    <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</si>
  <si>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https://www.youtube.com/watch?v=qb-Ja3a1XPg</t>
  </si>
  <si>
    <t>https://gld.legislaturacba.gob.ar/Publics/Actas.aspx?id=ynQnJAklx64=;https://gld.legislaturacba.gob.ar/Publics/Actas.aspx?id=E3_sDBF3_ec=</t>
  </si>
  <si>
    <t>Situación del sector de la televisión y las telecomunicaciones en el marco de la Pandemia COVID-19.</t>
  </si>
  <si>
    <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</si>
  <si>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https://www.youtube.com/watch?v=G23umqZ1_Ew</t>
  </si>
  <si>
    <t>https://gld.legislaturacba.gob.ar/Publics/Actas.aspx?id=PrNgFh9d6ko=</t>
  </si>
  <si>
    <t>AMBIENTE;INDUSTRIA Y MINERÍA;LEGISLACIÓN GENERAL</t>
  </si>
  <si>
    <t>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t>
  </si>
  <si>
    <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</si>
  <si>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https://www.youtube.com/watch?v=R9Lr-nhT9WU</t>
  </si>
  <si>
    <r>
      <rPr>
        <sz val="10"/>
        <color rgb="FF000000"/>
        <rFont val="Arial"/>
      </rPr>
      <t>https://gld.legislaturacba.gob.ar/Publics/Actas.aspx?id=3FoztXGmwSA=</t>
    </r>
    <r>
      <rPr>
        <sz val="10"/>
        <color theme="1"/>
        <rFont val="Arial"/>
      </rPr>
      <t>;</t>
    </r>
    <r>
      <rPr>
        <sz val="10"/>
        <color rgb="FF000000"/>
        <rFont val="Arial"/>
      </rPr>
      <t>https://gld.legislaturacba.gob.ar/Publics/Actas.aspx?id=bJKRM9dWPqo=</t>
    </r>
    <r>
      <rPr>
        <sz val="10"/>
        <color theme="1"/>
        <rFont val="Arial"/>
      </rPr>
      <t>;</t>
    </r>
    <r>
      <rPr>
        <sz val="10"/>
        <color rgb="FF000000"/>
        <rFont val="Arial"/>
      </rPr>
      <t>https://gld.legislaturacba.gob.ar/Publics/Actas.aspx?id=6uZS1B7fF0M=</t>
    </r>
  </si>
  <si>
    <t>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</si>
  <si>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https://www.youtube.com/watch?v=SA2qevq-HfY</t>
  </si>
  <si>
    <t>https://gld.legislaturacba.gob.ar/Publics/Actas.aspx?id=Vuf9O8p_mAo=;https://gld.legislaturacba.gob.ar/Publics/Actas.aspx?id=NADWaQgqOWE=</t>
  </si>
  <si>
    <t>Proyecto de Ley 31699/L/20, remitido por el Poder Ejecutivo, ratificando el Decreto Nº 782 por el que se estableció el incremento de las sumas que perciben los beneficiarios del Régimen Especial de Socorros Graciables y Vitalicios.</t>
  </si>
  <si>
    <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</si>
  <si>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https://gld.legislaturacba.gob.ar/Publics/Actas.aspx?id=gXAvmCNWmB8=;https://gld.legislaturacba.gob.ar/Publics/Actas.aspx?id=1zwgInz6V2k=</t>
  </si>
  <si>
    <t>Proyecto de Ley 31063/L/20, iniciado por el Bloque de la Unión Cívica Radical, modificando los artículos 27 y 37 de la Ley Nº 8058 que regula las actividades de los Bomberos Voluntarios de la Provincia de Córdoba. Proyecto de Ley 31071/L/20, iniciado por el Bloque Juntos por el Cambio, modificando los artículos 24, 27 y 37 de la Ley Nº 8058 -Régimen de Bomberos Voluntarios de la Provincia de Córdoba-.</t>
  </si>
  <si>
    <t>Proyecto de Ley 31150/L/20, iniciado por el Legislador Giraldi, modificando los artículos 25 y 27 de la Ley Nº 8058, de Bomberos Voluntarios de la Provincia de Córdoba.</t>
  </si>
  <si>
    <t>DERECHOS HUMANOS Y DESARROLLO SOCIAL;SALUD HUMANA</t>
  </si>
  <si>
    <t>Anteproyecto de Modificación “Concejo Provincial de Accesibilidad” Decreto 1222/08.</t>
  </si>
  <si>
    <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</si>
  <si>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https://gld.legislaturacba.gob.ar/Publics/Actas.aspx?id=Wfqogqz1C6E=;https://gld.legislaturacba.gob.ar/Publics/Actas.aspx?id=q_QhUUanP8A=</t>
  </si>
  <si>
    <t>Proyecto de Resolución 29989/R/20, iniciado por la Legisladora Irazuzta, solicitando al Poder Ejecutivo informe sobre aspectos referidos a la creación y funcionamiento del Consejo Provincial de Accesibilidad, creado por Decreto Nº 1222/2008.</t>
  </si>
  <si>
    <t>Proyecto de Resolución 31127/R/20, iniciado por el Bloque Encuentro Vecinal Córdoba, solicitando al Poder Ejecutivo informe sobre la vuelta a las actividades presenciales de las comunidades terapéuticas para niñas y niños con discapacidad.</t>
  </si>
  <si>
    <t>Proyecto de Resolución 31375/R/20, solicitando al Poder Ejecutivo informe a través de la Subsecretaría de Discapacidad, Rehabilitación e Inclusión sobre niños y adolescentes que padecen trastorno del espectro autista (TEA) y trastorno generalizado del desarrollo.</t>
  </si>
  <si>
    <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</si>
  <si>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https://gld.legislaturacba.gob.ar/Publics/Actas.aspx?id=BP1XifldLe0=;https://gld.legislaturacba.gob.ar/Publics/Actas.aspx?id=Dn4S321keFY=</t>
  </si>
  <si>
    <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</si>
  <si>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https://www.youtube.com/watch?v=IP6wcc8pYlY</t>
  </si>
  <si>
    <t>https://gld.legislaturacba.gob.ar/Publics/Actas.aspx?id=ImbOVZ3-EZE=;https://gld.legislaturacba.gob.ar/Publics/Actas.aspx?id=pUa-FFia1ac=;https://gld.legislaturacba.gob.ar/Publics/Actas.aspx?id=tSYBJr4IslM=</t>
  </si>
  <si>
    <t>Adicciones comportamentales. El caso de las adicciones tecnológicas.</t>
  </si>
  <si>
    <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</si>
  <si>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https://gld.legislaturacba.gob.ar/Publics/Actas.aspx?id=ari3U-E3eSI=</t>
  </si>
  <si>
    <t>Proyecto de Ley 31373/L/20, iniciado por los legisladores González y Arduh, Modificando los artículos 4, 13, 22, 28 y 35 de la Ley 8.577 -Caja de Previsión Social para los Profesionales de la Salud de la Provincia de Córdoba-.</t>
  </si>
  <si>
    <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</si>
  <si>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https://www.youtube.com/watch?v=buDN7eF-XpQ</t>
  </si>
  <si>
    <t>https://gld.legislaturacba.gob.ar/Publics/Actas.aspx?id=lyPfx5Dfn9k=;https://gld.legislaturacba.gob.ar/Publics/Actas.aspx?id=zQwkSahtAEc=</t>
  </si>
  <si>
    <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</si>
  <si>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https://www.youtube.com/watch?v=0CcvLpc3lB0</t>
  </si>
  <si>
    <t>https://gld.legislaturacba.gob.ar/Publics/Actas.aspx?id=8UA5pm_pIIk=;https://gld.legislaturacba.gob.ar/Publics/Actas.aspx?id=1K9FRmig12U=;https://gld.legislaturacba.gob.ar/Publics/Actas.aspx?id=-m5eS-gqc6k=</t>
  </si>
  <si>
    <t>ECONOMÍA, PRESUPUESTO, GESTIÓN PÚBLICA E INNOVACIÓN;LEGISLACIÓN GENERAL;EDUCACIÓN, CULTURA, CIENCIA, TECNOLOGÍA E INFORMÁTICA</t>
  </si>
  <si>
    <t>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</si>
  <si>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</si>
  <si>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https://www.youtube.com/watch?v=YtTFdBtueP0</t>
  </si>
  <si>
    <t>https://gld.legislaturacba.gob.ar/Publics/Actas.aspx?id=Vl3PpKPH4d4=;https://gld.legislaturacba.gob.ar/Publics/Actas.aspx?id=0yKJCMCTo7c=;https://gld.legislaturacba.gob.ar/Publics/Actas.aspx?id=n8P0BCfliUc=</t>
  </si>
  <si>
    <t>Proyecto de Resolución 31480/R/20, iniciado por el Legislador Ambrosio, solicitando al Poder Ejecutivo informe sobre algunos aspectos vinculados a la suspensión o cancelación de las actividades de la Liga Nacional de Básquet en la modalidad “burbuja”.</t>
  </si>
  <si>
    <t>https://www.youtube.com/watch?v=79hjkY3rQXY</t>
  </si>
  <si>
    <t>https://gld.legislaturacba.gob.ar/Publics/Actas.aspx?id=jPEbZB6m_IA=</t>
  </si>
  <si>
    <t>Anteproyecto de Ley Código de Convivencia en Espectáculos Deportivos de la Provincia de Córdoba.</t>
  </si>
  <si>
    <t>ECONOMÍA, PRESUPUESTO, GESTIÓN PÚBLICA E INNOVACIÓN;LEGISLACIÓN GENERAL;ASUNTOS CONSTITUCIONALES, JUSTICIA Y ACUERDOS</t>
  </si>
  <si>
    <t>Proyecto de Ley 31753/L/20, enviado por el Poder Ejecutivo, elevando el Presupuesto General de la Administración Pública Provincial para el Ejercicio 2021.</t>
  </si>
  <si>
    <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</si>
  <si>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https://www.youtube.com/watch?v=NcWW3IB8fp0</t>
  </si>
  <si>
    <t>https://gld.legislaturacba.gob.ar/Publics/Actas.aspx?id=NscmDJ01PiQ=;https://gld.legislaturacba.gob.ar/Publics/Actas.aspx?id=ETxU6i6E0VQ=;https://gld.legislaturacba.gob.ar/Publics/Actas.aspx?id=ToYWMe5mdzo=</t>
  </si>
  <si>
    <t>Proyecto de Ley 31754/L/20, enviado por el Poder Ejecutivo, proponiendo las modificaciones a las disposiciones legales que regulan las normas del orden tributario contenidas en el Código Tributario Provincial y otras leyes tributarias.</t>
  </si>
  <si>
    <t>Proyecto de Ley 31755/L/20, iniciado por el Poder Ejecutivo, remitiendo la Ley Impositiva Anual para el año 2021.</t>
  </si>
  <si>
    <t>ECONOMÍA, PRESUPUESTO, GESTIÓN PÚBLICA E INNOVACIÓN;EDUCACIÓN, CULTURA, CIENCIA, TECNOLOGÍA E INFORMÁTICA;INDUSTRIA Y MINERÍA;LEGISLACIÓN GENERAL</t>
  </si>
  <si>
    <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t>
  </si>
  <si>
    <r>
      <rPr>
        <sz val="10"/>
        <color rgb="FF000000"/>
        <rFont val="Arial"/>
      </rPr>
      <t>https://gld.legislaturacba.gob.ar/Publics/Actas.aspx?id=2eNCdt31xww=</t>
    </r>
    <r>
      <rPr>
        <sz val="10"/>
        <color theme="1"/>
        <rFont val="Arial"/>
      </rPr>
      <t>;</t>
    </r>
    <r>
      <rPr>
        <sz val="10"/>
        <color rgb="FF000000"/>
        <rFont val="Arial"/>
      </rPr>
      <t>https://gld.legislaturacba.gob.ar/Publics/Actas.aspx?id=tps85x5vD3M=</t>
    </r>
    <r>
      <rPr>
        <sz val="10"/>
        <color theme="1"/>
        <rFont val="Arial"/>
      </rPr>
      <t>;</t>
    </r>
    <r>
      <rPr>
        <sz val="10"/>
        <color rgb="FF000000"/>
        <rFont val="Arial"/>
      </rPr>
      <t>https://gld.legislaturacba.gob.ar/Publics/Actas.aspx?id=uibVFnxsUYI=</t>
    </r>
    <r>
      <rPr>
        <sz val="10"/>
        <color theme="1"/>
        <rFont val="Arial"/>
      </rPr>
      <t>;</t>
    </r>
    <r>
      <rPr>
        <sz val="10"/>
        <color rgb="FF000000"/>
        <rFont val="Arial"/>
      </rPr>
      <t>https://gld.legislaturacba.gob.ar/Publics/Actas.aspx?id=3ZUMjIbuvxs=</t>
    </r>
  </si>
  <si>
    <t>Situación del transporte público de pasajeros en la Provincia de Córdoba.</t>
  </si>
  <si>
    <t>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</si>
  <si>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https://www.youtube.com/watch?v=Ge0l9NFj9qg</t>
  </si>
  <si>
    <t>https://gld.legislaturacba.gob.ar/Publics/Actas.aspx?id=Ow7xqyo3Eb8=</t>
  </si>
  <si>
    <t>Situación del sector de la industria del calzado en el marco de la Pandemia COVID-19.</t>
  </si>
  <si>
    <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</si>
  <si>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https://www.youtube.com/watch?v=RolNrf7eElY</t>
  </si>
  <si>
    <t>https://gld.legislaturacba.gob.ar/Publics/Actas.aspx?id=jvHkn0Jc720=</t>
  </si>
  <si>
    <t>ECONOMÍA, PRESUPUESTO, GESTIÓN PÚBLICA E INNOVACIÓN;ASUNTOS CONSTITUCIONALES, JUSTICIA Y ACUERDOS;LEGISLACIÓN GENERAL</t>
  </si>
  <si>
    <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</si>
  <si>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https://www.youtube.com/watch?v=gg01u0jaffA</t>
  </si>
  <si>
    <t>https://gld.legislaturacba.gob.ar/Publics/Actas.aspx?id=6ZRa_6WmIj4=;https://gld.legislaturacba.gob.ar/Publics/Actas.aspx?id=PCgUn_X273I=;https://gld.legislaturacba.gob.ar/Publics/Actas.aspx?id=r-WtQ-tqZxY=</t>
  </si>
  <si>
    <t>Proyecto de Ley 31688/E/20,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</si>
  <si>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</si>
  <si>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https://www.youtube.com/watch?v=U6T2PHcXPRM</t>
  </si>
  <si>
    <r>
      <rPr>
        <sz val="10"/>
        <color rgb="FF000000"/>
        <rFont val="Arial"/>
      </rPr>
      <t>https://gld.legislaturacba.gob.ar/Publics/Actas.aspx?id=S13yyNqOZWk=</t>
    </r>
    <r>
      <rPr>
        <sz val="10"/>
        <color theme="1"/>
        <rFont val="Arial"/>
      </rPr>
      <t>;</t>
    </r>
    <r>
      <rPr>
        <sz val="10"/>
        <color rgb="FF000000"/>
        <rFont val="Arial"/>
      </rPr>
      <t>https://gld.legislaturacba.gob.ar/Publics/Actas.aspx?id=9zGvIkY3OUE=</t>
    </r>
    <r>
      <rPr>
        <sz val="10"/>
        <color theme="1"/>
        <rFont val="Arial"/>
      </rPr>
      <t>;</t>
    </r>
    <r>
      <rPr>
        <sz val="10"/>
        <color rgb="FF000000"/>
        <rFont val="Arial"/>
      </rPr>
      <t>https://gld.legislaturacba.gob.ar/Publics/Actas.aspx?id=6_-RHLtiq_8=</t>
    </r>
    <r>
      <rPr>
        <sz val="10"/>
        <color theme="1"/>
        <rFont val="Arial"/>
      </rPr>
      <t>;</t>
    </r>
    <r>
      <rPr>
        <sz val="10"/>
        <color rgb="FF000000"/>
        <rFont val="Arial"/>
      </rPr>
      <t>https://gld.legislaturacba.gob.ar/Publics/Actas.aspx?id=Jxl9Vjcr1Mk=</t>
    </r>
  </si>
  <si>
    <t>Proyecto de Ley 31652/L/20, iniciado por la Legisladora Irazuzta, creando el “Régimen de Promoción de la Economía del Conocimiento” que regirá en todo el territorio de la Provincia de Córdoba y que tiene como objetivo promocionar actividades económicas que apliquen el uso del conocimiento y la digitalización de la información apoyado en los avances de la ciencia y de las tecnologías, a la obtención de bienes, prestación de servicios y/o mejoras de procesos, con los alcances y limitaciones establecidos en la presente ley y las normas reglamentarias que en su consecuencia se dicten.</t>
  </si>
  <si>
    <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</si>
  <si>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https://www.youtube.com/watch?v=-NKDvABYslM</t>
  </si>
  <si>
    <t>https://gld.legislaturacba.gob.ar/Publics/Actas.aspx?id=NkYTWIUucoY=</t>
  </si>
  <si>
    <t>Proyecto de Ley 30646/L/20, iniciado por el Bloque de la Unión Cívica Radical, estableciendo la capacitación obligatoria, continua, permanente y actualizada en Derechos de la Discapacidad en el ámbito de los Poderes Ejecutivo, Legislativo y Judicial.</t>
  </si>
  <si>
    <t>Proyecto de Ley 31746/L/20, iniciado por la Legisladora De la Sota, estableciendo la implementación del Programa “Córdoba Inclusiva”, destinado a la formación obligatoria en el trato adecuado a personas con discapacidad y a la accesibilidad universal de los espacios de dominio y uso público.</t>
  </si>
  <si>
    <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</si>
  <si>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https://www.youtube.com/watch?v=J298QWPeYnw</t>
  </si>
  <si>
    <r>
      <rPr>
        <sz val="10"/>
        <color rgb="FF000000"/>
        <rFont val="Arial"/>
      </rPr>
      <t>https://gld.legislaturacba.gob.ar/Publics/Actas.aspx?id=z-3fZDwzcAY=</t>
    </r>
    <r>
      <rPr>
        <sz val="10"/>
        <color theme="1"/>
        <rFont val="Arial"/>
      </rPr>
      <t>;</t>
    </r>
    <r>
      <rPr>
        <sz val="10"/>
        <color rgb="FF000000"/>
        <rFont val="Arial"/>
      </rPr>
      <t>https://gld.legislaturacba.gob.ar/Publics/Actas.aspx?id=IgBGmRUABcU=</t>
    </r>
    <r>
      <rPr>
        <sz val="10"/>
        <color theme="1"/>
        <rFont val="Arial"/>
      </rPr>
      <t>;</t>
    </r>
    <r>
      <rPr>
        <sz val="10"/>
        <color rgb="FF000000"/>
        <rFont val="Arial"/>
      </rPr>
      <t>https://gld.legislaturacba.gob.ar/Publics/Actas.aspx?id=r6Cjd9pDJmo=</t>
    </r>
  </si>
  <si>
    <t>Proyecto de Ley 30684/L/20, iniciado por la Legisladora Paleo, adhiriendo la Provincia de Córdoba a la Ley Nacional Nº 27533, de Protección Integral a las Mujeres.</t>
  </si>
  <si>
    <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</si>
  <si>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https://www.youtube.com/watch?v=sNHwYlMvZYg</t>
  </si>
  <si>
    <t>https://gld.legislaturacba.gob.ar/Publics/Actas.aspx?id=Ns2u8LRwkMY=</t>
  </si>
  <si>
    <t>Proyecto de Resolución 30946/R/20, iniciado por la legisladora Paleo, instando al PEP para que proceda a actualizar los contenidos de las capacitaciones en el marco de la “Ley Micaela”, a fines de incorporar las modificaciones a la Ley Nacional Nº 26485, con relación a la violencia pública - política, tal como lo establece la Ley Nº 10.628.</t>
  </si>
  <si>
    <t>Proyecto de Ley 30947/L/20, iniciado por la legisladora Paleo, sustituyendo el artículo 2º de la Ley Nº 10401, a los fines de que se incorporen las nuevas modificaciones de la Ley Nacional Nº 26485, que incluyen la violencia en el espacio público y la violencia pública - política</t>
  </si>
  <si>
    <t>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</si>
  <si>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</si>
  <si>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https://www.youtube.com/watch?v=pOX0tSIj1FA</t>
  </si>
  <si>
    <t>https://gld.legislaturacba.gob.ar/Publics/Actas.aspx?id=uIZJJ1AwGRU=;https://gld.legislaturacba.gob.ar/Publics/Actas.aspx?id=Nrz2T7u9xPY=;https://gld.legislaturacba.gob.ar/Publics/Actas.aspx?id=u5gZHsRGm1g=;https://gld.legislaturacba.gob.ar/Publics/Actas.aspx?id=ndgs485_fYg=</t>
  </si>
  <si>
    <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</si>
  <si>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https://www.youtube.com/watch?v=zSz0Kh-GrXk</t>
  </si>
  <si>
    <r>
      <rPr>
        <sz val="10"/>
        <color rgb="FF000000"/>
        <rFont val="Arial"/>
      </rPr>
      <t>https://gld.legislaturacba.gob.ar/Publics/Actas.aspx?id=u0489YzJ6b8=</t>
    </r>
    <r>
      <rPr>
        <sz val="10"/>
        <color theme="1"/>
        <rFont val="Arial"/>
      </rPr>
      <t>;</t>
    </r>
    <r>
      <rPr>
        <sz val="10"/>
        <color rgb="FF000000"/>
        <rFont val="Arial"/>
      </rPr>
      <t>https://gld.legislaturacba.gob.ar/Publics/Actas.aspx?id=NCP-AmqnWt0=</t>
    </r>
    <r>
      <rPr>
        <sz val="10"/>
        <color theme="1"/>
        <rFont val="Arial"/>
      </rPr>
      <t>;</t>
    </r>
    <r>
      <rPr>
        <sz val="10"/>
        <color rgb="FF000000"/>
        <rFont val="Arial"/>
      </rPr>
      <t>https://gld.legislaturacba.gob.ar/Publics/Actas.aspx?id=-MXc17ILd1s=</t>
    </r>
  </si>
  <si>
    <t>Incorporación de nuevos miembros y designación de la Presidencia.</t>
  </si>
  <si>
    <t>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</si>
  <si>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https://www.youtube.com/watch?v=qRQy6qPrvb8</t>
  </si>
  <si>
    <t>https://gld.legislaturacba.gob.ar/Publics/Actas.aspx?id=JnBKhwZ28WM=</t>
  </si>
  <si>
    <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</si>
  <si>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https://www.youtube.com/watch?v=wylVSPTKQSE</t>
  </si>
  <si>
    <t>https://gld.legislaturacba.gob.ar/Publics/Actas.aspx?id=nrbf9fDfWNA=;https://gld.legislaturacba.gob.ar/Publics/Actas.aspx?id=u3jIW2vDUYs=;https://gld.legislaturacba.gob.ar/Publics/Actas.aspx?id=ZkQJ2-g36ng=;https://gld.legislaturacba.gob.ar/Publics/Actas.aspx?id=sJxvGuebqdI=</t>
  </si>
  <si>
    <t>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</si>
  <si>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</si>
  <si>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https://www.youtube.com/watch?v=Am4QbKSB-4I</t>
  </si>
  <si>
    <t>https://gld.legislaturacba.gob.ar/Publics/Actas.aspx?id=gLWDIGn5A8Y=</t>
  </si>
  <si>
    <t>Proyecto de Ley 31748/L/20, iniciado por los Legisladores Majul e Iturria, instituyendo el día 24 de mayo de cada año como el Día Provincial de la Pelota de Fútbol.</t>
  </si>
  <si>
    <t>Proyecto de Ley 31911/L/20, iniciado por el Poder Ejecutivo, modificando la Ley Nº 9235 -de Seguridad Pública de la Provincia de Córdoba-.</t>
  </si>
  <si>
    <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</si>
  <si>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https://gld.legislaturacba.gob.ar/Publics/Actas.aspx?id=L88pFOJtCP4=</t>
    </r>
    <r>
      <rPr>
        <sz val="10"/>
        <color theme="1"/>
        <rFont val="Arial"/>
      </rPr>
      <t>;</t>
    </r>
    <r>
      <rPr>
        <sz val="10"/>
        <color rgb="FF000000"/>
        <rFont val="Arial"/>
      </rPr>
      <t>https://gld.legislaturacba.gob.ar/Publics/Actas.aspx?id=q3wxkQZLdL0=</t>
    </r>
  </si>
  <si>
    <t>Proyecto de Ley 31912/L/20, estableciendo el control disciplinario de las Fuerzas de Seguridad.</t>
  </si>
  <si>
    <t>TURISMO Y SU RELACIÓN CON EL DESARROLLO REGIONAL;DEPORTES Y RECREACIÓN</t>
  </si>
  <si>
    <t>Proyecto de Ley 31797/L/20, iniciado por la Legisladora Caserio, estableciendo el marco normativo para la regulación, control, promoción y fomento del Turismo Activo en la Provincia de Córdoba; y creando el Registro de Prestadores de Servicios de Turismo Activo y Operadores de Turismo Activo de la provincia.</t>
  </si>
  <si>
    <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</si>
  <si>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https://www.youtube.com/watch?v=VROvyhUcSAM</t>
  </si>
  <si>
    <t>https://gld.legislaturacba.gob.ar/Publics/Actas.aspx?id=8Zf1xV_deUM=;https://gld.legislaturacba.gob.ar/Publics/Actas.aspx?id=18RFV5cQ_z4=</t>
  </si>
  <si>
    <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</si>
  <si>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https://gld.legislaturacba.gob.ar/Publics/Actas.aspx?id=-FZhkLPkHP0=</t>
  </si>
  <si>
    <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</si>
  <si>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https://gld.legislaturacba.gob.ar/Publics/Actas.aspx?id=910K9OZ8ln0=</t>
    </r>
    <r>
      <rPr>
        <sz val="10"/>
        <color theme="1"/>
        <rFont val="Arial"/>
      </rPr>
      <t>;</t>
    </r>
    <r>
      <rPr>
        <sz val="10"/>
        <color rgb="FF000000"/>
        <rFont val="Arial"/>
      </rPr>
      <t>https://gld.legislaturacba.gob.ar/Publics/Actas.aspx?id=VmQckbkTSvw=</t>
    </r>
    <r>
      <rPr>
        <sz val="10"/>
        <color theme="1"/>
        <rFont val="Arial"/>
      </rPr>
      <t>;</t>
    </r>
    <r>
      <rPr>
        <sz val="10"/>
        <color rgb="FF000000"/>
        <rFont val="Arial"/>
      </rPr>
      <t>https://gld.legislaturacba.gob.ar/Publics/Actas.aspx?id=w55NvP-nNd4=</t>
    </r>
  </si>
  <si>
    <t>Proyecto de Ley 31862/L/20, iniciado por el Poder Ejecutivo, ratificando el Decreto Nº 1615 del 10 de diciembre de 2019, y su similar modificatorio Nº 93 del 17 de febrero de 2020, que establecen la Estructura Orgánica del Poder Ejecutivo Provincial.</t>
  </si>
  <si>
    <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</si>
  <si>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https://www.youtube.com/watch?v=302h4bFsFjw</t>
  </si>
  <si>
    <t>https://gld.legislaturacba.gob.ar/Publics/Actas.aspx?id=wpMvJu52fI0=;https://gld.legislaturacba.gob.ar/Publics/Actas.aspx?id=CuGxoppufEg=</t>
  </si>
  <si>
    <t>Programa Provincial de VIH/SIDA y Enfermedades de Transmisión Sexual (ETS).</t>
  </si>
  <si>
    <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</si>
  <si>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https://www.youtube.com/watch?v=1c8sBebOyxI</t>
  </si>
  <si>
    <t>https://gld.legislaturacba.gob.ar/Publics/Actas.aspx?id=EmB_5gmx1sA=</t>
  </si>
  <si>
    <t>Proyecto de Resolución 31525/R/20, iniciado por la Legisladora Echevarría, solicitando al Poder Ejecutivo informe sobre diversos aspectos relacionados al Programa de Lucha contra el VIH-Sida e ITS -Ley 9161 y el Plan para Grupos Vulnerables.</t>
  </si>
  <si>
    <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</si>
  <si>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https://www.youtube.com/watch?v=5WtiaYhhxXo</t>
  </si>
  <si>
    <t>https://gld.legislaturacba.gob.ar/Publics/Actas.aspx?id=tlx7Doiixrk=;https://gld.legislaturacba.gob.ar/Publics/Actas.aspx?id=GCjgcJ3yoJ4=</t>
  </si>
  <si>
    <t>Proyecto de Ley 31817/E/20, remitido por el Poder Ejecutivo, modificando e incorporando distintos artículos al Decreto Ley Nº 214/E/63 -Estatuto y Escalafón de la Docencia Media, Especial y Superior.</t>
  </si>
  <si>
    <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</si>
  <si>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https://gld.legislaturacba.gob.ar/Publics/Actas.aspx?id=IvjjLPLBnvE=;https://gld.legislaturacba.gob.ar/Publics/Actas.aspx?id=UhNmx57rtvg=</t>
  </si>
  <si>
    <t>Situación del sector de la industria gráfica cordobesa en el marco de la Pandemia COVID 19.</t>
  </si>
  <si>
    <t>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</si>
  <si>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https://www.youtube.com/watch?v=2gTVD_Hzr3o</t>
  </si>
  <si>
    <t>https://gld.legislaturacba.gob.ar/Publics/Actas.aspx?id=H8z8IMs9VOA=</t>
  </si>
  <si>
    <t>Proyecto de Ley 31817/L/20, remitido por el Poder Ejecutivo, modificando e incorporando distintos artículos al Decreto-Ley Nº 214/E/63 Estatuto y Escalafón de la Docencia Media, Especial y Superior.</t>
  </si>
  <si>
    <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</si>
  <si>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https://www.youtube.com/watch?v=ewowi9uoS6k</t>
  </si>
  <si>
    <r>
      <rPr>
        <sz val="10"/>
        <color rgb="FF000000"/>
        <rFont val="Arial"/>
      </rPr>
      <t>https://gld.legislaturacba.gob.ar/Publics/Actas.aspx?id=6QzzmziEcuY=</t>
    </r>
    <r>
      <rPr>
        <sz val="10"/>
        <color theme="1"/>
        <rFont val="Arial"/>
      </rPr>
      <t>;</t>
    </r>
    <r>
      <rPr>
        <sz val="10"/>
        <color rgb="FF000000"/>
        <rFont val="Arial"/>
      </rPr>
      <t>https://gld.legislaturacba.gob.ar/Publics/Actas.aspx?id=NDLFgCeW_h8=</t>
    </r>
  </si>
  <si>
    <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</si>
  <si>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https://gld.legislaturacba.gob.ar/Publics/Actas.aspx?id=8YsuurtySHU=</t>
  </si>
  <si>
    <t>Proyecto de Ley 31749/L/20, iniciado por el Legislador Majul, designando con el nombre de “Rubén Torri” a la sala de conferencias del Estadio Mario Alberto Kempes de la ciudad de Córdoba.</t>
  </si>
  <si>
    <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</si>
  <si>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https://www.youtube.com/watch?v=fO8U7MeK3QA</t>
  </si>
  <si>
    <r>
      <rPr>
        <sz val="10"/>
        <color rgb="FF000000"/>
        <rFont val="Arial"/>
      </rPr>
      <t>https://gld.legislaturacba.gob.ar/Publics/Actas.aspx?id=8PamxFMF7nk=</t>
    </r>
    <r>
      <rPr>
        <sz val="10"/>
        <color theme="1"/>
        <rFont val="Arial"/>
      </rPr>
      <t>;</t>
    </r>
    <r>
      <rPr>
        <sz val="10"/>
        <color rgb="FF000000"/>
        <rFont val="Arial"/>
      </rPr>
      <t>https://gld.legislaturacba.gob.ar/Publics/Actas.aspx?id=BS-_ilaBSwk=</t>
    </r>
  </si>
  <si>
    <t>Proyecto de Declaración 31968/D/20, iniciado por los Legisladores Caffaratti, Paleo, Ronge, Jure y Recalde, reconociendo la labor realizada por Octavio Perez Gaudio en el Canal Mundo Especial XD, dedicado a difundir los derechos de las personas con discapacidad a través de la plataforma de YouTube.</t>
  </si>
  <si>
    <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</si>
  <si>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https://gld.legislaturacba.gob.ar/Publics/Actas.aspx?id=fLn_jKDwbf8=</t>
  </si>
  <si>
    <t>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t>
  </si>
  <si>
    <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</si>
  <si>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https://www.youtube.com/watch?v=8wlfcq65MiU</t>
  </si>
  <si>
    <t>https://gld.legislaturacba.gob.ar/Publics/Actas.aspx?id=0v7PwP9-DOo=</t>
  </si>
  <si>
    <t>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t>
  </si>
  <si>
    <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</si>
  <si>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https://gld.legislaturacba.gob.ar/Publics/Actas.aspx?id=EodNT5veUD0=</t>
  </si>
  <si>
    <t>Proyecto de Ley 31991/L/20, iniciado por el Poder Ejecutivo, declarando de utilidad pública y sujeto a expropiación para la ejecución de las obras: “Variante Ruta Provincial Nº 5 – Tramo: Rotonda Ruta Provincial Nº 5 (Km. 25,5) y el Acceso a la localidad de Villa Los Aromos (Km. 45,2)”, los inmuebles necesarios para llevar a cabo la obra mencionada, de acuerdo a la Planimetría General.</t>
  </si>
  <si>
    <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</si>
  <si>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https://gld.legislaturacba.gob.ar/Publics/Actas.aspx?id=-ckAifYRhWI=;https://gld.legislaturacba.gob.ar/Publics/Actas.aspx?id=VkTCxJ5-Ru4=</t>
  </si>
  <si>
    <t>WEBINARIO: Reflexiones sobre la violencia de género.</t>
  </si>
  <si>
    <t>https://gld.legislaturacba.gob.ar/Publics/Actas.aspx?id=MVwTfCIXhYc=</t>
  </si>
  <si>
    <t>https://www.youtube.com/watch?v=iGIZmmwUowg</t>
  </si>
  <si>
    <t>https://gld.legislaturacba.gob.ar/Publics/Actas.aspx?id=20d95av1oMY=;https://gld.legislaturacba.gob.ar/Publics/Actas.aspx?id=UlSC81XjTOM=</t>
  </si>
  <si>
    <t>OBRAS PÚBLICAS, VIVIENDA Y COMUNICACIONES;DERECHOS HUMANOS Y DESARROLLO SOCIAL;ECONOMÍA SOCIAL, COOPERATIVAS Y MUTUALES;LEGISLACIÓN GENERAL</t>
  </si>
  <si>
    <t>Proyecto de Ley N31904/L/20, creando el “Programa de Urbanización y Regularización Dominial de Barrios Populares”, con el objetivo de lograr la integración socio-urbana, progresiva e integral, de las familias que habitan en los barrios populares anteriores al 27 de septiembre de 2017.</t>
  </si>
  <si>
    <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t>
  </si>
  <si>
    <r>
      <t>https://gld.legislaturacba.gob.ar/Publics/Actas.aspx?id=WQtgUWeFlDY=;https://gld.legislaturacba.gob.ar/Publics/Actas.aspx?id=EPrDaV81Amo=;</t>
    </r>
    <r>
      <rPr>
        <u/>
        <sz val="10"/>
        <color rgb="FF1155CC"/>
        <rFont val="Arial"/>
      </rPr>
      <t>https://gld.legislaturacba.gob.ar/Publics/Actas.aspx?id=jSQNeDmPxaY=</t>
    </r>
    <r>
      <rPr>
        <sz val="10"/>
        <color rgb="FF000000"/>
        <rFont val="Arial"/>
        <scheme val="minor"/>
      </rPr>
      <t>;https://gld.legislaturacba.gob.ar/Publics/Actas.aspx?id=hcz69s82ueQ=</t>
    </r>
  </si>
  <si>
    <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t>
  </si>
  <si>
    <t>https://www.youtube.com/watch?v=nzFCULzmXXE</t>
  </si>
  <si>
    <t>https://gld.legislaturacba.gob.ar/Publics/Actas.aspx?id=3T-10Ie_BlA=</t>
  </si>
  <si>
    <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</si>
  <si>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https://www.youtube.com/watch?v=GJaKQmfr3LE</t>
  </si>
  <si>
    <t>https://gld.legislaturacba.gob.ar/Publics/Actas.aspx?id=M4SK_ts8Y8o=;https://gld.legislaturacba.gob.ar/Publics/Actas.aspx?id=SuScFNyv4lM=</t>
  </si>
  <si>
    <t>Proyecto de Ley 31936/L/20, creando la “Agencia Conectividad Córdoba (ACC) Sociedad del Estado” con el objeto de promover la inclusión digital de todos los habitantes de la Provincia de Córdoba.</t>
  </si>
  <si>
    <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</si>
  <si>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https://www.youtube.com/watch?v=dMJCr7zlwBc</t>
  </si>
  <si>
    <t>https://gld.legislaturacba.gob.ar/Publics/Actas.aspx?id=t3KkWjTiIdA=;https://gld.legislaturacba.gob.ar/Publics/Actas.aspx?id=aAo1ZyUaIfw=</t>
  </si>
  <si>
    <t>Proyecto de Ley 31411/L/20, iniciado por los legisladores González e Iturria, modificando el artículo 1º de la Ley Nº 10.545, sobre las facturaciones que emitan los entes distribuidores o quienes fueran responsables de la facturación del cobro de prestaciones de servicios públicos domiciliarios de energía eléctrica, agua y saneamiento.</t>
  </si>
  <si>
    <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</si>
  <si>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https://www.youtube.com/watch?v=VlvuZlmJYYU</t>
  </si>
  <si>
    <r>
      <rPr>
        <sz val="10"/>
        <color rgb="FF000000"/>
        <rFont val="Arial"/>
      </rPr>
      <t>https://gld.legislaturacba.gob.ar/Publics/Actas.aspx?id=R0m259BRlC8=</t>
    </r>
    <r>
      <rPr>
        <sz val="10"/>
        <color rgb="FF000000"/>
        <rFont val="Arial"/>
      </rPr>
      <t>;</t>
    </r>
    <r>
      <rPr>
        <sz val="10"/>
        <color rgb="FF000000"/>
        <rFont val="Arial"/>
      </rPr>
      <t>https://gld.legislaturacba.gob.ar/Publics/Actas.aspx?id=jBMZ0DQvBig=</t>
    </r>
  </si>
  <si>
    <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</si>
  <si>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https://www.youtube.com/watch?v=eJrqogUe7Us</t>
  </si>
  <si>
    <r>
      <rPr>
        <sz val="10"/>
        <color rgb="FF000000"/>
        <rFont val="Arial"/>
      </rPr>
      <t>https://gld.legislaturacba.gob.ar/Publics/Actas.aspx?id=paSF89WS83w=</t>
    </r>
    <r>
      <rPr>
        <sz val="10"/>
        <color rgb="FF000000"/>
        <rFont val="Arial"/>
      </rPr>
      <t>;</t>
    </r>
    <r>
      <rPr>
        <sz val="10"/>
        <color rgb="FF000000"/>
        <rFont val="Arial"/>
      </rPr>
      <t>https://gld.legislaturacba.gob.ar/Publics/Actas.aspx?id=cQdkeIwh2TA=</t>
    </r>
  </si>
  <si>
    <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</si>
  <si>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https://gld.legislaturacba.gob.ar/Publics/Actas.aspx?id=OFQxzPyBYGE=</t>
  </si>
  <si>
    <t>Instituyendo el día 24 de mayo de cada año como el “Día provincial de la pelota de fútbol”</t>
  </si>
  <si>
    <t>Proyecto de Ley 31904/L/20, creando el “Programa de Urbanización y Regularización Dominial de Barrios Populares”, con el objetivo de lograr la integración socio-urbana, progresiva e integral, de las familias que habitan en los barrios populares anteriores al 27 de septiembre de 2017.</t>
  </si>
  <si>
    <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</si>
  <si>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https://gld.legislaturacba.gob.ar/Publics/Actas.aspx?id=repazwgpxkw=;https://gld.legislaturacba.gob.ar/Publics/Actas.aspx?id=g-hbzvZnFXc=;</t>
    </r>
    <r>
      <rPr>
        <u/>
        <sz val="10"/>
        <color rgb="FF1155CC"/>
        <rFont val="Arial"/>
      </rPr>
      <t>https://gld.legislaturacba.gob.ar/Publics/Actas.aspx?id=bAJp-jDC1Ds=</t>
    </r>
    <r>
      <rPr>
        <sz val="10"/>
        <color rgb="FF000000"/>
        <rFont val="Arial"/>
      </rPr>
      <t>;https://gld.legislaturacba.gob.ar/Publics/Actas.aspx?id=HFd-6mXDVUo=</t>
    </r>
  </si>
  <si>
    <t>Proyecto de Ley 32034/L/20, iniciado por el Poder Ejecutivo, aprobando el Convenio Bilateral de Financiamiento suscripto entre la Administración Nacional de Seguridad Social (ANSeS) y la Provincia de Córdoba, celebrado el 28 de diciembre de 2020 y registrado en dicha entidad nacional bajo el número CONVE-2020-90607419-ANSES-ANSES.</t>
  </si>
  <si>
    <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</si>
  <si>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https://www.youtube.com/watch?v=81ut3IZNHmc</t>
  </si>
  <si>
    <t>https://gld.legislaturacba.gob.ar/Publics/Actas.aspx?id=2FcDyv_1594=;https://gld.legislaturacba.gob.ar/Publics/Actas.aspx?id=l0gF7Wqayvk=</t>
  </si>
  <si>
    <t>Proyecto de Ley 32035/L/20, iniciado por el Poder Ejecutivo, ratificando las adendas relativas al Acuerdo Federal Provincia Municipios de Diálogo y Convivencia Social, celebrado el 2 de agosto de 2018 y ratificado por Ley N° 10562, suscriptas con fecha 21 de diciembre de 2020, entre los representantes del Gobierno de la Provincia, y los señores Intendentes o Jefes Comunales de cada uno de los Municipios o Comunas participantes, estableciendo las condiciones de refinanciación acordadas por las partes.</t>
  </si>
  <si>
    <t>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</si>
  <si>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https://www.youtube.com/watch?v=CESEC-eZuKM</t>
  </si>
  <si>
    <t>https://gld.legislaturacba.gob.ar/Publics/Actas.aspx?id=8yT951U-4Po=</t>
  </si>
  <si>
    <t>Modificando el radio municipal de la localidad de Saturnino María Laspiur, ubicada en el departamento San Justo de la provincia de Córdoba, de conformidad a lo establecido por el artículo 4° de la Ley n° 8102, según el plano confeccionado por la municipalidad</t>
  </si>
  <si>
    <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</si>
  <si>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https://www.youtube.com/watch?v=yymQxblY6rk</t>
  </si>
  <si>
    <t>https://gld.legislaturacba.gob.ar/Publics/Actas.aspx?id=l0nIXI2-WmA=</t>
  </si>
  <si>
    <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</si>
  <si>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https://www.youtube.com/watch?v=x2CPOHSZDAs</t>
  </si>
  <si>
    <t>https://gld.legislaturacba.gob.ar/Publics/Actas.aspx?id=E2VMdAENyZg=</t>
  </si>
  <si>
    <t>Ratificando el “Convenio Marco de Asistencia y Cooperación Recíproca”, celebrado entre el Ministerio de las Mujeres, Géneros y Diversidad de la Nación y la Provincia de Córdoba; para coordinar acciones, programas o proyectos en materia de políticas de género, igualdad, diversidad y prevención, así como para la atención de situaciones de violencia por razones de género</t>
  </si>
  <si>
    <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</si>
  <si>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https://www.youtube.com/watch?v=vlkgI_1PBNM</t>
  </si>
  <si>
    <t>https://gld.legislaturacba.gob.ar/Publics/Actas.aspx?id=koxz2fG2Oo0=</t>
  </si>
  <si>
    <t>https://www.youtube.com/watch?v=VHDkL1nURbw</t>
  </si>
  <si>
    <t>https://gld.legislaturacba.gob.ar/Publics/Actas.aspx?id=Ws1exwyoNkI=</t>
  </si>
  <si>
    <t>Modificando el radio municipal de la localidad de La Carlota, ubicada en el Departamento Juárez Celman, de conformidad a lo establecido por el artículo 4º de la Ley Nº 8102, según el plano confeccionado por la municipalidad</t>
  </si>
  <si>
    <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</si>
  <si>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https://www.youtube.com/watch?v=h74bcy7XpnY</t>
  </si>
  <si>
    <t>https://gld.legislaturacba.gob.ar/Publics/Actas.aspx?id=MBANNCC_cms=</t>
  </si>
  <si>
    <t>https://gld.legislaturacba.gob.ar/Publics/Actas.aspx?id=0pxXrXiqsOU=</t>
  </si>
  <si>
    <t>Citando al Ministro de Educación (Art. 101 CP) a efectos de informar respecto de la planificación realizada para garantizar la educación en todos los niveles en el ciclo lectivo 2021</t>
  </si>
  <si>
    <t>https://www.youtube.com/watch?v=It7q9pQ-cvU</t>
  </si>
  <si>
    <t>https://gld.legislaturacba.gob.ar/Publics/Actas.aspx?id=IZkRouYWnXY=</t>
  </si>
  <si>
    <t>Solicitando acuerdo para designar a la abogada Yessica Nadina Lincon Juez de Primera Instancia en lo Civil y Comercial de 12ª Nominación de la Primera Circunscripción Judicial con asiento en la ciudad de Córdoba</t>
  </si>
  <si>
    <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</si>
  <si>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https://www.youtube.com/watch?v=IQR_yOfYsPA</t>
  </si>
  <si>
    <t>https://gld.legislaturacba.gob.ar/Publics/Actas.aspx?id=z4GHTPXCiFc=</t>
  </si>
  <si>
    <t>Solicitando acuerdo para designar a la abogada Nadia Walther Juez de Primera Instancia en lo Civil y Comercial de 38ª Nominación de la Primera Circunscripción Judicial con asiento en la ciudad de Córdoba</t>
  </si>
  <si>
    <t>Solicitando acuerdo para designar al abogado Nicolás Maina Juez de Primera Instancia en lo Civil y Comercial de 8ª Nominación de la Primera Circunscripción Judicial con asiento en la ciudad de Córdoba</t>
  </si>
  <si>
    <t>Acciones que realiza la Agencia ProCórdoba S.E.M. y resumen de la gestión 2020</t>
  </si>
  <si>
    <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</si>
  <si>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https://www.youtube.com/watch?v=7ad0nBIg_vQ</t>
  </si>
  <si>
    <t>https://gld.legislaturacba.gob.ar/Publics/Actas.aspx?id=_07w-EJ80N0=</t>
  </si>
  <si>
    <t>Curso de aguas de las acequias Las Rosas y El Descanso, de la localidad de Villa La Bolsa</t>
  </si>
  <si>
    <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</si>
  <si>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https://www.youtube.com/watch?v=uE95ezRY2FI</t>
  </si>
  <si>
    <t>https://gld.legislaturacba.gob.ar/Publics/Actas.aspx?id=GJ1gd6M1VV8=</t>
  </si>
  <si>
    <t>Modificando el radio comunal de la localidad de Arroyo de los Patos, ubicada en el Departamento San Alberto de la Provincia de Córdoba, de conformidad a lo establecido por el artículo 4º de la Ley Nº 8102, según el plano confeccionado por la comuna</t>
  </si>
  <si>
    <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</si>
  <si>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https://www.youtube.com/watch?v=4D-gLaNHUHM</t>
  </si>
  <si>
    <t>https://gld.legislaturacba.gob.ar/Publics/Actas.aspx?id=curhkRNGj_E=</t>
  </si>
  <si>
    <t>Disponiendo la publicidad de las matrículas profesionales por parte de Colegios y Consejos u otro organismo encargado del otorgamiento de matrícula profesional</t>
  </si>
  <si>
    <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</si>
  <si>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https://www.youtube.com/watch?v=k0zVfDPHs2w</t>
  </si>
  <si>
    <t>https://gld.legislaturacba.gob.ar/Publics/Actas.aspx?id=MSvQq8WIofg=</t>
  </si>
  <si>
    <t>Declarando de utilidad pública y sujeto a expropiación una fracción de terreno sita en Camino a Pajas Blancas, Barrio Alta Córdoba, Dpto. Capital, para la ejecución de la obra “Readecuación Ruta Provincial Nº E-53 - Tramo Avenida de Circunvalación-Estación de Peaje”</t>
  </si>
  <si>
    <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</si>
  <si>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https://www.youtube.com/watch?v=QdzTNEUrqFg</t>
  </si>
  <si>
    <t>https://gld.legislaturacba.gob.ar/Publics/Actas.aspx?id=EvlxxSp3QkY=</t>
  </si>
  <si>
    <t>AMBIENTE;OBRAS PÚBLICAS, VIVIENDA Y COMUNICACIONES;SERVICIOS PÚBLICOS</t>
  </si>
  <si>
    <t>Iniciado por la Legisladora Irazuzta, solicitando al poder ejecutivo informe (Art. 102 CP), a través de los Ministerios de Obras Públicas y Servicios Públicos, sobre algunos puntos relacionados a la obra del acueducto Santa fe - Córdoba</t>
  </si>
  <si>
    <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</si>
  <si>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https://www.youtube.com/watch?v=7yFqQWm_lvw</t>
  </si>
  <si>
    <t>https://gld.legislaturacba.gob.ar/Publics/Actas.aspx?id=HvlzIJwn0B8=;https://gld.legislaturacba.gob.ar/Publics/Actas.aspx?id=MtV-LMjQE3Q=;https://gld.legislaturacba.gob.ar/Publics/Actas.aspx?id=Rbx75w7zhVo=</t>
  </si>
  <si>
    <t>Anteproyecto que prorroga la suspensión de ejecuciones dispuestas en proceso judicial que persigan la subasta de bienes inmuebles de asociaciones civiles, clubes o entidades sin fines de lucro</t>
  </si>
  <si>
    <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</si>
  <si>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https://www.youtube.com/watch?v=eFcVj0dlImQ</t>
  </si>
  <si>
    <t>https://gld.legislaturacba.gob.ar/Publics/Actas.aspx?id=EzQBxvJVV9c=</t>
  </si>
  <si>
    <t>Solicitando acuerdo para designar al abogado Miguel Ángel Martínez Juez de Primera Instancia en lo Civil y Comercial de 1ª Nominación de la Primera Circunscripción Judicial con asiento en la ciudad de Córdoba</t>
  </si>
  <si>
    <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</si>
  <si>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https://www.youtube.com/watch?v=NNQZBII8_eE</t>
  </si>
  <si>
    <t>https://gld.legislaturacba.gob.ar/Publics/Actas.aspx?id=y05J9ZCKxwU=</t>
  </si>
  <si>
    <t>Solicitando acuerdo para designar al abogado Juan Carlos Bertazzi Juez de Primera Instancia en lo Civil y Comercial de 2ª Nominación de la Primera Circunscripción Judicial con asiento en la ciudad de Córdoba</t>
  </si>
  <si>
    <t>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</si>
  <si>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Smart Cities y modelos PAYT (Pagar sólo por lo que se desecha): Experiencias comparadas y prospectivas</t>
  </si>
  <si>
    <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</si>
  <si>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https://www.youtube.com/watch?v=PSBFKu3piew</t>
  </si>
  <si>
    <t>https://gld.legislaturacba.gob.ar/Publics/Actas.aspx?id=Lq9I7CY9r2s=</t>
  </si>
  <si>
    <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</si>
  <si>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https://www.youtube.com/watch?v=QwMY5H24VMg</t>
  </si>
  <si>
    <t>https://gld.legislaturacba.gob.ar/Publics/Actas.aspx?id=QAGE3IJBB9g=</t>
  </si>
  <si>
    <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</si>
  <si>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https://www.youtube.com/watch?v=VvE2UhEXwfc</t>
  </si>
  <si>
    <t>https://gld.legislaturacba.gob.ar/Publics/Actas.aspx?id=S2UWuN0HG4A=</t>
  </si>
  <si>
    <t>Cita a Silvina Rivero situación servicio de transporte urbano e interurbano</t>
  </si>
  <si>
    <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</si>
  <si>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https://www.youtube.com/watch?v=GNyTHaTOV6A</t>
  </si>
  <si>
    <t>https://gld.legislaturacba.gob.ar/Publics/Actas.aspx?id=AXEtU6c8EK8=</t>
  </si>
  <si>
    <t>OBRAS PÚBLICAS, VIVIENDA Y COMUNICACIONES;SALUD HUMANA;SERVICIOS PÚBLICOS</t>
  </si>
  <si>
    <t>Instrumentando la "Campaña Provincial de prevención contra la intoxicación por monóxido de carbono", con el objeto de difundir la problemática</t>
  </si>
  <si>
    <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</si>
  <si>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https://www.youtube.com/watch?v=Z2ibNcVzFZ4</t>
  </si>
  <si>
    <t>https://gld.legislaturacba.gob.ar/Publics/Actas.aspx?id=F4zYpuQRl58=;https://gld.legislaturacba.gob.ar/Publics/Actas.aspx?id=brVZmKu3QNs=;https://gld.legislaturacba.gob.ar/Publics/Actas.aspx?id=es5tfMYKJz8=</t>
  </si>
  <si>
    <t>Solicitando acuerdo para designar al abogado Aquiles Julio Villalba Juez de Primera Instancia en lo Civil y Comercial de 31º Nominación de la Primera Circunscripción Judicial con asiento en la ciudad de Córdoba</t>
  </si>
  <si>
    <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</si>
  <si>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https://www.youtube.com/watch?v=Mo_k2uBGWsc</t>
  </si>
  <si>
    <t>https://gld.legislaturacba.gob.ar/Publics/Actas.aspx?id=FvpwbRU64Gg=</t>
  </si>
  <si>
    <t>Solicitando acuerdo para designar al abogado Raúl Enrique Sánchez del Bianco Juez de Primera Instancia en lo Civil y Comercial de 46º Nominación de la Primera Circunscripción Judicial con asiento en la ciudad de Córdoba</t>
  </si>
  <si>
    <t>Modificando el radio comunal de la localidad de Arroyo Los Patos, ubicada en el Departamento San Alberto de la provincia de Córdoba, de conformidad a lo establecido por el artículo 4º de la Ley Nº 8102, según el plano confeccionado por la Comuna</t>
  </si>
  <si>
    <t>https://www.youtube.com/watch?v=GliYZPPXFt8</t>
  </si>
  <si>
    <t>https://gld.legislaturacba.gob.ar/Publics/Actas.aspx?id=LXj1jiBxSLQ=</t>
  </si>
  <si>
    <t>Protagonistas en pandemia y Lideres Comunitarias</t>
  </si>
  <si>
    <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</si>
  <si>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https://gld.legislaturacba.gob.ar/Publics/Actas.aspx?id=Jnoj4bytPrQ=</t>
  </si>
  <si>
    <t>Visita de Defensores de Niños, niñas y adolescentes de Nación y diferentes provincias, para exponer sobre la niñez en nuestro país</t>
  </si>
  <si>
    <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</si>
  <si>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https://www.youtube.com/watch?v=oyKsXPSxQ8U</t>
  </si>
  <si>
    <t>https://gld.legislaturacba.gob.ar/Publics/Actas.aspx?id=gjGiUFxvvps=</t>
  </si>
  <si>
    <t>Estableciendo el marco normativo para la regulación, control, promoción y fomento del Turismo Activo en la Provincia de Córdoba; y creando el Registro de Prestadores de Servicios de Turismo Activo y Operadores de Turismo Activo de la provincia</t>
  </si>
  <si>
    <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</si>
  <si>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https://www.youtube.com/watch?v=AfN5PKyw2r8</t>
  </si>
  <si>
    <t>https://gld.legislaturacba.gob.ar/Publics/Actas.aspx?id=1Fmj5So4iFk=</t>
  </si>
  <si>
    <t>Anteproyecto de Declaración expresando reconocimiento por el bicentenario de la Revolución Griega</t>
  </si>
  <si>
    <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</si>
  <si>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https://www.youtube.com/watch?v=_sEbHgZIPnQ</t>
  </si>
  <si>
    <t>https://gld.legislaturacba.gob.ar/Publics/Actas.aspx?id=q1QblYiKG4k=</t>
  </si>
  <si>
    <t>Modificando el artículo 1 de la Ley 10003, suspendiendo hasta el 31 de marzo de 2022, las ejecuciones de bienes inmuebles propiedad de las asociaciones civiles, clubes o entidades sin fines de lucro cuyo objeto social sea la promoción, difusión o realización de prácticas deportivas, recreativas o comunitarias</t>
  </si>
  <si>
    <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</si>
  <si>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https://www.youtube.com/watch?v=Omfec_-J5cg</t>
  </si>
  <si>
    <t>https://gld.legislaturacba.gob.ar/Publics/Actas.aspx?id=BzZI96BfMyI=;https://gld.legislaturacba.gob.ar/Publics/Actas.aspx?id=pOFaQVpXI8E=</t>
  </si>
  <si>
    <t>ECONOMÍA, PRESUPUESTO, GESTIÓN PÚBLICA E INNOVACIÓN;OBRAS PÚBLICAS, VIVIENDA Y COMUNICACIONES</t>
  </si>
  <si>
    <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</si>
  <si>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https://www.youtube.com/watch?v=bphiDXt8kbk</t>
  </si>
  <si>
    <r>
      <rPr>
        <sz val="10"/>
        <color rgb="FF000000"/>
        <rFont val="Arial"/>
      </rPr>
      <t>https://gld.legislaturacba.gob.ar/Publics/Actas.aspx?id=D3t1T2H1GDY=</t>
    </r>
    <r>
      <rPr>
        <sz val="10"/>
        <color theme="1"/>
        <rFont val="Arial"/>
      </rPr>
      <t>;</t>
    </r>
    <r>
      <rPr>
        <sz val="10"/>
        <color rgb="FF000000"/>
        <rFont val="Arial"/>
      </rPr>
      <t>https://gld.legislaturacba.gob.ar/Publics/Actas.aspx?id=V7Og8IUIWJg=</t>
    </r>
  </si>
  <si>
    <t>Declarando de utilidad pública y sujeto a expropiación para la ejecución de la obra: "Desvío de tránsito pesado en Las Varillas - Arco Noreste", los inmuebles necesarios para llevar a cabo la obra mencionada, de acuerdo a la planimetría general</t>
  </si>
  <si>
    <t>Solicitando al Poder Ejecutivo informe (art. 102 CP), a través del Ministerio de Finanzas y la Agencia Córdoba de Inversión y Financiamiento, sobre diferentes aspectos relacionados al contrato de préstamo que suscribirá el gobierno de la Provincia de Córdoba con la Corporación Andina de Fomento</t>
  </si>
  <si>
    <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</si>
  <si>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https://gld.legislaturacba.gob.ar/Publics/Actas.aspx?id=xkU_iHuN7sU=</t>
  </si>
  <si>
    <t>Solicitando al Poder Ejecutivo informe (art. 102 CP) sobre diferentes aspectos relacionados a la aprobación del modelo de convenio de ejecución y financiamiento de obras, a suscribir entre la Provincia de Córdoba y los municipios y comunas que participen, en el marco del programa de inversiones municipales - contrato de préstamo BID 2929/oc-ar</t>
  </si>
  <si>
    <t>Modificando los artículos 468 y 474 de la Ley Nº 8123 (Código Procesal Penal de la provincia de Córdoba) con el objetivo de garantizar el derecho de recurrir el fallo condenatorio ante el juez o tribunal superior</t>
  </si>
  <si>
    <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</si>
  <si>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https://www.youtube.com/watch?v=k7LXVlMZ9Bs</t>
  </si>
  <si>
    <t>https://gld.legislaturacba.gob.ar/Publics/Actas.aspx?id=_6YoKEm83xA=</t>
  </si>
  <si>
    <t>Solicitando acuerdo para designar al abogado Juan Manuel Delgado Fiscal General de la Provincia</t>
  </si>
  <si>
    <t>Informe sobre la primera reunion del Consejo Consultivo Pyme</t>
  </si>
  <si>
    <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</si>
  <si>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https://gld.legislaturacba.gob.ar/Publics/Actas.aspx?id=r0JHAId7A7Q=</t>
  </si>
  <si>
    <t>DERECHOS HUMANOS Y DESARROLLO SOCIAL;EDUCACIÓN, CULTURA, CIENCIA, TECNOLOGÍA E INFORMÁTICA</t>
  </si>
  <si>
    <t>Declarando a las actas de sentencia, expedientes y materiales fílmicos de las audiencias de los procesos judiciales de Memoria, Verdad y Justicia, como parte integrante del Patrimonio Histórico y Cultural de la Provincia de Córdoba</t>
  </si>
  <si>
    <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</si>
  <si>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https://www.youtube.com/watch?v=GPnhWmRsFls</t>
  </si>
  <si>
    <t>https://gld.legislaturacba.gob.ar/Publics/Actas.aspx?id=IsnheIm9Vmk=;https://gld.legislaturacba.gob.ar/Publics/Actas.aspx?id=IpArXdThrGQ=</t>
  </si>
  <si>
    <t>Presentación de Informe y Diagnostico Ambiental de la provincia de Córdoba</t>
  </si>
  <si>
    <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</si>
  <si>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https://gld.legislaturacba.gob.ar/Publics/Actas.aspx?id=yKYIKW8GehA=</t>
  </si>
  <si>
    <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</si>
  <si>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https://www.youtube.com/watch?v=aySeCFRHCZQ</t>
  </si>
  <si>
    <t>https://gld.legislaturacba.gob.ar/Publics/Actas.aspx?id=JfxjNFcWuhg=</t>
  </si>
  <si>
    <t>Solicitando al Poder Ejecutivo informe (Art. 102 CP) sobre la vigencia y aplicación de la Ley Nacional N° 27610, de Acceso a la Interrupción Voluntaria del Embarazo (IVE)</t>
  </si>
  <si>
    <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</si>
  <si>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https://www.youtube.com/watch?v=6aY3LHC_5yQ</t>
  </si>
  <si>
    <t>https://gld.legislaturacba.gob.ar/Publics/Actas.aspx?id=d8mym5rBvwI=</t>
  </si>
  <si>
    <t>Citando al Ministro de Salud (Art. 101) a fin de brindar informe respecto de la aplicación de la Ley Nacional Nº 27610, de interrupción voluntaria del embarazo, y de los programas de salud sexual y procreación responsable, de educación sexual integral; y respecto de atención de la APROSS y del Polo de la Mujer al respecto</t>
  </si>
  <si>
    <t>Modificando la ley N° 8560, con el objeto de actualizar, unificar y sistematizar de la normativa de trancito provincial</t>
  </si>
  <si>
    <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</si>
  <si>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https://www.youtube.com/watch?v=9l_Mfb9-QEw</t>
  </si>
  <si>
    <t>https://gld.legislaturacba.gob.ar/Publics/Actas.aspx?id=URU9j_j_GKk=</t>
  </si>
  <si>
    <t>AGRICULTURA, GANADERÍA Y RECURSOS RENOVABLES;AMBIENTE;ECONOMÍA, PRESUPUESTO, GESTIÓN PÚBLICA E INNOVACIÓN;INDUSTRIA Y MINERÍA;PROMOCIÓN Y DESARROLLO DE LAS COMUNIDADES REGIONALES;SERVICIOS PÚBLICOS</t>
  </si>
  <si>
    <t>Análisis y debate de la Ley Nacional N° 26093 de Biocombustibles, vencimiento de su vigencia</t>
  </si>
  <si>
    <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</si>
  <si>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https://www.youtube.com/watch?v=Sq5gsP4iYQ8</t>
  </si>
  <si>
    <t>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t>
  </si>
  <si>
    <t>Mujeres Lideres: Por un futuro igualitario en el mundo. La experiencia de perioditas mujeres durante la pandemia del Covid-19</t>
  </si>
  <si>
    <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</si>
  <si>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https://www.youtube.com/watch?v=lo0x62TsoD4</t>
  </si>
  <si>
    <t>https://gld.legislaturacba.gob.ar/Publics/Actas.aspx?id=PqyYEfC4BkY=</t>
  </si>
  <si>
    <t>Vinculación económica y política de la Provincia de Córdoba con España</t>
  </si>
  <si>
    <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</si>
  <si>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https://www.youtube.com/watch?v=BwCJo5wrvuY</t>
  </si>
  <si>
    <t>https://gld.legislaturacba.gob.ar/Publics/Actas.aspx?id=fbGSUzz4iM8=</t>
  </si>
  <si>
    <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</si>
  <si>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https://www.youtube.com/watch?v=mvO0DYQpr4c</t>
  </si>
  <si>
    <t>https://gld.legislaturacba.gob.ar/Publics/Actas.aspx?id=O1Z_yZyEycQ=;https://gld.legislaturacba.gob.ar/Publics/Actas.aspx?id=mVrYOzWhiR4=</t>
  </si>
  <si>
    <t>Ratificando el Decreto N° 653/20, mediante el cual se dispone un régimen de diferimiento y exención, según el caso, de la Tasa Retributiva de Servicio, determinada en el artículo 109, inciso 1°, puntos 1.1, 1.2 y 1.3, de la Ley Impositiva N° 10680, destinado a personas humanas o jurídicas titulares de concesiones o permisos que realicen la prestación del servicio de transporte de automotor de pasajeros interurbano, en el ámbito de la Provincia de Córdoba</t>
  </si>
  <si>
    <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</si>
  <si>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https://www.youtube.com/watch?v=egSDKsZWo1o</t>
  </si>
  <si>
    <r>
      <rPr>
        <sz val="10"/>
        <color rgb="FF000000"/>
        <rFont val="Arial"/>
      </rPr>
      <t>https://gld.legislaturacba.gob.ar/Publics/Actas.aspx?id=RyDoqZbPMtM=</t>
    </r>
    <r>
      <rPr>
        <sz val="10"/>
        <color theme="1"/>
        <rFont val="Arial"/>
      </rPr>
      <t>;</t>
    </r>
    <r>
      <rPr>
        <sz val="10"/>
        <color rgb="FF000000"/>
        <rFont val="Arial"/>
      </rPr>
      <t>https://gld.legislaturacba.gob.ar/Publics/Actas.aspx?id=_0KyI6jZhVo=</t>
    </r>
  </si>
  <si>
    <t>Analisis y debate de la Ley Nacional N° 26093 de Biocombustibles, vencimiento de su vigencia</t>
  </si>
  <si>
    <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</si>
  <si>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https://www.youtube.com/watch?v=y_wSIIFkfao</t>
  </si>
  <si>
    <t>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t>
  </si>
  <si>
    <t>Proyecto de Ley 31698/L/20, iniciado por el legislador Ambrosio, modificando la ley n°8560, con el objeto de actualizar, unificar y sistematizar la normativa de tránsito provincial</t>
  </si>
  <si>
    <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</si>
  <si>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https://www.youtube.com/watch?v=TrkZLeXAx90</t>
  </si>
  <si>
    <t>https://gld.legislaturacba.gob.ar/Publics/Actas.aspx?id=wv8ae8KiYfI=</t>
  </si>
  <si>
    <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</si>
  <si>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https://www.youtube.com/watch?v=NrYBF1ivJXg</t>
  </si>
  <si>
    <t>https://gld.legislaturacba.gob.ar/Publics/Actas.aspx?id=HTTcZL031CY=</t>
  </si>
  <si>
    <t>Informe de gestión del Ministerio de Trabajo</t>
  </si>
  <si>
    <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</si>
  <si>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https://www.youtube.com/watch?v=3UfKKrZuRtE</t>
  </si>
  <si>
    <t>https://gld.legislaturacba.gob.ar/Publics/Actas.aspx?id=-xUuwQM3XFs=</t>
  </si>
  <si>
    <t>ASUNTOS CONSTITUCIONALES, JUSTICIA Y ACUERDOS;EQUIDAD Y LUCHA CONTRA LA VIOLENCIA DE GÉNERO;LEGISLACIÓN GENERAL</t>
  </si>
  <si>
    <t>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t>
  </si>
  <si>
    <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</si>
  <si>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https://www.youtube.com/watch?v=oHVVJSN4cpc</t>
  </si>
  <si>
    <t>https://gld.legislaturacba.gob.ar/Publics/Actas.aspx?id=H3wvZrIkEXI=;https://gld.legislaturacba.gob.ar/Publics/Actas.aspx?id=YXjituqVqLA=;https://gld.legislaturacba.gob.ar/Publics/Actas.aspx?id=cNcJB24EhOs=</t>
  </si>
  <si>
    <t>Creando la primera Circunscripción Judicial de Córdoba, dos juzgados con exclusiva competencia en Violencia de Género, en modalidad doméstica</t>
  </si>
  <si>
    <t>Declarando de utilidad pública y sujeto a expropiación, un lote de terreno, para la regularización dominial y el saneamiento de títulos correspondientes al asentamiento denominado “Parque Las Rosas”, ubicado en Barrio Matienzo de la ciudad de Córdoba</t>
  </si>
  <si>
    <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</si>
  <si>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https://www.youtube.com/watch?v=Rux7DvQKSAE</t>
  </si>
  <si>
    <t>https://gld.legislaturacba.gob.ar/Publics/Actas.aspx?id=jNkbQk0OnjU=</t>
  </si>
  <si>
    <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</si>
  <si>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https://www.youtube.com/watch?v=thNLNp7HjEc</t>
  </si>
  <si>
    <t>https://gld.legislaturacba.gob.ar/Publics/Actas.aspx?id=CoThB9jvlyg=</t>
  </si>
  <si>
    <t>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</si>
  <si>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</si>
  <si>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https://www.youtube.com/watch?v=j738bC5gtSA</t>
  </si>
  <si>
    <t>https://gld.legislaturacba.gob.ar/Publics/Actas.aspx?id=viGPLlYxizE=</t>
  </si>
  <si>
    <t>Remitiendo la terna de aspirantes y solicitando la designación del Defensor de los Derechos de las Niñas, Niños y Adolescentes de la Provincia de Córdoba, conforme a la Ley N° 9396</t>
  </si>
  <si>
    <t>Anteproyecto Código de Convivencia Deportivo</t>
  </si>
  <si>
    <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</si>
  <si>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https://www.youtube.com/watch?v=pM8sHsv8GVo</t>
  </si>
  <si>
    <t>https://gld.legislaturacba.gob.ar/Publics/Actas.aspx?id=ecdoM8N26Pw=</t>
  </si>
  <si>
    <t>PROMOCIÓN Y DEFENSA DE LOS DERECHOS DE LA NIÑEZ, ADOLESCENCIA Y FAMILIA;SALUD HUMANA</t>
  </si>
  <si>
    <t>Informe de los servicios de Hematoligía y Oncología del Hospital de niños de la Santísima Trinidad</t>
  </si>
  <si>
    <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</si>
  <si>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https://www.youtube.com/watch?v=Kb5iG6fo_dM</t>
  </si>
  <si>
    <t>https://gld.legislaturacba.gob.ar/Publics/Actas.aspx?id=C_Te7r3_eIc=;https://gld.legislaturacba.gob.ar/Publics/Actas.aspx?id=nogFaU1KWH8=</t>
  </si>
  <si>
    <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</si>
  <si>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https://www.youtube.com/watch?v=sdTdkHkqv2Q</t>
  </si>
  <si>
    <t>https://gld.legislaturacba.gob.ar/Publics/Actas.aspx?id=aZ9nlG5HoyU=;https://gld.legislaturacba.gob.ar/Publics/Actas.aspx?id=SZSglMax6DA=;https://gld.legislaturacba.gob.ar/Publics/Actas.aspx?id=mS5pXyGtgiI=</t>
  </si>
  <si>
    <t>Creando en la Primera Circunscripción Judicial de Córdoba, dos juzgados con exclusiva competencia en Violencia de Género, en la modalidad doméstica</t>
  </si>
  <si>
    <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</si>
  <si>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https://www.youtube.com/watch?v=ZdP8dg475xk</t>
  </si>
  <si>
    <t>https://gld.legislaturacba.gob.ar/Publics/Actas.aspx?id=vfiXeZ2GdVo=;https://gld.legislaturacba.gob.ar/Publics/Actas.aspx?id=l9FxfYHVEAM=</t>
  </si>
  <si>
    <t>Visita al Establecimiento agropecuario de Economia Circular "Las Chilcas S.A"</t>
  </si>
  <si>
    <t>https://gld.legislaturacba.gob.ar/Publics/Actas.aspx?id=YXpDAMDKgGY=</t>
  </si>
  <si>
    <t>OBRAS PÚBLICAS, VIVIENDA Y COMUNICACIONES;SERVICIOS PÚBLICOS</t>
  </si>
  <si>
    <t>Solicitando informe sobre el estado en que se encuentra el proyecto de realización del Acueducto de Río Seco (La Encrucijada-La Rinconada)</t>
  </si>
  <si>
    <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</si>
  <si>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https://www.youtube.com/watch?v=RaPOtgpIwkM</t>
  </si>
  <si>
    <t>https://gld.legislaturacba.gob.ar/Publics/Actas.aspx?id=AthTG15LnPI=;https://gld.legislaturacba.gob.ar/Publics/Actas.aspx?id=OuWMPBnLWDY=</t>
  </si>
  <si>
    <t>Solicitando informe acerca de la calidad del servicio de provisión de agua potable en la localidad de Santa María de Punilla</t>
  </si>
  <si>
    <t>Solicitando informe sobre la provisión de agua potable en la localidad de Lucio V. Mansilla</t>
  </si>
  <si>
    <t>Solicitando informe sobre la falta de provisión de agua potable en dos barrios de la localidad de Cosquín</t>
  </si>
  <si>
    <t>Solicitando informe sobre sobre el resultado de los análisis de tratamiento de agua potable y efluentes realizados en noviembre y diciembre del año 2020 en diversas localidades de la provincia, así como sanciones aplicadas a las prestatarias</t>
  </si>
  <si>
    <t>Solicitando al Poder Ejecutivo informe (Art. 102 CP) sobre la apertura de las compuertas del dique Piedras Moras, ubicado en el Departamento Tercero Arriba, durante el mes de febrero</t>
  </si>
  <si>
    <t>Creando el programa de "Revalorización Histórica, Cultural y de Promoción Turística" del denominado Camino de los Puentes Colgantes, ubicado en el tramo Copina – El Cóndor</t>
  </si>
  <si>
    <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</si>
  <si>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https://www.youtube.com/watch?v=o1HhqFAeAaw</t>
  </si>
  <si>
    <t>https://gld.legislaturacba.gob.ar/Publics/Actas.aspx?id=0v2KYbzPpfE=</t>
  </si>
  <si>
    <t>Historia de las heroínas que participaron de la guerra de Malvinas</t>
  </si>
  <si>
    <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</si>
  <si>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https://www.youtube.com/watch?v=Rhtdb8mU5ls</t>
  </si>
  <si>
    <t>https://gld.legislaturacba.gob.ar/Publics/Actas.aspx?id=UmCnIUwJCCM=</t>
  </si>
  <si>
    <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</si>
  <si>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https://www.youtube.com/watch?v=DS3_4H6zVDw</t>
  </si>
  <si>
    <t>https://gld.legislaturacba.gob.ar/Publics/Actas.aspx?id=jhgJ0_gABdM=</t>
  </si>
  <si>
    <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</si>
  <si>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https://www.youtube.com/watch?v=sWzTnAMbm2M</t>
  </si>
  <si>
    <t>https://gld.legislaturacba.gob.ar/Publics/Actas.aspx?id=v9d5eqd7aW8=;https://gld.legislaturacba.gob.ar/Publics/Actas.aspx?id=EI2f1QpkhT4=;https://gld.legislaturacba.gob.ar/Publics/Actas.aspx?id=myg8Hf6cpz0=</t>
  </si>
  <si>
    <t>LEGISLACIÓN GENERAL;PREVENCIÓN, TRATAMIENTO Y CONTROL DE LAS ADICCIONES;SALUD HUMANA</t>
  </si>
  <si>
    <t>Adhiriendo a la Ley Nacional Nº 27350 de investigación médica y científica del uso medicinal de la planta de cannabis y sus derivados</t>
  </si>
  <si>
    <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</si>
  <si>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https://www.youtube.com/watch?v=cUSyrgiRoD4</t>
  </si>
  <si>
    <t>https://gld.legislaturacba.gob.ar/Publics/Actas.aspx?id=z7Eqz8Oe628=;https://gld.legislaturacba.gob.ar/Publics/Actas.aspx?id=YSni9VJEfOA=;https://gld.legislaturacba.gob.ar/Publics/Actas.aspx?id=VhM-uEJJbNY=</t>
  </si>
  <si>
    <t>Adhiriendo la provincia de Córdoba a la Ley Nacional Nº 27350 de “Investigación médica y científica del uso medicinal de la planta de cannabis y sus derivados”, y al Decreto Reglamentario 883/20 en todos sus términos</t>
  </si>
  <si>
    <t>Adhiriendo a las disposiciones de la Ley Nacional N° 27350 de uso medicinal de la planta de cannabis y sus derivados</t>
  </si>
  <si>
    <t>Adhiriendo la provincia de Córdoba a la Ley Nacional Nº 27592 - Ley Yolanda - de formación integral en ambiente, con perspectiva de desarrollo sostenible y con especial énfasis en cambio climático para las personas que se desempeñen en la función pública</t>
  </si>
  <si>
    <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</si>
  <si>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https://www.youtube.com/watch?v=H3DXqasN9SQ</t>
  </si>
  <si>
    <t>https://gld.legislaturacba.gob.ar/Publics/Actas.aspx?id=EDJLlBoIzZA=</t>
  </si>
  <si>
    <t>Estableciendo la capacitación obligatoria en la temática de ambiente y desarrollo sostenible para todas las personas que se desempeñen en la función pública en todos sus niveles y jerarquías en los tres poderes del estado de la provincia de córdoba</t>
  </si>
  <si>
    <t>Adhiriendo a la Ley Nacional N° 27592, Ley Yolanda, que establece la capacitación obligatoria en la temática de ambiente</t>
  </si>
  <si>
    <t>ASUNTOS CONSTITUCIONALES, JUSTICIA Y ACUERDOS;EDUCACIÓN, CULTURA, CIENCIA, TECNOLOGÍA E INFORMÁTICA</t>
  </si>
  <si>
    <t>Adhiriendo a la Ley Nacional Nº 27505, que instituye la ceremonia escolar de Promesa de Lealtad a la Constitución Nacional el primer día hábil siguiente al 1° de mayo de cada año, en ocasión del Día de la Constitución Nacional</t>
  </si>
  <si>
    <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</si>
  <si>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https://www.youtube.com/watch?v=dbHjvjs58R8</t>
  </si>
  <si>
    <t>https://gld.legislaturacba.gob.ar/Publics/Actas.aspx?id=vBt2S33Fnfk=;https://gld.legislaturacba.gob.ar/Publics/Actas.aspx?id=BZI2qRsF1rc=</t>
  </si>
  <si>
    <t>LEGISLACIÓN DEL TRABAJO, PREVISIÓN Y SEGURIDAD SOCIAL;LEGISLACIÓN GENERAL</t>
  </si>
  <si>
    <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</si>
  <si>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https://www.youtube.com/watch?v=mpI1aS9D_JI</t>
  </si>
  <si>
    <t>https://gld.legislaturacba.gob.ar/Publics/Actas.aspx?id=Q5cmBEbDN1M=;https://gld.legislaturacba.gob.ar/Publics/Actas.aspx?id=mHEHkYJZxjw=</t>
  </si>
  <si>
    <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</si>
  <si>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https://www.youtube.com/watch?v=73OvmaDJ6Lg</t>
  </si>
  <si>
    <t>https://gld.legislaturacba.gob.ar/Publics/Actas.aspx?id=tO6slmj3p6M=;https://gld.legislaturacba.gob.ar/Publics/Actas.aspx?id=apkd3TpmF1o=</t>
  </si>
  <si>
    <t>Solicitando acuerdo para designar a la abogada Valeria Cecilia Guiguet, Juez de Primera Instancia en lo Civil y Comercial, de Conciliación y de Familia de 2ª Nominación de la Tercera Circunscripción Judicial con asiento en la ciudad de Bell Ville</t>
  </si>
  <si>
    <t>https://gld.legislaturacba.gob.ar/Publics/Actas.aspx?id=tO6slmj3p6M=</t>
  </si>
  <si>
    <t>Solicitando acuerdo para designar al abogado Lucas Ramiro Funes, Juez de Primera Instancia en lo Civil y Comercial, de Conciliación y de Familia en la Segunda Circunscripción Judicial con asiento en la ciudad de Huinca Renancó</t>
  </si>
  <si>
    <t>Solicitando acuerdo para designar a la abogada María Laura Luque Videla, Juez de Primera Instancia en lo Civil, Comercial y de Familia de 2ª Nominación en la Segunda Circunscripción Judicial con asiento en la ciudad de Río Cuarto</t>
  </si>
  <si>
    <t>Smart Cities y modelos PAYT (Pagar solo por lo que se desecha): Experiencias comparadas y prospectivas</t>
  </si>
  <si>
    <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</si>
  <si>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https://www.youtube.com/watch?v=iadx4ufSMS4&amp;t</t>
  </si>
  <si>
    <t>https://gld.legislaturacba.gob.ar/Publics/Actas.aspx?id=p0zdKjfrf64=</t>
  </si>
  <si>
    <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</si>
  <si>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https://www.youtube.com/watch?v=yBMd4w38a_U</t>
  </si>
  <si>
    <t>https://gld.legislaturacba.gob.ar/Publics/Actas.aspx?id=3OuNdRRtCmA=</t>
  </si>
  <si>
    <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</si>
  <si>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https://www.youtube.com/watch?v=Aj5vClEyzQA</t>
  </si>
  <si>
    <t>https://gld.legislaturacba.gob.ar/Publics/Actas.aspx?id=EjevQj4ywKE=;https://gld.legislaturacba.gob.ar/Publics/Actas.aspx?id=J2pieaVdwgA=;https://gld.legislaturacba.gob.ar/Publics/Actas.aspx?id=rIsjyuCQXOY=</t>
  </si>
  <si>
    <t>Solicitando acuerdo para designar al abogado Gerardo Sebastián Romero, Vocal de Cámara en lo Criminal y Correccional en la Cámara en lo Criminal y Correccional de 2ª Nominación de la Primera Circunscripción Judicial con asiento en la ciudad de Córdoba</t>
  </si>
  <si>
    <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</si>
  <si>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https://www.youtube.com/watch?v=Bw5WP_9-BLo</t>
  </si>
  <si>
    <t>https://gld.legislaturacba.gob.ar/Publics/Actas.aspx?id=CDbr19bMfgo=</t>
  </si>
  <si>
    <t>Solicitando acuerdo para designar al abogado Alfredo Fernando Villegas, Vocal de Cámara en lo Criminal y Correccional en la Cámara en lo Criminal y Correccional de 5ª Nominación de la Primera Circunscripción Judicial con asiento en la ciudad de Córdoba</t>
  </si>
  <si>
    <t>Solicitando acuerdo para designar al abogado Nicolás Antonio Rins, Vocal de Cámara en lo Criminal y Correccional en la Cámara en lo Criminal y Correccional de 1ª Nominación de la Segunda Circunscripción Judicial con asiento en la ciudad de Río Cuarto</t>
  </si>
  <si>
    <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</si>
  <si>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https://www.youtube.com/watch?v=7SfWPom3klM</t>
  </si>
  <si>
    <t>https://gld.legislaturacba.gob.ar/Publics/Actas.aspx?id=aGtPWDuZtPc=</t>
  </si>
  <si>
    <t>Situación del sector de cantineros escolares en el marco de la pandemia COVID-19</t>
  </si>
  <si>
    <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</si>
  <si>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https://www.youtube.com/watch?v=8hyanCgu1A0</t>
  </si>
  <si>
    <t>https://gld.legislaturacba.gob.ar/Publics/Actas.aspx?id=ZNRAiPnfqp8=</t>
  </si>
  <si>
    <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</si>
  <si>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https://www.youtube.com/watch?v=4kMZngFeGVw</t>
  </si>
  <si>
    <t>https://gld.legislaturacba.gob.ar/Publics/Actas.aspx?id=IyedTUE4Yno=;https://gld.legislaturacba.gob.ar/Publics/Actas.aspx?id=IwLE68Bogg0=;https://gld.legislaturacba.gob.ar/Publics/Actas.aspx?id=EJ-Lzph5u0c=</t>
  </si>
  <si>
    <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</si>
  <si>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https://www.youtube.com/watch?v=TVjYbXhXzW0</t>
  </si>
  <si>
    <t>https://gld.legislaturacba.gob.ar/Publics/Actas.aspx?id=-tO-u9tCG5I=;https://gld.legislaturacba.gob.ar/Publics/Actas.aspx?id=xri-dUzY9rE=;https://gld.legislaturacba.gob.ar/Publics/Actas.aspx?id=uQ-J89ED0Rg=</t>
  </si>
  <si>
    <t>Modificando el radio municipal de la localidad de Manfredi, Departamento Río Segundo</t>
  </si>
  <si>
    <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</si>
  <si>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https://www.youtube.com/watch?v=rRZGZmMD6OA&amp;t</t>
  </si>
  <si>
    <t>https://gld.legislaturacba.gob.ar/Publics/Actas.aspx?id=n9XOk3A1sfU=</t>
  </si>
  <si>
    <t>Analisis y balance de la temporada turística 20/21</t>
  </si>
  <si>
    <t>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</si>
  <si>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https://www.youtube.com/watch?v=ktFA_525o48</t>
  </si>
  <si>
    <t>https://gld.legislaturacba.gob.ar/Publics/Actas.aspx?id=BoEG8CMRxK8=</t>
  </si>
  <si>
    <t>Elaboración de Proyecto de Declaración por la conmemoracón del 1° de Mayo del día de los Trabajadores</t>
  </si>
  <si>
    <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</si>
  <si>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https://www.youtube.com/watch?v=3YSZcKTchRM</t>
  </si>
  <si>
    <t>https://gld.legislaturacba.gob.ar/Publics/Actas.aspx?id=UyVHJe5Ma78=</t>
  </si>
  <si>
    <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</si>
  <si>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https://www.youtube.com/watch?v=CvwOBWJqGiM</t>
  </si>
  <si>
    <t>https://gld.legislaturacba.gob.ar/Publics/Actas.aspx?id=CzQDWN9zH6k=;https://gld.legislaturacba.gob.ar/Publics/Actas.aspx?id=IlbUj_uAWm4=;https://gld.legislaturacba.gob.ar/Publics/Actas.aspx?id=fgQCxotGL-Y=</t>
  </si>
  <si>
    <t>ECONOMÍA, PRESUPUESTO, GESTIÓN PÚBLICA E INNOVACIÓN;PROMOCIÓN Y DESARROLLO DE ECONOMÍAS REGIONALES Y PYMES</t>
  </si>
  <si>
    <t>Situación de Cámaras y Asociaciones empresariales en el marco de la Pandemia COVID-19</t>
  </si>
  <si>
    <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</si>
  <si>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https://www.youtube.com/watch?v=QIKPRxqxuxQ</t>
  </si>
  <si>
    <t>https://gld.legislaturacba.gob.ar/Publics/Actas.aspx?id=r4vqO-mSg6w=;https://gld.legislaturacba.gob.ar/Publics/Actas.aspx?id=NMRiezrFvdQ=</t>
  </si>
  <si>
    <t>Modificando el radio municipal de la localidad de Manfredi, Departamento Rio Segundo</t>
  </si>
  <si>
    <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</si>
  <si>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https://www.youtube.com/watch?v=vVLOwgGTI_8</t>
  </si>
  <si>
    <t>https://gld.legislaturacba.gob.ar/Publics/Actas.aspx?id=x8k_b6kY8rg=</t>
  </si>
  <si>
    <t>Relevamiento vinculado a situaciones de adicciones en adolescentes, realizado por la Defensoría de Niñas, Niños y Adolescentes</t>
  </si>
  <si>
    <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</si>
  <si>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https://www.youtube.com/watch?v=JbPNr7M-dcU</t>
  </si>
  <si>
    <t>https://gld.legislaturacba.gob.ar/Publics/Actas.aspx?id=hDQAgBC1iYU=;https://gld.legislaturacba.gob.ar/Publics/Actas.aspx?id=V8GorilWYKs=</t>
  </si>
  <si>
    <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</si>
  <si>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https://www.youtube.com/watch?v=6oN8T79ooxM</t>
  </si>
  <si>
    <t>https://gld.legislaturacba.gob.ar/Publics/Actas.aspx?id=nvL7mGMeKZU=</t>
  </si>
  <si>
    <t>https://www.youtube.com/watch?v=tXGIgKFQmBU</t>
  </si>
  <si>
    <t>https://gld.legislaturacba.gob.ar/Publics/Actas.aspx?id=Ph909DpZrKc=</t>
  </si>
  <si>
    <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</si>
  <si>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https://www.youtube.com/watch?v=U0fNxLbYOME</t>
  </si>
  <si>
    <t>https://gld.legislaturacba.gob.ar/Publics/Actas.aspx?id=JmMC8RWgeaE=;https://gld.legislaturacba.gob.ar/Publics/Actas.aspx?id=4CE3EZ8Ua_A=;https://gld.legislaturacba.gob.ar/Publics/Actas.aspx?id=5PS398s0pFA=</t>
  </si>
  <si>
    <t>Modificando el inciso b) del Articulo 1° de la Ley 1483, Orgánica Notarial</t>
  </si>
  <si>
    <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</si>
  <si>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https://www.youtube.com/watch?v=8hmDJuMvLhI</t>
  </si>
  <si>
    <r>
      <rPr>
        <sz val="10"/>
        <color rgb="FF000000"/>
        <rFont val="Arial"/>
      </rPr>
      <t>https://gld.legislaturacba.gob.ar/Publics/Actas.aspx?id=O68jA3lgyQ4=</t>
    </r>
    <r>
      <rPr>
        <sz val="10"/>
        <color theme="1"/>
        <rFont val="Arial"/>
      </rPr>
      <t>;</t>
    </r>
    <r>
      <rPr>
        <sz val="10"/>
        <color rgb="FF000000"/>
        <rFont val="Arial"/>
      </rPr>
      <t>https://gld.legislaturacba.gob.ar/Publics/Actas.aspx?id=V5B3-COl4E8=</t>
    </r>
  </si>
  <si>
    <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</si>
  <si>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https://www.youtube.com/watch?v=82avDn8HpcE</t>
  </si>
  <si>
    <t>https://gld.legislaturacba.gob.ar/Publics/Actas.aspx?id=oJxTXY-b8OE=;https://gld.legislaturacba.gob.ar/Publics/Actas.aspx?id=41nRW7RKMSI=;https://gld.legislaturacba.gob.ar/Publics/Actas.aspx?id=6IvQYaQj_jI=</t>
  </si>
  <si>
    <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</si>
  <si>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https://www.youtube.com/watch?v=P6KXhreJH_g</t>
  </si>
  <si>
    <t>https://gld.legislaturacba.gob.ar/Publics/Actas.aspx?id=QmOQjDADpv8=</t>
  </si>
  <si>
    <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</si>
  <si>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https://www.youtube.com/watch?v=ZX748qaI8so</t>
  </si>
  <si>
    <t>https://gld.legislaturacba.gob.ar/Publics/Actas.aspx?id=9fTB4fDGh98=;https://gld.legislaturacba.gob.ar/Publics/Actas.aspx?id=02cMHhIZHjY=;https://gld.legislaturacba.gob.ar/Publics/Actas.aspx?id=TQ0VOZYKfW0=</t>
  </si>
  <si>
    <t>ECONOMÍA, PRESUPUESTO, GESTIÓN PÚBLICA E INNOVACIÓN;INDUSTRIA Y MINERÍA;PROMOCIÓN Y DESARROLLO DE ECONOMÍAS REGIONALES Y PYMES</t>
  </si>
  <si>
    <t>Informe sobre el Consejo Consultivo del Régimen de Promoción de la Economía del Conocimiento (Ley N° 10649)</t>
  </si>
  <si>
    <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</si>
  <si>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https://www.youtube.com/watch?v=Q9mMCl9k2-c</t>
  </si>
  <si>
    <t>https://gld.legislaturacba.gob.ar/Publics/Actas.aspx?id=iG3-1t_wbxo=;https://gld.legislaturacba.gob.ar/Publics/Actas.aspx?id=69MnFF4iAqc=;https://gld.legislaturacba.gob.ar/Publics/Actas.aspx?id=l314TrmqjLI=</t>
  </si>
  <si>
    <t>Estableciendo el 18 de Junio de cada año como Día Provincial de la Jota Cordobesa</t>
  </si>
  <si>
    <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</si>
  <si>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https://www.youtube.com/watch?v=oaBZUsu-7_s</t>
  </si>
  <si>
    <t>https://gld.legislaturacba.gob.ar/Publics/Actas.aspx?id=CisuF8bNJ_Q=</t>
  </si>
  <si>
    <t>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t>
  </si>
  <si>
    <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t>
  </si>
  <si>
    <t>https://www.youtube.com/watch?v=XiOYPZA_jxg</t>
  </si>
  <si>
    <t>https://gld.legislaturacba.gob.ar/Publics/Actas.aspx?id=7LyYSUFO544=</t>
  </si>
  <si>
    <t>La provincia de Córdoba adhiere a la Ley Nacional 27592 "Ley Yolanda", que establece la capacitación obligatoria en la temática de ambiente</t>
  </si>
  <si>
    <t>Brindar respuesta a pedidos de informe existentes en la Comisión y comunicar las actividades programadas del Ministerio de Agricultura y Ganadería previstas para el año 2021</t>
  </si>
  <si>
    <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</si>
  <si>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https://www.youtube.com/watch?v=LaH-cBur8W8</t>
  </si>
  <si>
    <t>https://gld.legislaturacba.gob.ar/Publics/Actas.aspx?id=c2sy20-TxxE=</t>
  </si>
  <si>
    <t>Modificando el radio municipal de la localidad de Despeñaderos, Departamento Santa Maria y en consecuencia el límite departamental entre los departamentos Santa María y Calamuchita</t>
  </si>
  <si>
    <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</si>
  <si>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https://www.youtube.com/watch?v=H_zet5Ehoyc&amp;t</t>
  </si>
  <si>
    <t>https://gld.legislaturacba.gob.ar/Publics/Actas.aspx?id=Jbxxo5bUc3s=</t>
  </si>
  <si>
    <t>Pliego, remitido por el Poder Ejecutivo, solicitando acuerdo para designar al abogado Luis Edgard Belitzky Juez de Primera Instancia en lo Civil y Comercial, Conciliación y Familia de Primera Nominación de la Primera Circunscripción Judicial con asiento en la ciudad de Jesús María</t>
  </si>
  <si>
    <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</si>
  <si>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https://www.youtube.com/watch?v=J5md5YQNBGM</t>
  </si>
  <si>
    <t>https://gld.legislaturacba.gob.ar/Publics/Actas.aspx?id=8sXuhTUWCtU=</t>
  </si>
  <si>
    <t>Pliego, remitido por el Poder Ejecutivo, solicitando acuerdo para designar a la abogada Silvana del Carmen Asnal Juez de Primera Instancia en lo Civil y Comercial, de Conciliación y de Familia de Segunda Nominación de la Décima Circunscripción Judicial con asiento en la ciudad de Río Tercero</t>
  </si>
  <si>
    <t>Pliego, remitido por el Poder Ejecutivo, solicitando acuerdo para designar al abogado Claudio Javier García Tomas Juez de Primera Instancia en lo Civil y Comercial, de Conciliación, Familia, Control, Niñez y Juventud, Penal Juvenil y Faltas de la Cuarta Circunscripción Judicial con asiento en la ciudad de Oliva</t>
  </si>
  <si>
    <t>EQUIDAD Y LUCHA CONTRA LA VIOLENCIA DE GÉNERO;TURISMO Y SU RELACIÓN CON EL DESARROLLO REGIONAL</t>
  </si>
  <si>
    <t>Mujeres operadoras de distintos sectores de la actividad turistica</t>
  </si>
  <si>
    <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</si>
  <si>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https://www.youtube.com/watch?v=hVHDGGx3SLU</t>
  </si>
  <si>
    <t>https://gld.legislaturacba.gob.ar/Publics/Actas.aspx?id=4uhqqiSZEQY=;https://gld.legislaturacba.gob.ar/Publics/Actas.aspx?id=nzR3oamYFuw=</t>
  </si>
  <si>
    <t>Propuesta de suspensión de la protección de los derechos de propiedad intelectual de productos médicos, inclusive las vacunas, necesarios para la prevención y tratamiento del COVID-19. Análisis de antecedentes similares y proyecciones del proceso de vacunación en el escenario mundial y regional</t>
  </si>
  <si>
    <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</si>
  <si>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https://www.youtube.com/watch?v=78hWTluA1AM</t>
  </si>
  <si>
    <t>https://gld.legislaturacba.gob.ar/Publics/Actas.aspx?id=YKFZbA3sJvU=</t>
  </si>
  <si>
    <t>Repudiando los asesinatos producidos en Colombia por parte de las fuerzas de seguridad en el marco de las protestas populares contra la reforma tributaria impulsada por el Poder Ejecutivo Nacional</t>
  </si>
  <si>
    <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</si>
  <si>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https://www.youtube.com/watch?v=xq5VKCXjp8s</t>
  </si>
  <si>
    <t>https://gld.legislaturacba.gob.ar/Publics/Actas.aspx?id=eaEIQ6Z2JKY=</t>
  </si>
  <si>
    <t>Ciudadanía</t>
  </si>
  <si>
    <t>Solicitando juicio político al Vicegobernador de la Provincia de Córdoba Ctdor. Manuel Calvo</t>
  </si>
  <si>
    <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</si>
  <si>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https://www.youtube.com/watch?v=4vq6tw2gLJg</t>
  </si>
  <si>
    <t>https://gld.legislaturacba.gob.ar/Publics/Actas.aspx?id=rX_ETWh42s8=</t>
  </si>
  <si>
    <t>Monedas virtuales creadas por cooperativas, con el fin de intercambiar productos y servicios entre productores y consumidores</t>
  </si>
  <si>
    <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</si>
  <si>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https://www.youtube.com/watch?v=e70yOiW7dGE</t>
  </si>
  <si>
    <t>https://gld.legislaturacba.gob.ar/Publics/Actas.aspx?id=itqRWHlE_eM=</t>
  </si>
  <si>
    <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</si>
  <si>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https://www.youtube.com/watch?v=OdgLXQ17aRo</t>
  </si>
  <si>
    <t>https://gld.legislaturacba.gob.ar/Publics/Actas.aspx?id=YPCfw0f7iDc=</t>
  </si>
  <si>
    <t>Modificando e incorporando artículos a la Ley N° 8465, Código Procesal Civil y Comercial, referidos a los plazos procesales</t>
  </si>
  <si>
    <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</si>
  <si>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https://www.youtube.com/watch?v=MpshRlup8iE</t>
  </si>
  <si>
    <t>https://gld.legislaturacba.gob.ar/Publics/Actas.aspx?id=C82d0ruZVDM=</t>
  </si>
  <si>
    <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</si>
  <si>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https://www.youtube.com/watch?v=zxgQj20ydWs</t>
  </si>
  <si>
    <t>https://gld.legislaturacba.gob.ar/Publics/Actas.aspx?id=iWGObTgdoVg=</t>
  </si>
  <si>
    <t>Modificando el radio municipal de la localidad de Despeñaderos, Departamento Santa Maria y en consecuencia el límite departamental entre los departamentos Santa Maria y Calamuchita</t>
  </si>
  <si>
    <t>Solicitando acuerdo para designar al abogado Roberto Julio Markoni como Síndico titular por el sector público de la Agencia Córdoba de Inversión y Financiamiento Sociedad Economica Mixta (ACIF SEM)</t>
  </si>
  <si>
    <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</si>
  <si>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https://www.youtube.com/watch?v=vGwbGM_oa2g</t>
  </si>
  <si>
    <t>https://gld.legislaturacba.gob.ar/Publics/Actas.aspx?id=DmUn-kxaOX0=</t>
  </si>
  <si>
    <t>Invitación a participar al V Foro Mundial de Desarrollo Económico Local</t>
  </si>
  <si>
    <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</si>
  <si>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https://www.youtube.com/watch?v=WBA9I6x_gBU</t>
  </si>
  <si>
    <t>https://gld.legislaturacba.gob.ar/Publics/Actas.aspx?id=Q4eyR8Wa4JM=</t>
  </si>
  <si>
    <t>Modificación Anexo Unico de la Ley N° 10708</t>
  </si>
  <si>
    <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</si>
  <si>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https://www.youtube.com/watch?v=K36CMgqIzFM</t>
  </si>
  <si>
    <t>https://gld.legislaturacba.gob.ar/Publics/Actas.aspx?id=CCUUyWsOkAs=;https://gld.legislaturacba.gob.ar/Publics/Actas.aspx?id=L4WSyb76hh8=</t>
  </si>
  <si>
    <t>Modificando el inciso b) del Articulo 1° de Ley N° 4183, Organica Notarial del despacho emitido el 04 de mayo de 2021</t>
  </si>
  <si>
    <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</si>
  <si>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https://www.youtube.com/watch?v=_ajJWdFlkas</t>
  </si>
  <si>
    <t>https://gld.legislaturacba.gob.ar/Publics/Actas.aspx?id=YJsJ6sKs3fk=;https://gld.legislaturacba.gob.ar/Publics/Actas.aspx?id=GYihDPwAGQ0=</t>
  </si>
  <si>
    <t>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t>
  </si>
  <si>
    <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</si>
  <si>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https://www.youtube.com/watch?v=YEnc-B_sUzY</t>
  </si>
  <si>
    <t>https://gld.legislaturacba.gob.ar/Publics/Actas.aspx?id=tLfP-fmigYA=;https://gld.legislaturacba.gob.ar/Publics/Actas.aspx?id=D1eDff2wPQA=</t>
  </si>
  <si>
    <t>Anteproyecto de Declaración por el dia mundial del Medio Ambiente</t>
  </si>
  <si>
    <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</si>
  <si>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https://www.youtube.com/watch?v=EifmVOKnLsc</t>
  </si>
  <si>
    <t>https://gld.legislaturacba.gob.ar/Publics/Actas.aspx?id=iaG4wEkbmTs=</t>
  </si>
  <si>
    <t>Declarando de utilidad pública y sujetos a expropiación los inmuebles necesarios para la ejecución de la obra “Mejoramiento y Rehabilitación Vial e Hidráulica de Ruta Provincial A-104 - Camino San Antonio, y derogando la Ley N° 10708</t>
  </si>
  <si>
    <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</si>
  <si>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https://www.youtube.com/watch?v=i5wrOaQ_mYg</t>
  </si>
  <si>
    <t>https://gld.legislaturacba.gob.ar/Publics/Actas.aspx?id=OzkubSl0BBM=;https://gld.legislaturacba.gob.ar/Publics/Actas.aspx?id=oqGD5vZovfA=</t>
  </si>
  <si>
    <t>ECONOMÍA, PRESUPUESTO, GESTIÓN PÚBLICA E INNOVACIÓN;LEGISLACIÓN GENERAL;SALUD HUMANA</t>
  </si>
  <si>
    <t>Autorizando a gestionar la adquisición de vacunas destinadas a generar inmunidad adquirida contra el Covid-19, eximiendo de todo tributo a los contratos respectivos y creando la Comisión de Seguimiento en la Legislatura para el control de la compra y distribución</t>
  </si>
  <si>
    <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</si>
  <si>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https://www.youtube.com/watch?v=ipPhH4x6s5s</t>
  </si>
  <si>
    <t>https://gld.legislaturacba.gob.ar/Publics/Actas.aspx?id=sBt_QC4D32I=;https://gld.legislaturacba.gob.ar/Publics/Actas.aspx?id=8ysqMhlsbW8=;https://gld.legislaturacba.gob.ar/Publics/Actas.aspx?id=1g4-lm1-H3w=</t>
  </si>
  <si>
    <t>Informe sobre la situación asistencial en el marco de la pandemia. Programa provincial para dejar de fumar</t>
  </si>
  <si>
    <t>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</si>
  <si>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https://www.youtube.com/watch?v=gtl64Qui3P8</t>
  </si>
  <si>
    <t>https://gld.legislaturacba.gob.ar/Publics/Actas.aspx?id=DNaGY1SY15Y=</t>
  </si>
  <si>
    <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</si>
  <si>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https://www.youtube.com/watch?v=2wkGrycC-Gg</t>
  </si>
  <si>
    <t>https://gld.legislaturacba.gob.ar/Publics/Actas.aspx?id=lK7dLC7PYWk=;https://gld.legislaturacba.gob.ar/Publics/Actas.aspx?id=wBlgR4RFwtw=;https://gld.legislaturacba.gob.ar/Publics/Actas.aspx?id=2fKoNedgjpQ=</t>
  </si>
  <si>
    <t>Informe de Gestión de la Secretaría de Niñez, Adolescencia y Familia</t>
  </si>
  <si>
    <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</si>
  <si>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https://www.youtube.com/watch?v=H7eFMRJLF1c</t>
  </si>
  <si>
    <t>https://gld.legislaturacba.gob.ar/Publics/Actas.aspx?id=VMukCI7nhGo=</t>
  </si>
  <si>
    <t>LEGISLACIÓN DEL TRABAJO, PREVISIÓN Y SEGURIDAD SOCIAL;PROMOCIÓN Y DEFENSA DE LOS DERECHOS DE LA NIÑEZ, ADOLESCENCIA Y FAMILIA</t>
  </si>
  <si>
    <t>Anteproyecto de Declaración por el dia contra el trabajo infantil, que se celebra el 12 de junio de cada año</t>
  </si>
  <si>
    <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</si>
  <si>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https://www.youtube.com/watch?v=bVFYSKOxpYw</t>
  </si>
  <si>
    <t>https://gld.legislaturacba.gob.ar/Publics/Actas.aspx?id=lJ8ILD-6yXo=;https://gld.legislaturacba.gob.ar/Publics/Actas.aspx?id=Kdf_XCaoJjU=</t>
  </si>
  <si>
    <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</si>
  <si>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https://www.youtube.com/watch?v=U4xTMyx7Nw4</t>
  </si>
  <si>
    <t>https://gld.legislaturacba.gob.ar/Publics/Actas.aspx?id=hbOXMv5KW9c=;https://gld.legislaturacba.gob.ar/Publics/Actas.aspx?id=uLY5DAtMs7Q=</t>
  </si>
  <si>
    <t>ECONOMÍA SOCIAL, COOPERATIVAS Y MUTUALES;EQUIDAD Y LUCHA CONTRA LA VIOLENCIA DE GÉNERO</t>
  </si>
  <si>
    <t>Adhesión y beneplácito por el Pacto Cooperativo por la No Violencia de Género, creado por el Comité de Equidad de Género de la Confederación Cooperativa de la Republica Argentina Ltda. (Cooperar)</t>
  </si>
  <si>
    <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</si>
  <si>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https://www.youtube.com/watch?v=nuEnyHRlhF8</t>
  </si>
  <si>
    <t>https://gld.legislaturacba.gob.ar/Publics/Actas.aspx?id=zh3_oJQCuEs=;https://gld.legislaturacba.gob.ar/Publics/Actas.aspx?id=14oZpYZaOYE=</t>
  </si>
  <si>
    <t>Informar cuestiones referidas a la Empresa Provincial de Energia de Córdoba (EPEC)</t>
  </si>
  <si>
    <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</si>
  <si>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https://www.youtube.com/watch?v=GR7gnhuNCu4</t>
  </si>
  <si>
    <t>https://gld.legislaturacba.gob.ar/Publics/Actas.aspx?id=-gOcIVQm39s=</t>
  </si>
  <si>
    <t>Solicitando al poder ejecutivo informe (Art. 112) sobre medidas tomadas para la prevención en intentos de suicidios desde el comienzo de la pandemia por Covid-19 hasta la fecha, desempeño y personal del Centro de Asistencia al suicida</t>
  </si>
  <si>
    <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</si>
  <si>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https://www.youtube.com/watch?v=BqsyFydVHpU</t>
  </si>
  <si>
    <t>https://gld.legislaturacba.gob.ar/Publics/Actas.aspx?id=gxMMc59fZAw=</t>
  </si>
  <si>
    <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</si>
  <si>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https://www.youtube.com/watch?v=TKlXyKWVwlg</t>
  </si>
  <si>
    <t>https://gld.legislaturacba.gob.ar/Publics/Actas.aspx?id=Ex2G8Ke8k2E=;https://gld.legislaturacba.gob.ar/Publics/Actas.aspx?id=Qlk3sCOfTDI=</t>
  </si>
  <si>
    <t>Remitiendo cuenta de Inversión, correspondiente al Ejercicio Financiero Año 2020 y anexo ejecuciones y Estados Contables de Agencias y Entes</t>
  </si>
  <si>
    <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</si>
  <si>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https://www.youtube.com/watch?v=cv4LL6LJwr0</t>
  </si>
  <si>
    <t>https://gld.legislaturacba.gob.ar/Publics/Actas.aspx?id=QCTs98fKiiE=</t>
  </si>
  <si>
    <t>Informe sobre precariedad laboral en profesionales de la Provincia de Córdoba</t>
  </si>
  <si>
    <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</si>
  <si>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https://www.youtube.com/watch?v=IiEfYnc9ohw</t>
  </si>
  <si>
    <t>https://gld.legislaturacba.gob.ar/Publics/Actas.aspx?id=saHxQ-OZ0q8=</t>
  </si>
  <si>
    <t>Modificando el radio comunal de la localidad de Los Cedros, Departamento Santa Maria</t>
  </si>
  <si>
    <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</si>
  <si>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https://www.youtube.com/watch?v=JYtdIUZw2mE</t>
  </si>
  <si>
    <t>https://gld.legislaturacba.gob.ar/Publics/Actas.aspx?id=ychTSNxDbbY=</t>
  </si>
  <si>
    <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</si>
  <si>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https://www.youtube.com/watch?v=wAKPFq_8rcw</t>
  </si>
  <si>
    <t>https://gld.legislaturacba.gob.ar/Publics/Actas.aspx?id=veSCzDGqWqc=;https://gld.legislaturacba.gob.ar/Publics/Actas.aspx?id=lwOuol5_dTo=</t>
  </si>
  <si>
    <t>Modiificando el radio municiapl de la localidad de Mendiolaza</t>
  </si>
  <si>
    <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</si>
  <si>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https://gld.legislaturacba.gob.ar/Publics/Actas.aspx?id=1G9t-oodHPM=</t>
  </si>
  <si>
    <t>Solicitando al Poder Ejecutivo informe (Art. 102 CP) sobre la conformación de los módulos alimentarios del Programa P.A.I.Cor en algunas escuelas, y sobre la denuncia por presunta estafa efectuada contra el responsable regional del distrito Bialet Massé</t>
  </si>
  <si>
    <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</si>
  <si>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https://www.youtube.com/watch?v=6facA5HNrcw</t>
  </si>
  <si>
    <t>https://gld.legislaturacba.gob.ar/Publics/Actas.aspx?id=z5ZTO6JkY90=</t>
  </si>
  <si>
    <t>Informe sobre el Programa de Asistencia Integral de Córdoba (PAICOR)</t>
  </si>
  <si>
    <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</si>
  <si>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https://www.youtube.com/watch?v=j7_QtOYvyo8</t>
  </si>
  <si>
    <t>https://gld.legislaturacba.gob.ar/Publics/Actas.aspx?id=rFkDqxbmkjs=</t>
  </si>
  <si>
    <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</si>
  <si>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https://www.youtube.com/watch?v=RANohj6-nQM</t>
  </si>
  <si>
    <t>https://gld.legislaturacba.gob.ar/Publics/Actas.aspx?id=eU5sopwFFZ8=</t>
  </si>
  <si>
    <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</si>
  <si>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https://www.youtube.com/watch?v=rhRJs2NsGNY</t>
  </si>
  <si>
    <t>https://gld.legislaturacba.gob.ar/Publics/Actas.aspx?id=UovuVJZ6SAg=</t>
  </si>
  <si>
    <t>Anteproyecto Código de convivencia Deportivo</t>
  </si>
  <si>
    <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</si>
  <si>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https://www.youtube.com/watch?v=YIMbN9k3AfA</t>
  </si>
  <si>
    <t>https://gld.legislaturacba.gob.ar/Publics/Actas.aspx?id=J3sEQeTl5po=</t>
  </si>
  <si>
    <t>Aspectos sanitarios, de infraestructura y conectividad relativos a la cartera de educación</t>
  </si>
  <si>
    <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</si>
  <si>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https://www.youtube.com/watch?v=5LsFxiL_y4g</t>
  </si>
  <si>
    <t>https://gld.legislaturacba.gob.ar/Publics/Actas.aspx?id=kme3c8Ikhpw=</t>
  </si>
  <si>
    <t>Procedimiento para la Donación y Uso del Plasma de Pacientes Recuperados de COVID-19 en la Provincia de Córdoba</t>
  </si>
  <si>
    <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</si>
  <si>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https://gld.legislaturacba.gob.ar/Publics/Actas.aspx?id=9tAJu6uUzYA=</t>
  </si>
  <si>
    <t>Solicitando al Poder Ejecutivo informe (Art. 102 CP), sobre algunos puntos vinculados al tratamiento con plasma a pacientes Covid 19</t>
  </si>
  <si>
    <t>Monedas virtuales creadas por Cooperativas, para intercambiar productos y servicios entre produtores y consumidores</t>
  </si>
  <si>
    <t>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</si>
  <si>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https://www.youtube.com/watch?v=79AYMU_puV0</t>
  </si>
  <si>
    <t>https://gld.legislaturacba.gob.ar/Publics/Actas.aspx?id=ckHHJVdWA98=</t>
  </si>
  <si>
    <t>Solicitando acuerdo para designar al abogado Santiago Hernán Moreno Douglas Juez de Conciliación y del Trabajo de 5ª Nominación de la Primera Circunscripción Judicial con asiento en la ciudad de Córdoba</t>
  </si>
  <si>
    <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</si>
  <si>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https://www.youtube.com/watch?v=5n6UghT3J5o</t>
  </si>
  <si>
    <t>https://gld.legislaturacba.gob.ar/Publics/Actas.aspx?id=mD5yIZy3mXY=</t>
  </si>
  <si>
    <t>Solicitando acuerdo para designar al abogado Pablo Martin Pecchio Juez de Conciliación y del Trabajo de 4ª Nominación de la Primera Circunscripción Judicial con asiento en la ciudad de Córdoba</t>
  </si>
  <si>
    <t>Solicitando acuerdo para designar al abogado Mario José Miranda Juez de Conciliación y del Trabajo de 3ª Nominación de la Primera Circunscripción Judicial con asiento en la ciudad de Córdoba</t>
  </si>
  <si>
    <t>Solicitando acuerdo para designar al abogado Ezequiel Rueda Juez de Conciliación y del Trabajo de 7ª Nominación de la Primera Circunscripción Judicial con asiento en la ciudad de Córdoba</t>
  </si>
  <si>
    <t>Solicitando acuerdo para designar a la abogada Ileana Vanesa Benedito Juez Penal Juvenil de 3º Nominación de la Primera Circunscripción Judicial con asiento en la ciudad de Córdoba</t>
  </si>
  <si>
    <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</si>
  <si>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https://www.youtube.com/watch?v=4AZgcULnKOc</t>
  </si>
  <si>
    <t>https://gld.legislaturacba.gob.ar/Publics/Actas.aspx?id=FDLqVEnywLQ=</t>
  </si>
  <si>
    <t>Solicitando acuerdo para designar a la abogada Daniela Elizabeth Bianciotti Juez Penal Juvenil de 1ª Nominación de la Primera Circunscripción Judicial con asiento en la ciudad de Córdoba</t>
  </si>
  <si>
    <t>Solicitando acuerdo para designar al abogado Hernán Lisandro Franco Papa Asesor Letrado reemplazante en la Asesoría Letrada Penal de Vigésimo Segundo Turno de la Primera Circunscripción Judicial con asiento en la ciudad de Córdoba</t>
  </si>
  <si>
    <t>Solicitando acuerdo para designar al abogado Mauricio Valentín Sanz Asesor Letrado reemplazante en la Asesoría Letrada de Niñez, Adolescencia, Violencia Familiar, Género y Penal Juvenil de Sexto Turno de la Primera Circunscripción Judicial con asiento en la ciudad de Córdoba</t>
  </si>
  <si>
    <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</si>
  <si>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https://www.youtube.com/watch?v=F5w7L-lMMH8</t>
  </si>
  <si>
    <t>https://gld.legislaturacba.gob.ar/Publics/Actas.aspx?id=ysfIb-oHytE=</t>
  </si>
  <si>
    <t>Modificando el radio municipal de la localidad de Mendiolaza, Departamento Colón</t>
  </si>
  <si>
    <t>Modificando el radio municiapal de la localidad de San Javier y Yacanto, Departamento San Javier</t>
  </si>
  <si>
    <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</si>
  <si>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https://www.youtube.com/watch?v=X4Y2wDLbgN8</t>
  </si>
  <si>
    <t>https://gld.legislaturacba.gob.ar/Publics/Actas.aspx?id=S3oUlnjR090=</t>
  </si>
  <si>
    <t>Informe y balance sobre actividades desarrolladas en el marco de la "semana Provincial de la Prevención del Consumo de Drogas"</t>
  </si>
  <si>
    <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</si>
  <si>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https://www.youtube.com/watch?v=ENWm_46gYYM</t>
  </si>
  <si>
    <t>https://gld.legislaturacba.gob.ar/Publics/Actas.aspx?id=eOE4rnH980s=</t>
  </si>
  <si>
    <t>Equiparando el régimen laboral, previsional, disciplinario y salarial del personal de los Organismos del Sistema de Control Disciplinario de las Fuerzas de Seguridad Pública y Ciudadana con el que rige para el personal del Poder Judicial</t>
  </si>
  <si>
    <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</si>
  <si>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https://www.youtube.com/watch?v=Mk5i4ZvBMeY</t>
  </si>
  <si>
    <t>https://gld.legislaturacba.gob.ar/Publics/Actas.aspx?id=bVs_bFTQoo8=;https://gld.legislaturacba.gob.ar/Publics/Actas.aspx?id=5vGFBcAqr-w=</t>
  </si>
  <si>
    <t>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t>
  </si>
  <si>
    <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</si>
  <si>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https://www.youtube.com/watch?v=WNGvZBExs2k</t>
  </si>
  <si>
    <t>https://gld.legislaturacba.gob.ar/Publics/Actas.aspx?id=AgInIdvqd3M=;https://gld.legislaturacba.gob.ar/Publics/Actas.aspx?id=dQumU0lhVYs=</t>
  </si>
  <si>
    <t>Tren de las sierras, impacto turistico de su llegada a distintas localidades del Departamento Punilla</t>
  </si>
  <si>
    <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</si>
  <si>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https://www.youtube.com/watch?v=Mr6bvaOjNDs</t>
  </si>
  <si>
    <t>https://gld.legislaturacba.gob.ar/Publics/Actas.aspx?id=uFwO0cOM7W0=</t>
  </si>
  <si>
    <t>Foro de Emprendedoras Mujeres (FEM) y Programa Protección de la embarazada y su bebe</t>
  </si>
  <si>
    <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</si>
  <si>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https://gld.legislaturacba.gob.ar/Publics/Actas.aspx?id=0eCYYHpJ1XA=</t>
  </si>
  <si>
    <t>Solicitando al Poder Ejecutivo informe (Art. 102 CP) sobre los programas y partidas del Ministerio de la Mujer correspondientes a Residencias y Capacitación</t>
  </si>
  <si>
    <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</si>
  <si>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https://www.youtube.com/watch?v=-r-iKO6zaSc</t>
  </si>
  <si>
    <t>https://gld.legislaturacba.gob.ar/Publics/Actas.aspx?id=21vQB_UnUHg=;https://gld.legislaturacba.gob.ar/Publics/Actas.aspx?id=6lIWWol7bmI=</t>
  </si>
  <si>
    <t>Modificando el radio municipal de la localidad de San Javier y Yacanto, Departamento San Javier</t>
  </si>
  <si>
    <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</si>
  <si>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https://www.youtube.com/watch?v=JrVTLPfTEaY</t>
  </si>
  <si>
    <t>https://gld.legislaturacba.gob.ar/Publics/Actas.aspx?id=7rNl_5RuuaM=;https://gld.legislaturacba.gob.ar/Publics/Actas.aspx?id=9j5-xe7o5oo=</t>
  </si>
  <si>
    <t>Eleccion del nuevo Presidente de la Comisión</t>
  </si>
  <si>
    <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</si>
  <si>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https://www.youtube.com/watch?v=wY-HU0qPjdQ</t>
  </si>
  <si>
    <t>https://gld.legislaturacba.gob.ar/Publics/Actas.aspx?id=euhz-4Pwjs4=</t>
  </si>
  <si>
    <t>Modificando el radio comunal de la localidad de Rio Bamba, Departamento Pte. Roque Sáenz Peña</t>
  </si>
  <si>
    <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</si>
  <si>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https://www.youtube.com/watch?v=s5BY3eVemR0</t>
  </si>
  <si>
    <t>https://gld.legislaturacba.gob.ar/Publics/Actas.aspx?id=gCbCya6ccP8=</t>
  </si>
  <si>
    <t>Modificando el radio municipal de la localidad de Serrano, Departamento Pte. Roque Sáenz Peña</t>
  </si>
  <si>
    <t>Visión general del Cooperativismo Internacional en estos momentos de crisis mundial, para afrontar estos desafios desde la economía social y solidaria</t>
  </si>
  <si>
    <t>https://www.youtube.com/watch?v=gUh1hjf8RO4</t>
  </si>
  <si>
    <t>https://gld.legislaturacba.gob.ar/Publics/Actas.aspx?id=StUPC8B_VLQ=</t>
  </si>
  <si>
    <t>Solicitando acuerdo para designar al abogado Juan Carlos Rodríguez, Asesor Letrado "reemplazante" en la Asesoría Letrada Penal de Séptimo Turno de la Primera Circunscripción Judicial con asiento en la ciudad de Córdoba</t>
  </si>
  <si>
    <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</si>
  <si>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https://gld.legislaturacba.gob.ar/Publics/Actas.aspx?id=buc2ApEqGWs=</t>
  </si>
  <si>
    <t>Solicitando acuerdo para designar a la abogada Verónica Marcela Beas, Asesora Letrada "reemplazante" en la Asesoría Letrada Penal de Décimo Tercer Turno de la Primera Circunscripción Judicial con asiento en la ciudad de Córdoba</t>
  </si>
  <si>
    <t>Solicitando acuerdo para designar al Abogado Oscar Lucas Dracich Loza, Juez Civil y Comercial en el Juzgado Civil y Comercial de 13º Nominación -Concursos y Sociedades- de la Primera Circunscripción Judicial con asiento en la ciudad de Córdoba</t>
  </si>
  <si>
    <t>Solicitando acuerdo para designar a la abogada Andrea Belmaña Llorente Juez Civil y Comercial "reemplazante" en el Juzgado Civil y Comercial de 3º Nominación -Concursos y Sociedades- de la Primera Circunscripción Judicial con asiento en la ciudad de Córdoba</t>
  </si>
  <si>
    <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</si>
  <si>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https://www.youtube.com/watch?v=5H8xfj7fwgA</t>
  </si>
  <si>
    <t>https://gld.legislaturacba.gob.ar/Publics/Actas.aspx?id=YZ78eDheKso=</t>
  </si>
  <si>
    <t>Salud Pública e industria de la marihuana: conocer para informar, temario propuesto por la Fundación ProSalud</t>
  </si>
  <si>
    <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</si>
  <si>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https://www.youtube.com/watch?v=jEhxL5lNbik</t>
  </si>
  <si>
    <t>https://gld.legislaturacba.gob.ar/Publics/Actas.aspx?id=gIqLVo_9FM0=</t>
  </si>
  <si>
    <t>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t>
  </si>
  <si>
    <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</si>
  <si>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https://www.youtube.com/watch?v=TK6sY1TJLw0</t>
  </si>
  <si>
    <t>https://gld.legislaturacba.gob.ar/Publics/Actas.aspx?id=Qp4l2cZq678=;https://gld.legislaturacba.gob.ar/Publics/Actas.aspx?id=zfVK4F1zbaQ=</t>
  </si>
  <si>
    <t>Organización Argentina de Jovenes para las Naciones Unidas (OAJNU) reseña de la organización, descripción de los proyectos que llevan adelante. Proyecto ONU Mujeres</t>
  </si>
  <si>
    <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</si>
  <si>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https://gld.legislaturacba.gob.ar/Publics/Actas.aspx?id=V16OhtnbYTI=</t>
  </si>
  <si>
    <t>Maternidad e infancia</t>
  </si>
  <si>
    <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</si>
  <si>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https://www.youtube.com/watch?v=zB64CC5gLMc</t>
  </si>
  <si>
    <t>https://gld.legislaturacba.gob.ar/Publics/Actas.aspx?id=s02NJisIHGY=</t>
  </si>
  <si>
    <t>Aprobando el Decreto N° 50/21, convalidando lo actuado por el Ministerio de Seguridad y ratificando el Convenio Marco de Cooperación Interjurisdiccional sobre Diseño y Ejecución de Políticas Públicas en materia de Seguridad Vial</t>
  </si>
  <si>
    <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</si>
  <si>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https://gld.legislaturacba.gob.ar/Publics/Actas.aspx?id=E0_WZxfkY5I=</t>
  </si>
  <si>
    <t>Modificando el radio municipal de la localidad de Carrilobo, Dpto. Rio Segundo</t>
  </si>
  <si>
    <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</si>
  <si>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https://www.youtube.com/watch?v=nHOpTto2WOA</t>
  </si>
  <si>
    <t>https://gld.legislaturacba.gob.ar/Publics/Actas.aspx?id=1r0Q75d_onI=</t>
  </si>
  <si>
    <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</si>
  <si>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https://www.youtube.com/watch?v=ZdfYSq7GUps</t>
  </si>
  <si>
    <t>https://gld.legislaturacba.gob.ar/Publics/Actas.aspx?id=NCUaovdGwb4=;https://gld.legislaturacba.gob.ar/Publics/Actas.aspx?id=Otnba9yxKXQ=</t>
  </si>
  <si>
    <t>Solicitando al Poder Ejecutivo informe (Art. 102 CP) sobre el funcionamiento, incorporación de personal y presupuesto destinado al proyecto de creación de Equipos Técnicos de Acción ante Catástrofes</t>
  </si>
  <si>
    <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</si>
  <si>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https://www.youtube.com/watch?v=bmkeftXCDUY</t>
  </si>
  <si>
    <t>https://gld.legislaturacba.gob.ar/Publics/Actas.aspx?id=umaHansLNwU=</t>
  </si>
  <si>
    <t>Solicitando al Poder Ejecutivo informe (Art. 102 CP) sobre diferentes aspectos vinculados al Proyecto de Creación de Equipos Técnicos de Acción ante Catástrofes</t>
  </si>
  <si>
    <t>Astroturismo o turismo astronómico como modalidad de turismo responsable, sostenible e innovador</t>
  </si>
  <si>
    <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</si>
  <si>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https://www.youtube.com/watch?v=1gKllbjM6pI</t>
  </si>
  <si>
    <t>https://gld.legislaturacba.gob.ar/Publics/Actas.aspx?id=c7SlWdbqPps=</t>
  </si>
  <si>
    <t>Principales Líneas de trabajo de la Secretaría de Niñez, Adolescencia y Familia</t>
  </si>
  <si>
    <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</si>
  <si>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https://gld.legislaturacba.gob.ar/Publics/Actas.aspx?id=5dXSoqLfYFw=</t>
  </si>
  <si>
    <t>https://gld.legislaturacba.gob.ar/Publics/Actas.aspx?id=383ECyYsBvk=</t>
  </si>
  <si>
    <t>Reconociendo a las deportistas cordobesas la nadadora Cecilia E. Biagioli y a la boxeadora Dayana E. Sánchez por su participación en los Juegos Olímpicos Tokio 2021</t>
  </si>
  <si>
    <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</si>
  <si>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https://www.youtube.com/watch?v=nVuyO6Ais3U</t>
  </si>
  <si>
    <t>https://gld.legislaturacba.gob.ar/Publics/Actas.aspx?id=PJhlRlUBtNs=</t>
  </si>
  <si>
    <t>Reconociendo a los deportistas Gastón Revol, Lautaro Bazán Vélez, Germán Schulz, Luciano González Rizzoni y Julieta Jankunas, por la obtención de las medallas de bronce y plata en los Juegos Olímpicos de Tokio 2020</t>
  </si>
  <si>
    <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</si>
  <si>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https://www.youtube.com/watch?v=ozAd0n8VzFo</t>
  </si>
  <si>
    <t>https://gld.legislaturacba.gob.ar/Publics/Actas.aspx?id=PwK5VZGWPRk=</t>
  </si>
  <si>
    <t>Modificando el radio municipal de la localidad de Carrilobo, Dpto. Río Segundo</t>
  </si>
  <si>
    <t>AMBIENTE;ASUNTOS INSTITUCIONALES, MUNICIPALES Y COMUNALES;LEGISLACIÓN GENERAL;TURISMO Y SU RELACIÓN CON EL DESARROLLO REGIONAL</t>
  </si>
  <si>
    <t>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t>
  </si>
  <si>
    <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</si>
  <si>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https://www.youtube.com/watch?v=O0VgqOcu1Ok</t>
  </si>
  <si>
    <t>https://gld.legislaturacba.gob.ar/Publics/Actas.aspx?id=Cv9D6ApKRew=;https://gld.legislaturacba.gob.ar/Publics/Actas.aspx?id=q5WfCqCu8Tw=;https://gld.legislaturacba.gob.ar/Publics/Actas.aspx?id=MhN0F7i8cwg=;https://gld.legislaturacba.gob.ar/Publics/Actas.aspx?id=jwPaScIegQw=</t>
  </si>
  <si>
    <t>AGRICULTURA, GANADERÍA Y RECURSOS RENOVABLES;PROMOCIÓN Y DESARROLLO DE ECONOMÍAS REGIONALES Y PYMES</t>
  </si>
  <si>
    <t>Creando el Programa Provincial de Promoción de la Agricultura Urbana</t>
  </si>
  <si>
    <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</si>
  <si>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https://www.youtube.com/watch?v=ger3Q8VHvmY</t>
  </si>
  <si>
    <t>https://gld.legislaturacba.gob.ar/Publics/Actas.aspx?id=mbRHxobTh3g=;https://gld.legislaturacba.gob.ar/Publics/Actas.aspx?id=hvM3D8hFMyw=</t>
  </si>
  <si>
    <t>Creando el programa provincial para el fomento de la agricultura urbana y periurbana</t>
  </si>
  <si>
    <t>Consejo Federal de Relaciones Exteriores y Comercio Internacional, las posibilidades de las exportaciones cordobesas en el contexto internacional y temas relacionados con el Comercio Exterior del país</t>
  </si>
  <si>
    <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</si>
  <si>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https://www.youtube.com/watch?v=2gnKDh0EiuU</t>
  </si>
  <si>
    <t>https://gld.legislaturacba.gob.ar/Publics/Actas.aspx?id=KbIxLCxOvO8=</t>
  </si>
  <si>
    <t>Creando un Fondo de Insumos y bono de emergencia para el sistema de salud ante el colapso sanitario</t>
  </si>
  <si>
    <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</si>
  <si>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https://www.youtube.com/watch?v=sfv6khuJACM</t>
  </si>
  <si>
    <t>https://gld.legislaturacba.gob.ar/Publics/Actas.aspx?id=D-fAcS2XjdY=</t>
  </si>
  <si>
    <t>LEGISLACIÓN DEL TRABAJO, PREVISIÓN Y SEGURIDAD SOCIAL;SALUD HUMANA</t>
  </si>
  <si>
    <t>Regulando el ejercicio de los profesionales y auxiliares de la enfermería en la Provincia de Córdoba</t>
  </si>
  <si>
    <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</si>
  <si>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https://www.youtube.com/watch?v=HipTyxwdteI</t>
  </si>
  <si>
    <t>https://gld.legislaturacba.gob.ar/Publics/Actas.aspx?id=LB08U3Zc8Js=;https://gld.legislaturacba.gob.ar/Publics/Actas.aspx?id=DhVyg8WhYOo=</t>
  </si>
  <si>
    <t>Proyecto de Declaración adhiriendo a las Primeras Jornadas Federales sobre Adopción “Abriendo Caminos”</t>
  </si>
  <si>
    <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</si>
  <si>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https://gld.legislaturacba.gob.ar/Publics/Actas.aspx?id=WSsFsBypBwI=</t>
  </si>
  <si>
    <t>AMBIENTE;ASUNTOS INSTITUCIONALES, MUNICIPALES Y COMUNALES;LEGISLACIÓN GENERAL;PROMOCIÓN Y DESARROLLO DE LAS COMUNIDADES REGIONALES;TURISMO Y SU RELACIÓN CON EL DESARROLLO REGIONAL</t>
  </si>
  <si>
    <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</si>
  <si>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rxi9_pwrpmk=;https://gld.legislaturacba.gob.ar/Publics/Actas.aspx?id=JaqBMqnEpVk=;https://gld.legislaturacba.gob.ar/Publics/Actas.aspx?id=_9xLcdg04aU=;https://gld.legislaturacba.gob.ar/Publics/Actas.aspx?id=fIp0B02BCYE=;https://gld.legislaturacba.gob.ar/Publics/Actas.aspx?id=Lf2s-7fnWOg=</t>
  </si>
  <si>
    <t>Estableciendo el 18 de junio de cada año como Día Provincial de la Jota Cordobesa</t>
  </si>
  <si>
    <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</si>
  <si>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https://www.youtube.com/watch?v=VEwNO-aG6F8</t>
  </si>
  <si>
    <t>https://gld.legislaturacba.gob.ar/Publics/Actas.aspx?id=zigLZ5rVo2I=</t>
  </si>
  <si>
    <t>Modificando el radio municipal de la localidad de Santa Eufemia, Departamento Juarez Celman</t>
  </si>
  <si>
    <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</si>
  <si>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https://www.youtube.com/watch?v=gosAJzmVfGM</t>
  </si>
  <si>
    <t>https://gld.legislaturacba.gob.ar/Publics/Actas.aspx?id=9rtykumbLY8=</t>
  </si>
  <si>
    <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</si>
  <si>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https://www.youtube.com/watch?v=weduzrR5L4s</t>
  </si>
  <si>
    <t>https://gld.legislaturacba.gob.ar/Publics/Actas.aspx?id=Lk6ehE3VoFk=;https://gld.legislaturacba.gob.ar/Publics/Actas.aspx?id=XhUcA_ei_fk=</t>
  </si>
  <si>
    <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</si>
  <si>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https://www.youtube.com/watch?v=RsPnoR6XsjU</t>
  </si>
  <si>
    <t>https://gld.legislaturacba.gob.ar/Publics/Actas.aspx?id=uVszuvJcJqg=</t>
  </si>
  <si>
    <t>Declaración de beneplácito por el centésimo aniversario de la fundación de la Asociación Argentina de Tenis</t>
  </si>
  <si>
    <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</si>
  <si>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https://www.youtube.com/watch?v=0EVza5T55BY</t>
  </si>
  <si>
    <t>https://gld.legislaturacba.gob.ar/Publics/Actas.aspx?id=cHr1dT5HBkY=</t>
  </si>
  <si>
    <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</si>
  <si>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https://www.youtube.com/watch?v=j-8viw0ehLU</t>
  </si>
  <si>
    <t>https://gld.legislaturacba.gob.ar/Publics/Actas.aspx?id=UlEsmzKr8Cg=</t>
  </si>
  <si>
    <t>Estrategias políticas, económicas y de gestión pública en las Comunidades Regionales de Córdoba: conceptos y experiencias</t>
  </si>
  <si>
    <t>https://www.youtube.com/watch?v=xQ6bCxG93cE</t>
  </si>
  <si>
    <t>https://gld.legislaturacba.gob.ar/Publics/Actas.aspx?id=G1v1KJEXDcU=</t>
  </si>
  <si>
    <t>modificando el radio municipal de la localidad de Estación Juarez Celman, Departamento Colón</t>
  </si>
  <si>
    <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</si>
  <si>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https://www.youtube.com/watch?v=GBUP35jvbEw</t>
  </si>
  <si>
    <t>https://gld.legislaturacba.gob.ar/Publics/Actas.aspx?id=NmQB2-gzEK0=</t>
  </si>
  <si>
    <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</si>
  <si>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https://www.youtube.com/watch?v=luU-G4jeO8Q</t>
  </si>
  <si>
    <t>https://gld.legislaturacba.gob.ar/Publics/Actas.aspx?id=KSaZOvBFNv4=;https://gld.legislaturacba.gob.ar/Publics/Actas.aspx?id=ySIfip1qn4E=</t>
  </si>
  <si>
    <t>Modificando el radio municipal de la localidad de Estación Juarez Celman, Departamento Colón</t>
  </si>
  <si>
    <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</si>
  <si>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https://www.youtube.com/watch?v=YvkLmQjo8Zg</t>
  </si>
  <si>
    <t>https://gld.legislaturacba.gob.ar/Publics/Actas.aspx?id=Z4Q6z8X8III=</t>
  </si>
  <si>
    <t>Creando el “Programa de Protección Digital” en el ámbito de la Defensoría de los Derechos de Niñas, Niños y Adolescentes de la Provincia de Córdoba</t>
  </si>
  <si>
    <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</si>
  <si>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https://www.youtube.com/watch?v=D_PWBaL7GNg</t>
  </si>
  <si>
    <t>https://gld.legislaturacba.gob.ar/Publics/Actas.aspx?id=phju-SwG_RQ=</t>
  </si>
  <si>
    <t>Solicitando acuerdo para designar al Abogado Juan Pablo Díaz Bialet como Juez de Primera Instancia en el Juzgado en lo Civil y Comercial, Conciliación y Familia de la Primera Circunscripción Judicial con asiento en la ciudad de Río Segundo</t>
  </si>
  <si>
    <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</si>
  <si>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https://www.youtube.com/watch?v=dKUzhjCscm8</t>
  </si>
  <si>
    <t>https://gld.legislaturacba.gob.ar/Publics/Actas.aspx?id=TmK7Mm-JOSI=</t>
  </si>
  <si>
    <t>Solicitando acuerdo para designar a la abogada Patricia Marina Ledesma de Fuster como Vocal de la Cámara en la Sala 11 de la Cámara Única del Trabajo del Centro Judicial Capital de la Primera Circunscripción Judicial con asiento en la ciudad de Córdoba</t>
  </si>
  <si>
    <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</si>
  <si>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https://www.youtube.com/watch?v=z0SO279TV8g</t>
  </si>
  <si>
    <t>https://gld.legislaturacba.gob.ar/Publics/Actas.aspx?id=JsJ8e2X8Lk0=;https://gld.legislaturacba.gob.ar/Publics/Actas.aspx?id=vZvWx5cWyXI=</t>
  </si>
  <si>
    <t>INDUSTRIA Y MINERÍA;PROMOCIÓN Y DESARROLLO DE LAS COMUNIDADES REGIONALES;PROMOCIÓN Y DESARROLLO DE ECONOMÍAS REGIONALES Y PYMES</t>
  </si>
  <si>
    <t>Creando en el ámbito de la provincia, el programa "Marca Provincia de Córdoba" que promoverá políticas públicas orientadas a denominar el origen y promocionar la calidad de los bienes y servicios producidos en el territorio provincial</t>
  </si>
  <si>
    <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</si>
  <si>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https://www.youtube.com/watch?v=nmNeAY1zSUA</t>
  </si>
  <si>
    <t>https://gld.legislaturacba.gob.ar/Publics/Actas.aspx?id=QvSZN5OiFBI=;https://gld.legislaturacba.gob.ar/Publics/Actas.aspx?id=En1M2iHzibA=;https://gld.legislaturacba.gob.ar/Publics/Actas.aspx?id=vZvWx5cWyXI=</t>
  </si>
  <si>
    <t>Modificando el radio municipal de la localidad de Villa Parque Santa Ana, Departamento Santa María</t>
  </si>
  <si>
    <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</si>
  <si>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https://gld.legislaturacba.gob.ar/Publics/Actas.aspx?id=vIi3uRtFUsU=</t>
  </si>
  <si>
    <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</si>
  <si>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https://www.youtube.com/watch?v=ggJ8_X2pdVw</t>
  </si>
  <si>
    <t>https://gld.legislaturacba.gob.ar/Publics/Actas.aspx?id=J3ig1WHpuiI=;https://gld.legislaturacba.gob.ar/Publics/Actas.aspx?id=MsNcmhcXa0A=</t>
  </si>
  <si>
    <t>AMBIENTE;LEGISLACIÓN GENERAL</t>
  </si>
  <si>
    <t>Aprobando el Decreto N° 624 de fecha 18 de junio de 2021, mediante el cual se aprobó el Convenio suscripto entre el Instituto Nacional del Agua (I.N.A.) y el Ministerio de Seguridad de la provincia, con el objeto de la adecuación y mantenimiento de Estaciones Telemétricas de Tecnología ALERT para la obtención de datos hidrometeorológicos en tiempo real</t>
  </si>
  <si>
    <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</si>
  <si>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https://www.youtube.com/watch?v=I4VOVNuLxO0</t>
  </si>
  <si>
    <t>https://gld.legislaturacba.gob.ar/Publics/Actas.aspx?id=09qUJHLGkN4=;https://gld.legislaturacba.gob.ar/Publics/Actas.aspx?id=nSX2fGZKIpc=</t>
  </si>
  <si>
    <t>AMBIENTE;EDUCACIÓN, CULTURA, CIENCIA, TECNOLOGÍA E INFORMÁTICA</t>
  </si>
  <si>
    <t>Adhiriendo la Provincia de Córdoba a las disposiciones de la Ley Nacional N° 27621, con el objeto establecer el derecho a la educación ambiental integral como una política pública</t>
  </si>
  <si>
    <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</si>
  <si>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https://www.youtube.com/watch?v=bulqZXWDBjM</t>
  </si>
  <si>
    <t>https://gld.legislaturacba.gob.ar/Publics/Actas.aspx?id=rW1rylYtXNA=;https://gld.legislaturacba.gob.ar/Publics/Actas.aspx?id=qXz5meCh4cc=</t>
  </si>
  <si>
    <t>Portal de Transparencia de la Provincia de Córdoba</t>
  </si>
  <si>
    <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</si>
  <si>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https://www.youtube.com/watch?v=Y13rEIaPP7I</t>
  </si>
  <si>
    <t>https://gld.legislaturacba.gob.ar/Publics/Actas.aspx?id=Cyz2rpIOLHA=</t>
  </si>
  <si>
    <t>Solicitando acuerdo para designar a la Sra. abogada Gisela María Cafure, como Juez de Primera Instancia en lo Civil y Comercial en el Juzgado de Primera Instancia en lo Civil y Comercial de 4a. Nominación perteneciente a la Primera Circunscripción Judicial con asiento en la ciudad de Córdoba</t>
  </si>
  <si>
    <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</si>
  <si>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https://www.youtube.com/watch?v=tprtOQtyLfI</t>
  </si>
  <si>
    <t>https://gld.legislaturacba.gob.ar/Publics/Actas.aspx?id=Ztb1faDOxAc=</t>
  </si>
  <si>
    <t>Estableciendo la obligatoriedad de traducir a la Lengua de Señas Argentina (LSA), las transmisiones de las sesiones de la Legislatura de la Provincia de Córdoba, a través de sus canales oficiales</t>
  </si>
  <si>
    <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</si>
  <si>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https://www.youtube.com/watch?v=3J1PcDev7w0</t>
  </si>
  <si>
    <t>https://gld.legislaturacba.gob.ar/Publics/Actas.aspx?id=gdlbIcxv_pw=</t>
  </si>
  <si>
    <t>Reconociendo a los profesores de la Fundación Crescomas en el marco celebratorio, el 23 de septiembre, del Día Internacional de las Lenguas de Señas</t>
  </si>
  <si>
    <t>Declarando su adhesión al “Día Internacional de las Lenguas de Señas” a celebrarse el día 23 de septiembre de cada año y a todas las actividades que se realicen en el marco de dicha fecha</t>
  </si>
  <si>
    <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</si>
  <si>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https://www.youtube.com/watch?v=BYgY-SHLeeI</t>
  </si>
  <si>
    <t>https://gld.legislaturacba.gob.ar/Publics/Actas.aspx?id=kMrBN0ZQQxk=;https://gld.legislaturacba.gob.ar/Publics/Actas.aspx?id=JiDIjN6ztj4=;https://gld.legislaturacba.gob.ar/Publics/Actas.aspx?id=fGlQqy_g67Q=</t>
  </si>
  <si>
    <t>Ampliando los términos de la Ley N° 10609 y, en consecuencia, declarando de utilidad pública y sujetos a expropiación los inmuebles necesarios para la ejecución de la obra "Segundo Anillo de Circunvalación de Córdoba - Tramo: Ruta Nacional N° 9 Norte - Ruta Provincial A-174</t>
  </si>
  <si>
    <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</si>
  <si>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https://www.youtube.com/watch?v=hZKP2VnS_Uc</t>
  </si>
  <si>
    <t>https://gld.legislaturacba.gob.ar/Publics/Actas.aspx?id=rAV-XP0TDIM=;https://gld.legislaturacba.gob.ar/Publics/Actas.aspx?id=Bx1jLn_9yQg=</t>
  </si>
  <si>
    <t>Programa de salud integral para personas con diagnotico de Lupus</t>
  </si>
  <si>
    <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</si>
  <si>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https://www.youtube.com/watch?v=Q5LpyVmaI0k</t>
  </si>
  <si>
    <t>https://gld.legislaturacba.gob.ar/Publics/Actas.aspx?id=36dZzcYSaqs=</t>
  </si>
  <si>
    <t>Solicitando acuerdo para designar a la Sra. abogada Griselda Esther Martínez, como Asesora Letrada "reemplazante" en la Asesoría de Niñez Adolescencia, Violencia Familiar y de Género y Penal Juvenil de Primer Turno de la ciudad de Córdoba, perteneciente a la Primera Circunscripción Judicial con asiento en la Ciudad de Córdoba</t>
  </si>
  <si>
    <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</si>
  <si>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https://www.youtube.com/watch?v=njciRI9x1RA</t>
  </si>
  <si>
    <t>https://gld.legislaturacba.gob.ar/Publics/Actas.aspx?id=NQPSyIQkvTc=</t>
  </si>
  <si>
    <t>Solicitando acuerdo para designar a la Sra. abogada María Mercedes Rodrigo, como Asesora Letrada "reemplazante" en la Asesoría de Niñez Adolescencia, Violencia Familiar y de Género y Penal Juvenil de Quinto Turno, perteneciente a la Primera Circunscripción Judicial con asiento en la Ciudad de Córdoba</t>
  </si>
  <si>
    <t>AMBIENTE;ASUNTOS INSTITUCIONALES, MUNICIPALES Y COMUNALES;ECONOMÍA SOCIAL, COOPERATIVAS Y MUTUALES</t>
  </si>
  <si>
    <t>Reunión con integrantes del Movimiento Campesino de Córdoba en las localidades de Los Pozos, Departamento Tulumba y La Rinconada, Departamento Río Seco</t>
  </si>
  <si>
    <t>https://gld.legislaturacba.gob.ar/Publics/Actas.aspx?id=IYlSty09jVY=;https://gld.legislaturacba.gob.ar/Publics/Actas.aspx?id=V8vjjqFYawQ=;https://gld.legislaturacba.gob.ar/Publics/Actas.aspx?id=1ZJ67PB5bdg=</t>
  </si>
  <si>
    <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</si>
  <si>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https://www.youtube.com/watch?v=8IsZsIKrGig</t>
  </si>
  <si>
    <t>https://gld.legislaturacba.gob.ar/Publics/Actas.aspx?id=fehBi1gxVc0=;https://gld.legislaturacba.gob.ar/Publics/Actas.aspx?id=GKqn_eVrO-U=</t>
  </si>
  <si>
    <t>Modificando el radio de la localidad de Villa Parque Santa Ana, Departamento Santa Maria</t>
  </si>
  <si>
    <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</si>
  <si>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https://www.youtube.com/watch?v=5HHydFCuJfA</t>
  </si>
  <si>
    <t>https://gld.legislaturacba.gob.ar/Publics/Actas.aspx?id=lJYYHFPpRU8=</t>
  </si>
  <si>
    <t>EDUCACIÓN, CULTURA, CIENCIA, TECNOLOGÍA E INFORMÁTICA;TURISMO Y SU RELACIÓN CON EL DESARROLLO REGIONAL</t>
  </si>
  <si>
    <t>Declarando de interés histórico, cultural y turístico de la Provincia de Córdoba al "Museo Nacional de Malvinas" de la ciudad de Oliva, Dpto. Tercero Arriba</t>
  </si>
  <si>
    <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</si>
  <si>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https://www.youtube.com/watch?v=hGBmHhdqVyo</t>
  </si>
  <si>
    <t>https://gld.legislaturacba.gob.ar/Publics/Actas.aspx?id=RZcJaWI6fCw=;https://gld.legislaturacba.gob.ar/Publics/Actas.aspx?id=Gyvsz9-kHnU=</t>
  </si>
  <si>
    <t>Futbol femenino. Avances en la búsqueda de cerrar brechas de género</t>
  </si>
  <si>
    <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</si>
  <si>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https://gld.legislaturacba.gob.ar/Publics/Actas.aspx?id=zZBme7WlZdU=</t>
  </si>
  <si>
    <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</si>
  <si>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https://www.youtube.com/watch?v=LVdH9rmC8hU</t>
  </si>
  <si>
    <t>https://gld.legislaturacba.gob.ar/Publics/Actas.aspx?id=9mIiX6bJfFU=</t>
  </si>
  <si>
    <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</si>
  <si>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https://www.youtube.com/watch?v=SV36PQceT6M</t>
  </si>
  <si>
    <t>https://gld.legislaturacba.gob.ar/Publics/Actas.aspx?id=u82hi8F-KdI=;https://gld.legislaturacba.gob.ar/Publics/Actas.aspx?id=ywd4ZG2u_5U=;https://gld.legislaturacba.gob.ar/Publics/Actas.aspx?id=soLZibbLvB8=</t>
  </si>
  <si>
    <t>Estableciendo la obligatoriedad de proveedores de productos y servicios de comunicar un domicilio electrónico para procesar los reclamos de los usuarios y consumidores y modificando el artículo 144 de la Ley Nª 8465, Código Procesal Civil y Comercial</t>
  </si>
  <si>
    <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</si>
  <si>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https://www.youtube.com/watch?v=7mapFhMxIDQ</t>
  </si>
  <si>
    <t>https://gld.legislaturacba.gob.ar/Publics/Actas.aspx?id=ty3_RlpExu4=</t>
  </si>
  <si>
    <t>Solicitando acuerdo para designar a la Sra. abogada María Alejandra Noemí Sánchez Alfaro Ocampo, como Juez de Primera Instancia en lo Civil y Comercial en el Juzgado de Primera Instancia en lo Civil y Comercial de Vigésimocuarta Nominación, perteneciente a la Primera Circunscripción Judicial con asiento en la ciudad de Córdoba</t>
  </si>
  <si>
    <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</si>
  <si>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https://www.youtube.com/watch?v=7EZqjW_hsb8</t>
  </si>
  <si>
    <t>https://gld.legislaturacba.gob.ar/Publics/Actas.aspx?id=Qg3_yTAgZRc=</t>
  </si>
  <si>
    <t>Solicitando acuerdo para designar al abogado Alejandro Marcelo Fenoll, como Fiscal de Cámara en los Criminal y Correccional en la Fiscalía de Cámara en lo Criminal y Correccional de Quinta Nominación con sede en la ciudad de Córdoba</t>
  </si>
  <si>
    <t>Solicitando acuerdo para designar a la abogada María de los Milagros Gorgas, como Fiscal de Cámara en lo Criminal y Correccional en la Fiscalía de Cámara en lo Criminal y Correccional de Primera Nominación con sede en la ciudad de Córdoba</t>
  </si>
  <si>
    <t>EDUCACIÓN, CULTURA, CIENCIA, TECNOLOGÍA E INFORMÁTICA;LEGISLACIÓN GENERAL;TURISMO Y SU RELACIÓN CON EL DESARROLLO REGIONAL</t>
  </si>
  <si>
    <t>No</t>
  </si>
  <si>
    <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</si>
  <si>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https://www.youtube.com/watch?v=RGL-1k2bvl0</t>
  </si>
  <si>
    <t>https://gld.legislaturacba.gob.ar/Publics/Actas.aspx?id=zoi68Ubm00I=;https://gld.legislaturacba.gob.ar/Publics/Actas.aspx?id=XHWO4cTnLdE=;https://gld.legislaturacba.gob.ar/Publics/Actas.aspx?id=erMCrdeIfzM=</t>
  </si>
  <si>
    <t>AMBIENTE;INDUSTRIA Y MINERÍA;SERVICIOS PÚBLICOS</t>
  </si>
  <si>
    <t>Avances sobre la Ley N° 10721 -De Promoción y Desarrollo para la producción y consumo de Biocombustibles y Bioenergía-. Acciones vinculadas al desarrollo de biocombustibles y bioenergía en la provincia de Córdoba.</t>
  </si>
  <si>
    <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</si>
  <si>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https://www.youtube.com/watch?v=weLYICQT1qI</t>
  </si>
  <si>
    <t>https://gld.legislaturacba.gob.ar/Publics/Actas.aspx?id=CG-k-1Uqe4Q=;https://gld.legislaturacba.gob.ar/Publics/Actas.aspx?id=GW8yv50WBSU=;https://gld.legislaturacba.gob.ar/Publics/Actas.aspx?id=fVD_iwIdhEE=</t>
  </si>
  <si>
    <t>Solicitando al Poder Ejecutivo informe (Art. 102 C.P.) detalladamente sobre los planes de migración de uso de combustibles fósiles a biocombustibles en toda la flota de los organismos del sector público provincial.</t>
  </si>
  <si>
    <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</si>
  <si>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https://www.youtube.com/watch?v=ROQrNF16rz0</t>
  </si>
  <si>
    <t>https://gld.legislaturacba.gob.ar/Publics/Actas.aspx?id=pwRp3ID1rJc=;https://gld.legislaturacba.gob.ar/Publics/Actas.aspx?id=VuZhZEJoiYg=;https://gld.legislaturacba.gob.ar/Publics/Actas.aspx?id=4FAxds41qyI=</t>
  </si>
  <si>
    <t>Creando el “Programa de Protección Digital” en el ámbito de la Defensoría de los Derechos de Niñas, Niños y Adolescentes de la Provincia de Córdoba.</t>
  </si>
  <si>
    <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</si>
  <si>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https://www.youtube.com/watch?v=2d6qvN8_LpU</t>
  </si>
  <si>
    <t>https://gld.legislaturacba.gob.ar/Publics/Actas.aspx?id=OlGIMS9VXNE=;https://gld.legislaturacba.gob.ar/Publics/Actas.aspx?id=cRExoTyiQo8=</t>
  </si>
  <si>
    <t>Adhiriendo a la Ley Nacional N° 27.590 "Mica Ortega", que crea el Programa Nacional de Prevención y Concientización del Grooming o Ciberacoso contra Niñas, Niños y Adolescentes, e incorporando el artículo 4 bis a la Ley 10222.</t>
  </si>
  <si>
    <t>Solicitando acuerdo para designar al Abogado Gustavo Alfredo Dalma, como Fiscal de Cámara en lo Criminal y Correccional en la Fiscalía de Cámara en lo Criminal y Correccional de Décima Nominación, con sede en la ciudad de Córdoba.</t>
  </si>
  <si>
    <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</si>
  <si>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https://www.youtube.com/watch?v=-iA2mMOyvao</t>
  </si>
  <si>
    <t>https://gld.legislaturacba.gob.ar/Publics/Actas.aspx?id=pAoyCnxY2cg=</t>
  </si>
  <si>
    <t>Solicitando acuerdo para designar a la Abogada María Lourdes De Puerta como Juez de Niñez, Adolescencia, Violencia Familiar y de Género y Penal Juvenil en el Juzgado de Niñez, Adolescencia, Violencia Familiar y de Género y Penal Juvenil, perteneciente a la Séptima Circunscripción Judicial con sede en la ciudad de Cruz del Eje</t>
  </si>
  <si>
    <t>Solicitando acuerdo para designar a la abogada María Victoria Cavagnaro, como Juez de Niñez, Adolescencia, Violencia Familiar y de Género y Penal Juvenil en el Juzgado de Niñez, Adolescencia, Violencia Familiar y de Género y Penal Juvenil de 1a. Nominación, perteneciente a la Segunda Circunscripción Judicial con sede en la ciudad de Río Cuarto.</t>
  </si>
  <si>
    <t>ECONOMÍA, PRESUPUESTO, GESTIÓN PÚBLICA E INNOVACIÓN;INDUSTRIA Y MINERÍA</t>
  </si>
  <si>
    <t>Donando a favor de la Municipalidad de la localidad de Tancacha, Dpto. Tercero Arriba, un inmueble destinado a la construcción y puesta en marcha de un parque industrial en los términos de la Ley Nº 7255</t>
  </si>
  <si>
    <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</si>
  <si>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https://www.youtube.com/watch?v=MrttBxcYXNM</t>
  </si>
  <si>
    <r>
      <rPr>
        <sz val="10"/>
        <color rgb="FF000000"/>
        <rFont val="Arial"/>
      </rPr>
      <t>https://gld.legislaturacba.gob.ar/Publics/Actas.aspx?id=GF1sxSxYnvc=</t>
    </r>
    <r>
      <rPr>
        <sz val="10"/>
        <color theme="1"/>
        <rFont val="Arial"/>
      </rPr>
      <t>;</t>
    </r>
    <r>
      <rPr>
        <sz val="10"/>
        <color rgb="FF000000"/>
        <rFont val="Arial"/>
      </rPr>
      <t>https://gld.legislaturacba.gob.ar/Publics/Actas.aspx?id=t8ePN4SmNbw=</t>
    </r>
  </si>
  <si>
    <t>El presupuesto con perspectiva de Género en el contexto de la gestión por resultados orientada al ciudadano</t>
  </si>
  <si>
    <t>https://www.youtube.com/watch?v=s-e63Z3Q0z4</t>
  </si>
  <si>
    <t>https://gld.legislaturacba.gob.ar/Publics/Actas.aspx?id=GF1sxSxYnvc=</t>
  </si>
  <si>
    <t>Solicitando al Poder Ejecutivo informe (Art. 102 C.P.) sobre la efectiva aplicación de la Ley 10756 -de adhesión a la Ley Nacional Nº 27350 - Uso Medicinal de la Planta de Cannabis y sus derivados-</t>
  </si>
  <si>
    <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</si>
  <si>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https://gld.legislaturacba.gob.ar/Publics/Actas.aspx?id=9ncwsZP5yvs=</t>
  </si>
  <si>
    <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</si>
  <si>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https://www.youtube.com/watch?v=91avpxeOc8g</t>
  </si>
  <si>
    <r>
      <rPr>
        <sz val="10"/>
        <color rgb="FF000000"/>
        <rFont val="Arial"/>
      </rPr>
      <t>https://gld.legislaturacba.gob.ar/Publics/Actas.aspx?id=HIuEYEVqA7c=</t>
    </r>
    <r>
      <rPr>
        <sz val="10"/>
        <color theme="1"/>
        <rFont val="Arial"/>
      </rPr>
      <t>;</t>
    </r>
    <r>
      <rPr>
        <sz val="10"/>
        <color rgb="FF000000"/>
        <rFont val="Arial"/>
      </rPr>
      <t>https://gld.legislaturacba.gob.ar/Publics/Actas.aspx?id=oSCiYpvPavk=</t>
    </r>
  </si>
  <si>
    <t>Estableciendo la obligatoriedad de proveedores de productos y servicios de comunicar un domicilio electrónico para procesar los reclamos de los usuarios y consumidores y modificando el artículo 144 de la Ley Nª 8465, Código Procesal Civil y Comercial.</t>
  </si>
  <si>
    <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</si>
  <si>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https://www.youtube.com/watch?v=j6uXeNk6Dt4</t>
  </si>
  <si>
    <t>https://gld.legislaturacba.gob.ar/Publics/Actas.aspx?id=qCJx5eog3lM=</t>
  </si>
  <si>
    <t>Solicitando acuerdo para designar a la abogada Nerina Lucinda Teresa Gamero, como Jueza de Niñez, Adolescencia, Violencia Familiar y de Género y Penal Juvenil en el Juzgado de Niñez, Adolescencia, Violencia Familiar y de Género y Penal Juvenil, perteneciente a la Tercera Circunscripción Judicial con sede en la ciudad de Villa María.</t>
  </si>
  <si>
    <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</si>
  <si>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https://www.youtube.com/watch?v=bcdeXJYYXu4</t>
  </si>
  <si>
    <t>https://gld.legislaturacba.gob.ar/Publics/Actas.aspx?id=voBXvBPZuRk=</t>
  </si>
  <si>
    <t>Solicitando acuerdo para designar a la abogada Noelia Azcona, como Jueza de Niñez, Adolescencia, Violencia Familiar y de Género y Penal Juvenil en el Juzgado de Niñez, Adolescencia, Violencia Familiar y de Género y Penal Juvenil, perteneciente a la Tercera Circunscripción Judicial con sede en la ciudad de Bell Ville.</t>
  </si>
  <si>
    <t>Solicitando acuerdo para designar a la abogada María Belén Vidal, como Jueza de Niñez, Adolescencia, Violencia Familiar y de Género y Penal Juvenil en el Juzgado de Niñez, Adolescencia, Violencia Familiar y de Género y Penal Juvenil, perteneciente a la Sexta Circunscripción Judicial con sede en la ciudad de Villa Dolores.</t>
  </si>
  <si>
    <t>https://gld.legislaturacba.gob.ar/Publics/Actas.aspx?id=8bGR4zeAakw=;https://gld.legislaturacba.gob.ar/Publics/Actas.aspx?id=KDaK612TFjw=;https://gld.legislaturacba.gob.ar/Publics/Actas.aspx?id=GSONXLb-QBI=</t>
  </si>
  <si>
    <t>EQUIDAD Y LUCHA CONTRA LA VIOLENCIA DE GÉNERO;SALUD HUMANA</t>
  </si>
  <si>
    <t>Prevención y lucha contra el cáncer de mama.</t>
  </si>
  <si>
    <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</si>
  <si>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https://www.youtube.com/watch?v=OUC-7SuXnP4</t>
  </si>
  <si>
    <t>https://gld.legislaturacba.gob.ar/Publics/Actas.aspx?id=1OTgub3R7z8=;https://gld.legislaturacba.gob.ar/Publics/Actas.aspx?id=HyHHKtUWcq0=</t>
  </si>
  <si>
    <t>ASUNTOS INSTITUCIONALES, MUNICIPALES Y COMUNALES;DEPORTES Y RECREACIÓN</t>
  </si>
  <si>
    <t>Declarando de utilidad pública y sujeto a expropiación, por parte de la Comuna de San Roque, Departamento Punilla, un lote de terreno destinado exclusivamente a la construcción del Club Comunal Social y Deportivo de San Roque.</t>
  </si>
  <si>
    <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</si>
  <si>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https://www.youtube.com/watch?v=esM2WlE56EI</t>
  </si>
  <si>
    <t>https://gld.legislaturacba.gob.ar/Publics/Actas.aspx?id=_qVE3MFT5FY=;https://gld.legislaturacba.gob.ar/Publics/Actas.aspx?id=nAYWXRCAUCg=</t>
  </si>
  <si>
    <t>Programa Previaje</t>
  </si>
  <si>
    <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</si>
  <si>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https://www.youtube.com/watch?v=xu9OfcFAaKA</t>
  </si>
  <si>
    <t>https://gld.legislaturacba.gob.ar/Publics/Actas.aspx?id=TZoFc9QBSJ0=</t>
  </si>
  <si>
    <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</si>
  <si>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https://www.youtube.com/watch?v=FjWWIxeW0L8</t>
  </si>
  <si>
    <t>https://gld.legislaturacba.gob.ar/Publics/Actas.aspx?id=nNauRpG_tMA=</t>
  </si>
  <si>
    <t>Solicitando Juicio Político al Sr. Fiscal General de la provincia de Córdoba, Dr. Juan Manuel Delgado, por la causal de indignidad y mal desempeños.</t>
  </si>
  <si>
    <t>Solicitando Juicio Político contra el Fiscal General de la Provincia de Córdoba, Juan Manuel Delgado.</t>
  </si>
  <si>
    <t>Solicitando Juicio Político al Sr. Fiscal General de la provincia de Córdoba, Dr. Juan Manuel Delgado, por la causal de indignidad y mal desempeño</t>
  </si>
  <si>
    <t>El presupuesto, la gestión por resultados y Objetivos de Desarrollo Sostenible.</t>
  </si>
  <si>
    <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</si>
  <si>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https://www.youtube.com/watch?v=PMnuw3vgI48</t>
  </si>
  <si>
    <t>https://gld.legislaturacba.gob.ar/Publics/Actas.aspx?id=4rusrMMFvdA=</t>
  </si>
  <si>
    <t>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t>
  </si>
  <si>
    <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</si>
  <si>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https://www.youtube.com/watch?v=VW5CsmIfhec</t>
  </si>
  <si>
    <t>https://gld.legislaturacba.gob.ar/Publics/Actas.aspx?id=0QmXLVnj1V4=;https://gld.legislaturacba.gob.ar/Publics/Actas.aspx?id=WzRzMVdHVIE=</t>
  </si>
  <si>
    <t>Modificando el Anexo I a la Ley Nº 10733, y en consecuencia, declarando de utilidad pública y sujetos a expropiación los inmuebles necesarios para la ejecución de la obra "Variante Ruta Provincial Nº 5 - Tramo: Alta Gracia - Intersección Ruta S-495"</t>
  </si>
  <si>
    <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</si>
  <si>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https://www.youtube.com/watch?v=3BbsY6DE7fg</t>
  </si>
  <si>
    <t>https://gld.legislaturacba.gob.ar/Publics/Actas.aspx?id=j7Lu3KD5VOQ=;https://gld.legislaturacba.gob.ar/Publics/Actas.aspx?id=WVsrr23_cm0=</t>
  </si>
  <si>
    <t>ECONOMÍA, PRESUPUESTO, GESTIÓN PÚBLICA E INNOVACIÓN;DEPORTES Y RECREACIÓN;ASUNTOS INSTITUCIONALES, MUNICIPALES Y COMUNALES</t>
  </si>
  <si>
    <t>Declarando de utilidad pública y sujeto a expropiación, por parte de la Comuna de San Roque, Departamento Punilla, un lote de terreno destinado exclusivamente a la construcción del Club Comunal Social y Deportivo de San Roque</t>
  </si>
  <si>
    <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</si>
  <si>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https://www.youtube.com/watch?v=aAJcO6WWhdA</t>
  </si>
  <si>
    <r>
      <rPr>
        <sz val="10"/>
        <color rgb="FF000000"/>
        <rFont val="Arial"/>
      </rPr>
      <t>https://gld.legislaturacba.gob.ar/Publics/Actas.aspx?id=xWEtZrfitUY=</t>
    </r>
    <r>
      <rPr>
        <sz val="10"/>
        <color theme="1"/>
        <rFont val="Arial"/>
      </rPr>
      <t>;</t>
    </r>
    <r>
      <rPr>
        <sz val="10"/>
        <color rgb="FF000000"/>
        <rFont val="Arial"/>
      </rPr>
      <t>https://gld.legislaturacba.gob.ar/Publics/Actas.aspx?id=thC6O0W2c1E=</t>
    </r>
    <r>
      <rPr>
        <sz val="10"/>
        <color theme="1"/>
        <rFont val="Arial"/>
      </rPr>
      <t>;</t>
    </r>
    <r>
      <rPr>
        <sz val="10"/>
        <color rgb="FF000000"/>
        <rFont val="Arial"/>
      </rPr>
      <t>https://gld.legislaturacba.gob.ar/Publics/Actas.aspx?id=IbHV-nwiRIQ=</t>
    </r>
  </si>
  <si>
    <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</si>
  <si>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https://www.youtube.com/watch?v=4ONVLvpgSCE</t>
  </si>
  <si>
    <t>https://gld.legislaturacba.gob.ar/Publics/Actas.aspx?id=mOfwLNhtqWg=;https://gld.legislaturacba.gob.ar/Publics/Actas.aspx?id=vuqGpfJRQYI=</t>
  </si>
  <si>
    <t>SEMIPRESENCIAL</t>
  </si>
  <si>
    <t>ASUNTOS CONSTITUCIONALES, JUSTICIA Y ACUERDOS;ECONOMÍA, PRESUPUESTO, GESTIÓN PÚBLICA E INNOVACIÓN;LEGISLACIÓN GENERAL</t>
  </si>
  <si>
    <t>Estableciendo el Presupuesto General de la Administración Pública Provincial para el año 2022</t>
  </si>
  <si>
    <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</si>
  <si>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https://www.youtube.com/watch?v=y-YrnzQEf20</t>
  </si>
  <si>
    <t>https://gld.legislaturacba.gob.ar/Publics/Actas.aspx?id=NOQZow-PnGM=;https://gld.legislaturacba.gob.ar/Publics/Actas.aspx?id=dXoNrBtMHsI=;https://gld.legislaturacba.gob.ar/Publics/Actas.aspx?id=jCo0tEhm4yE=</t>
  </si>
  <si>
    <t>Modificando la Ley Nº 6006 (TO - 2021) Código Tributario, así como diversos artículos y sus modificatorias de las leyes Nros. 9024, 9187, 10724, 5330, 6394, 652, 9150, 9342, 9420, 10381, 10454, 10649, 10752, 10679, 10738</t>
  </si>
  <si>
    <t>Estableciendo la Ley Impositiva para el año 2022</t>
  </si>
  <si>
    <t>LEGISLACIÓN GENERAL;SERVICIOS PÚBLICOS</t>
  </si>
  <si>
    <t>Prorrogando hasta el 1 de diciembre de 2023 el vencimiento del plazo previsto en el Art. 7° de la Ley N° 10281 -Seguridad Eléctrica para la provincia de Córdoba-, y suspendiendo por el mismo tiempo las obligaciones emergentes para las instalaciones a que se refiere el Art. 2°, inc. b) acápites 1) y 3)</t>
  </si>
  <si>
    <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</si>
  <si>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https://www.youtube.com/watch?v=3PfXWSj0H_0</t>
  </si>
  <si>
    <t>https://gld.legislaturacba.gob.ar/Publics/Actas.aspx?id=jOjBdY6r1gQ=;https://gld.legislaturacba.gob.ar/Publics/Actas.aspx?id=VHaKBpy7Q7U=</t>
  </si>
  <si>
    <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</si>
  <si>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https://www.youtube.com/watch?v=PONSvQAOXLY</t>
  </si>
  <si>
    <t>https://gld.legislaturacba.gob.ar/Publics/Actas.aspx?id=uszbQrzqNn8=</t>
  </si>
  <si>
    <t>Visita al nuevo Hospital Eva Perón en barrio Los Filtros de la ciudad de Córdoba</t>
  </si>
  <si>
    <t>https://gld.legislaturacba.gob.ar/Publics/Actas.aspx?id=sXdP8DKjN9U=</t>
  </si>
  <si>
    <t>INDUSTRIA Y MINERÍA;LEGISLACIÓN GENERAL;PROMOCIÓN Y DESARROLLO DE LAS COMUNIDADES REGIONALES;PROMOCIÓN Y DESARROLLO DE ECONOMÍAS REGIONALES Y PYMES</t>
  </si>
  <si>
    <t>Creando en el ámbito de la provincia, el programa "Marca Provincia de Córdoba" que promoverá políticas públicas orientadas a denominar el origen y promocionar la calidad de los bienes y servicios producidos en el territorio provincial.</t>
  </si>
  <si>
    <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</si>
  <si>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https://gld.legislaturacba.gob.ar/Publics/Actas.aspx?id=oAiBx-bhP_I=;https://gld.legislaturacba.gob.ar/Publics/Actas.aspx?id=y_aDywNOZ28=;https://gld.legislaturacba.gob.ar/Publics/Actas.aspx?id=7iPYs0mt9Cw=;https://gld.legislaturacba.gob.ar/Publics/Actas.aspx?id=WyDlY4evEQI=</t>
  </si>
  <si>
    <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</si>
  <si>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https://www.youtube.com/watch?v=sMFnvY2aojU</t>
  </si>
  <si>
    <t>https://gld.legislaturacba.gob.ar/Publics/Actas.aspx?id=4U5E4JZk_SE=;https://gld.legislaturacba.gob.ar/Publics/Actas.aspx?id=kpbnrjpsjFQ=;https://gld.legislaturacba.gob.ar/Publics/Actas.aspx?id=pocfJl7Mq1g=</t>
  </si>
  <si>
    <t>Modificando la Ley Nº 6006 (TO - 2021) Código Tributario, así como diversos artículos y sus modificatorias de las leyes Nros. 9024, 9187, 10724, 5330, 6394, 8652, 9150, 9342, 9420, 10381, 10454, 10649, 10752, 10679, 10738</t>
  </si>
  <si>
    <t>EDUCACIÓN, CULTURA, CIENCIA, TECNOLOGÍA E INFORMÁTICA;LEGISLACIÓN DEL TRABAJO, PREVISIÓN Y SEGURIDAD SOCIAL</t>
  </si>
  <si>
    <t>Sustituyendo el apartado "C" del artículo 27 del Decreto-Ley N° 1910/E/1957, referido a excepciones en cesantías automáticas de suplencias en cargos docentes</t>
  </si>
  <si>
    <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</si>
  <si>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https://www.youtube.com/watch?v=MEtwqeoPP_o&amp;t</t>
  </si>
  <si>
    <r>
      <rPr>
        <sz val="10"/>
        <color rgb="FF000000"/>
        <rFont val="Arial"/>
      </rPr>
      <t>https://gld.legislaturacba.gob.ar/Publics/Actas.aspx?id=DSUtC7LHlKg=</t>
    </r>
    <r>
      <rPr>
        <sz val="10"/>
        <color theme="1"/>
        <rFont val="Arial"/>
      </rPr>
      <t>;</t>
    </r>
    <r>
      <rPr>
        <sz val="10"/>
        <color rgb="FF000000"/>
        <rFont val="Arial"/>
      </rPr>
      <t>https://gld.legislaturacba.gob.ar/Publics/Actas.aspx?id=fiU1icXT9iA=</t>
    </r>
  </si>
  <si>
    <t>Solicitando acuerdo para designar al abogado Fernando López Villagra como Fiscal de Cámara en lo Criminal y Correccional en la Oficina de Fiscalía de Cámara Subrogrante del Centro Judicial Córdoba, perteneciente a la Primera Circunscripción Judicial con asiento en la ciudad de Córdoba.</t>
  </si>
  <si>
    <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</si>
  <si>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https://www.youtube.com/watch?v=0ZDQNIzWZwE&amp;t</t>
  </si>
  <si>
    <r>
      <rPr>
        <sz val="10"/>
        <color rgb="FF000000"/>
        <rFont val="Arial"/>
      </rPr>
      <t>https://gld.legislaturacba.gob.ar/Publics/Actas.aspx?id=o0WXVCNLu3Q=</t>
    </r>
    <r>
      <rPr>
        <sz val="10"/>
        <color theme="1"/>
        <rFont val="Arial"/>
      </rPr>
      <t>;</t>
    </r>
    <r>
      <rPr>
        <sz val="10"/>
        <color rgb="FF000000"/>
        <rFont val="Arial"/>
      </rPr>
      <t>https://gld.legislaturacba.gob.ar/Publics/Actas.aspx?id=4Syh2iwpXjU=</t>
    </r>
  </si>
  <si>
    <t>Solicitando acuerdo para designar a la abogada Lourdes Rafaela Quagliatti como Fiscal de Instrucción en la Fiscalía de Instrucción Distrito Dos, Primer Turno, perteneciente a la Primera Circunscripción Judicial con asiento en la ciudad de Córdoba</t>
  </si>
  <si>
    <t>Modificando la Ley Nº 9571 -Código Electoral Provincial- y la Ley Nº 9572 -Orgánica de los Partidos Políticos-, impidiendo las candidaturas a cargos electivos y partidarios de personas condenadas a penas privativas de la libertad con sentencia firme, por determinados tipos de delitos.</t>
  </si>
  <si>
    <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</si>
  <si>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https://www.youtube.com/watch?v=ZDK4JmkjkRM</t>
  </si>
  <si>
    <t>https://gld.legislaturacba.gob.ar/Publics/Actas.aspx?id=ft65MUU5nWI=;https://gld.legislaturacba.gob.ar/Publics/Actas.aspx?id=mRvYsNwwcHA=;https://gld.legislaturacba.gob.ar/Publics/Actas.aspx?id=lDvmQlS44mM=</t>
  </si>
  <si>
    <t>Creando el Programa de Promoción Industrial y Desarrollo de Clústeres Productivos de la Provincia de Córdoba.</t>
  </si>
  <si>
    <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</si>
  <si>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https://www.youtube.com/watch?v=f2qgxq6XRV4</t>
  </si>
  <si>
    <r>
      <rPr>
        <sz val="10"/>
        <color rgb="FF000000"/>
        <rFont val="Arial"/>
      </rPr>
      <t>https://gld.legislaturacba.gob.ar/Publics/Actas.aspx?id=srEQPgj190M=;</t>
    </r>
    <r>
      <rPr>
        <sz val="10"/>
        <color rgb="FF000000"/>
        <rFont val="Arial"/>
      </rPr>
      <t>https://gld.legislaturacba.gob.ar/Publics/Actas.aspx?id=lq0yZ26EM8k=</t>
    </r>
    <r>
      <rPr>
        <sz val="10"/>
        <color theme="1"/>
        <rFont val="Arial"/>
      </rPr>
      <t>;</t>
    </r>
    <r>
      <rPr>
        <sz val="10"/>
        <color rgb="FF000000"/>
        <rFont val="Arial"/>
      </rPr>
      <t>https://gld.legislaturacba.gob.ar/Publics/Actas.aspx?id=KQGxy3BovXo=</t>
    </r>
  </si>
  <si>
    <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</si>
  <si>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https://www.youtube.com/watch?v=5THPgphSsE8</t>
  </si>
  <si>
    <t>https://gld.legislaturacba.gob.ar/Publics/Actas.aspx?id=jZBqtkLucxg=;https://gld.legislaturacba.gob.ar/Publics/Actas.aspx?id=3usMNl4AZfM=</t>
  </si>
  <si>
    <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</si>
  <si>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https://www.youtube.com/watch?v=z6mVhcgywBY</t>
  </si>
  <si>
    <t>https://gld.legislaturacba.gob.ar/Publics/Actas.aspx?id=nyowBNqArE0=;https://gld.legislaturacba.gob.ar/Publics/Actas.aspx?id=bLsLl8J3uv8=;https://gld.legislaturacba.gob.ar/Publics/Actas.aspx?id=izucnWEehAg=</t>
  </si>
  <si>
    <t>Solicitando al Poder Ejecutivo informe (Art. 102 C.P.) sobre los inconvenientes de quienes contrataron con agencias de viajes que han sufrido las consecuencias de las medidas económicas por la pandemia Covid-19, así como las medidas adoptadas.</t>
  </si>
  <si>
    <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</si>
  <si>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https://www.youtube.com/watch?v=E9NU4IJ3MWY</t>
  </si>
  <si>
    <t>https://gld.legislaturacba.gob.ar/Publics/Actas.aspx?id=gE-JusxylqU=</t>
  </si>
  <si>
    <t>Solicitando acuerdo para designar al abogado Andrés Rubén Godoy como Fiscal de Instrucción en la Fiscalía de Instrucción Distrito Tres, Primer Turno, del Centro Judicial Córdoba, perteneciente a la Primera Circunscripción Judicial con asiento en la ciudad de Córdoba.</t>
  </si>
  <si>
    <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</si>
  <si>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https://gld.legislaturacba.gob.ar/Publics/Actas.aspx?id=WfSgx49K3is=</t>
  </si>
  <si>
    <t>Solicitando acuerdo para designar a la abogada María Celeste Blasco como Fiscal de Instrucción en la Fiscalía de Instrucción Distrito Uno, Quinto Turno, perteneciente a la Primera Circunscripción Judicial con asiento en la ciudad de Córdoba.</t>
  </si>
  <si>
    <t>Solicitando acuerdo para designar a la abogada María Florencia Espósito como Fiscal de Instrucción en la Fiscalía de Instrucción Distrito Dos, Quinto Turno, perteneciente a la Primera Circunscripción Judicial con asiento en la ciudad de Córdoba.</t>
  </si>
  <si>
    <t>Solicitando acuerdo para designar a la abogada Daniela Karina Maluf como Fiscal de Instrucción en la Oficina de Fiscalía de Instrucción Subrogante del Centro Judicial Córdoba, perteneciente a la Primera Circunscripción Judicial con asiento en la ciudad de Córdoba</t>
  </si>
  <si>
    <t>Solicitando acuerdo para designar a la abogada María Silvana Fernández como Fiscal de Instrucción en la Fiscalía de Instrucción Distrito Tres, Tercer Turno, perteneciente a la Primera Circunscripción Judicial con asiento en la ciudad de Córdoba.</t>
  </si>
  <si>
    <t>Solicitando acuerdo para designar a la abogada Paulina Lingua como Fiscal de Instrucción en la Fiscalía de Instrucción de Lucha contra el Narcotráfico de Segundo Turno, perteneciente a la Primera Circunscripción Judicial con asiento en la ciudad de Córdoba.</t>
  </si>
  <si>
    <t>PREVENCIÓN, TRATAMIENTO Y CONTROL DE LAS ADICCIONES;SALUD HUMANA</t>
  </si>
  <si>
    <t>Visita a la Comunidad Terapeutica de Santa Maria de Punilla</t>
  </si>
  <si>
    <t>https://gld.legislaturacba.gob.ar/Publics/Actas.aspx?id=49pcfDqVOmg=;https://gld.legislaturacba.gob.ar/Publics/Actas.aspx?id=5HtyuZNeseU=</t>
  </si>
  <si>
    <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</si>
  <si>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https://www.youtube.com/watch?v=dOKHcKXZ4lA</t>
  </si>
  <si>
    <r>
      <rPr>
        <sz val="10"/>
        <color rgb="FF000000"/>
        <rFont val="Arial"/>
      </rPr>
      <t>https://gld.legislaturacba.gob.ar/Publics/Actas.aspx?id=wgf_oPP6nfM=</t>
    </r>
    <r>
      <rPr>
        <sz val="10"/>
        <color theme="1"/>
        <rFont val="Arial"/>
      </rPr>
      <t>;</t>
    </r>
    <r>
      <rPr>
        <sz val="10"/>
        <color rgb="FF000000"/>
        <rFont val="Arial"/>
      </rPr>
      <t>https://gld.legislaturacba.gob.ar/Publics/Actas.aspx?id=ePV20AjbRBU=</t>
    </r>
    <r>
      <rPr>
        <sz val="10"/>
        <color theme="1"/>
        <rFont val="Arial"/>
      </rPr>
      <t>;</t>
    </r>
    <r>
      <rPr>
        <sz val="10"/>
        <color rgb="FF000000"/>
        <rFont val="Arial"/>
      </rPr>
      <t>https://gld.legislaturacba.gob.ar/Publics/Actas.aspx?id=tCflfyZD6yY=</t>
    </r>
  </si>
  <si>
    <t>AMBIENTE;ECONOMÍA, PRESUPUESTO, GESTIÓN PÚBLICA E INNOVACIÓN;INDUSTRIA Y MINERÍA;PROMOCIÓN Y DESARROLLO DE ECONOMÍAS REGIONALES Y PYMES</t>
  </si>
  <si>
    <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</si>
  <si>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https://www.youtube.com/watch?v=zZ8T21y6vOY</t>
  </si>
  <si>
    <t>https://gld.legislaturacba.gob.ar/Publics/Actas.aspx?id=BIBxLCUpBZc=;https://gld.legislaturacba.gob.ar/Publics/Actas.aspx?id=grKb3dmAvTc=;https://gld.legislaturacba.gob.ar/Publics/Actas.aspx?id=9B468fgT5rY=;https://gld.legislaturacba.gob.ar/Publics/Actas.aspx?id=wpsGQhvxgBs=</t>
  </si>
  <si>
    <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</si>
  <si>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https://www.youtube.com/watch?v=NAwNXcusuVs</t>
  </si>
  <si>
    <t>https://gld.legislaturacba.gob.ar/Publics/Actas.aspx?id=8yWCj-tylzM=;https://gld.legislaturacba.gob.ar/Publics/Actas.aspx?id=ciXLi16OkXY=;https://gld.legislaturacba.gob.ar/Publics/Actas.aspx?id=QW1BfD0z0xk=;https://gld.legislaturacba.gob.ar/Publics/Actas.aspx?id=lmasfc0WSwk=</t>
  </si>
  <si>
    <t>Solicitando acuerdo para designar al abogado Franco Daniel de Jesús Pilnik Erramouspe como Fiscal de Instrucción en la Fiscalía de Instrucción especializada en Cibercrimen, perteneciente a la Primera Circunscripción Judicial con asiento en la ciudad de Córdoba</t>
  </si>
  <si>
    <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</si>
  <si>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https://www.youtube.com/watch?v=yhQjW3QRn4w</t>
  </si>
  <si>
    <t>https://gld.legislaturacba.gob.ar/Publics/Actas.aspx?id=7pamQKt0-nw=</t>
  </si>
  <si>
    <t>Solicitando acuerdo para designar al abogado Luis Fernando Micheli como Fiscal de Instrucción en la Fiscalía de Instrucción Distrito Dos, Tercer Turno, perteneciente a la Primera Circunscripción Judicial con asiento en la ciudad de Córdoba</t>
  </si>
  <si>
    <t>Solicitando acuerdo para designar a la abogada Virginia Liendo, como Jueza de Control, Niñez, Adolescencia, Penal Juvenil y Faltas, en el Juzgado de Control, Niñez, Adolescencia Penal Juvenil y de Faltas, perteneciente a la Primera Circunscripción Judicial con asiento en la ciudad de Jesús María</t>
  </si>
  <si>
    <t>Solicitando acuerdo para designar al abogado Diego Ortiz, como Juez de Control en el Juzgado de Control del Centro Judicial, perteneciente a la Segunda Circunscripción Judicial con asiento en la ciudad de Río Cuarto.</t>
  </si>
  <si>
    <t>Solicitando acuerdo para designar al abogado Bruno Javier Bonafina, como Juez de Control, Niñez, Adolescencia, Penal Juvenil y Faltas en el Juzgado de Control, Niñez, Adolescencia, Penal Juvenil y Faltas, perteneciente a la Novena Circunscripción Judicial con asiento en la ciudad de Deán Funes</t>
  </si>
  <si>
    <t>Solicitando acuerdo para designar al abogado Sebastián Ignacio Moro, como Juez de Control, Niñez, Adolescencia, Penal Juvenil, Violencia Familiar y de Género y Faltas, en el Juzgado de Control, Niñez, Adolescencia, Penal Juvenil, Violencia Familiar y de Género y Faltas, perteneciente a la Octava Circunscripción Judicial con asiento en la ciudad de Laboulaye</t>
  </si>
  <si>
    <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</si>
  <si>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https://www.youtube.com/watch?v=LeYEeg9oMmE</t>
  </si>
  <si>
    <t>https://gld.legislaturacba.gob.ar/Publics/Actas.aspx?id=2xB9mmGYACQ=;https://gld.legislaturacba.gob.ar/Publics/Actas.aspx?id=3sSZVdjyzWc=;https://gld.legislaturacba.gob.ar/Publics/Actas.aspx?id=mJikP0nd_cs=</t>
  </si>
  <si>
    <t>Violencia de género en entornos digitales</t>
  </si>
  <si>
    <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</si>
  <si>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https://www.youtube.com/watch?v=gFv7xWp2ZZA</t>
  </si>
  <si>
    <t>https://gld.legislaturacba.gob.ar/Publics/Actas.aspx?id=p0IR4fOJjfo=</t>
  </si>
  <si>
    <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</si>
  <si>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https://www.youtube.com/watch?v=ECY4CsWMPsg</t>
  </si>
  <si>
    <t>https://gld.legislaturacba.gob.ar/Publics/Actas.aspx?id=TdSGCPqaXWc=;https://gld.legislaturacba.gob.ar/Publics/Actas.aspx?id=mFPpfsbTBhI=</t>
  </si>
  <si>
    <t>Creando el Programa de Promoción Industrial y Desarrollo de Clústeres Productivos de la Provincia de Córdoba</t>
  </si>
  <si>
    <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</si>
  <si>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https://www.youtube.com/watch?v=Ic2x24zNtKY</t>
  </si>
  <si>
    <t>https://gld.legislaturacba.gob.ar/Publics/Actas.aspx?id=4faQmedo_qM=;https://gld.legislaturacba.gob.ar/Publics/Actas.aspx?id=LSS08cIqf3Q=;https://gld.legislaturacba.gob.ar/Publics/Actas.aspx?id=zogP2NPMbs0=;https://gld.legislaturacba.gob.ar/Publics/Actas.aspx?id=qmw-ZpsrreU=</t>
  </si>
  <si>
    <t>Solicitando acuerdo para designar al abogado Sergio Ariel Ponce, como Juez de Control en el Juzgado de Control, perteneciente a la Sexta Circunscripción Judicial con asiento en la ciudad de Villa Dolores</t>
  </si>
  <si>
    <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</si>
  <si>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https://www.youtube.com/watch?v=ohIgBDHbLIY</t>
  </si>
  <si>
    <t>https://gld.legislaturacba.gob.ar/Publics/Actas.aspx?id=NCEWmsec9Js=</t>
  </si>
  <si>
    <t>Solicitando acuerdo para designar al abogado Ramiro José Núñez, como Juez de Control, Niñez, Adolescencia, Penal Juvenil y Faltas en el Juzgado de Control, Niñez, Adolescencia, Penal Juvenil y Faltas, perteneciente a la Séptima Circunscripción Judicial con asiento en la ciudad de Cosquín.</t>
  </si>
  <si>
    <t>Solicitando acuerdo para designar al abogado Fabricio Girardi, como Juez de Control en el Juzgado de Control, perteneciente a la Quinta Circunscripción Judicial con asiento en la ciudad de San Francisco</t>
  </si>
  <si>
    <t>Solicitando acuerdo para designar al abogado Joaquín Gómez Miralles, como Juez de Control, Niñez, Adolescencia, Penal Juvenil, Violencia Familiar y de Género y Faltas en el Juzgado de Control, Niñez, Adolescencia, Penal Juvenil, Violencia Familiar y Género y Faltas, perteneciente a la Tercera Circunscripción Judicial con asiento en la ciudad de Marcos Juárez.</t>
  </si>
  <si>
    <t>Solicitando acuerdo para designar al abogado Carlos Enrique Palacio Laje, como Vocal de Cámara en lo Criminal y Correccional en la Cámara en lo Criminal y Correccional de 10ª Nominación, perteneciente a la Primera Circunscripción Judicial con asiento en la ciudad de Córdoba</t>
  </si>
  <si>
    <t>Solicitando acuerdo para designar a la abogada María Gabriela Rojas Moresi, como Vocal de Cámara en lo Criminal y Correccional en la Cámara en lo Criminal y Correccional de 11ª Nominación, perteneciente a la Primera Circunscripción Judicial con asiento en la ciudad de Córdoba</t>
  </si>
  <si>
    <t>Solicitando acuerdo para designar al abogado Juan Fernando Ávila Echenique, como Fiscal de Instrucción “reemplazante” en la Fiscalía de Instrucción, perteneciente a la Quinta Circunscripción Judicial con asiento en la ciudad de Morteros.</t>
  </si>
  <si>
    <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</si>
  <si>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https://gld.legislaturacba.gob.ar/Publics/Actas.aspx?id=StyzO2rRUsM=;https://gld.legislaturacba.gob.ar/Publics/Actas.aspx?id=FiStZm2gvOQ=;https://gld.legislaturacba.gob.ar/Publics/Actas.aspx?id=Us2-IWQLlUU=;https://gld.legislaturacba.gob.ar/Publics/Actas.aspx?id=EJVuPrAjXik=</t>
  </si>
  <si>
    <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</si>
  <si>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https://gld.legislaturacba.gob.ar/Publics/Actas.aspx?id=un_TMZZNvmM=;https://gld.legislaturacba.gob.ar/Publics/Actas.aspx?id=jxyySxdN7RA=</t>
  </si>
  <si>
    <t>https://www.youtube.com/watch?v=RIlCrqnWAuU</t>
  </si>
  <si>
    <t>https://gld.legislaturacba.gob.ar/Publics/Actas.aspx?id=xe8l6umojo8=;https://gld.legislaturacba.gob.ar/Publics/Actas.aspx?id=3amSxP7naSI=</t>
  </si>
  <si>
    <t>LEGISLACIÓN GENERAL;OBRAS PÚBLICAS, VIVIENDA Y COMUNICACIONES;SERVICIOS PÚBLICOS</t>
  </si>
  <si>
    <t>Iniciado por el Poder Ejecutivo, 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</si>
  <si>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</si>
  <si>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https://www.youtube.com/watch?v=1SMmSOFczUo</t>
  </si>
  <si>
    <t>https://gld.legislaturacba.gob.ar/Publics/Actas.aspx?id=8vkNQYOqbXw=;https://gld.legislaturacba.gob.ar/Publics/Actas.aspx?id=U1-x8cztYwE=;https://gld.legislaturacba.gob.ar/Publics/Actas.aspx?id=yyovZZ_hiaM=</t>
  </si>
  <si>
    <t>LEGISLACIÓN GENERAL;TURISMO Y SU RELACIÓN CON EL DESARROLLO REGIONAL</t>
  </si>
  <si>
    <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</si>
  <si>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https://gld.legislaturacba.gob.ar/Publics/Actas.aspx?id=BNnqYyqpa68=;https://gld.legislaturacba.gob.ar/Publics/Actas.aspx?id=8zlvkhnbYr8=</t>
  </si>
  <si>
    <t>ECONOMÍA, PRESUPUESTO, GESTIÓN PÚBLICA E INNOVACIÓN;EDUCACIÓN, CULTURA, CIENCIA, TECNOLOGÍA E INFORMÁTICA;LEGISLACIÓN GENERAL</t>
  </si>
  <si>
    <t>Regulando la actividad de juegos "on line" en sus distintas modalidades, en el ámbito de la provincia de Córdoba.</t>
  </si>
  <si>
    <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</si>
  <si>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https://www.youtube.com/watch?v=0KHVoD7Sm10</t>
  </si>
  <si>
    <t>https://gld.legislaturacba.gob.ar/Publics/Actas.aspx?id=RYvSStNWDVI=;https://gld.legislaturacba.gob.ar/Publics/Actas.aspx?id=aKdUFWlTuTQ=;https://gld.legislaturacba.gob.ar/Publics/Actas.aspx?id=-iO8dahwLKo=</t>
  </si>
  <si>
    <t>Solicitando acuerdo para designar a la abogada Sofía Andrea Keselman Procúpez como Vocal de Cámara Laboral en la Sala Segunda de la Cá-mara Única del Trabajo, perteneciente a la Primera Circunscripción Judicial con asiento en la ciudad de Córdoba</t>
  </si>
  <si>
    <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</si>
  <si>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https://www.youtube.com/watch?v=k9GjhlB2x3c</t>
  </si>
  <si>
    <t>https://gld.legislaturacba.gob.ar/Publics/Actas.aspx?id=pp_bmZ2OYUk=</t>
  </si>
  <si>
    <t>Solicitando acuerdo para designar al abogado Juan Facundo Quiroga Contreras como Vocal de Cámara Laboral, en la Sala Décima de la Cámara Única del Trabajo, perteneciente a la Primera Circunscripción Judicial con asiento en la ciudad de Córdoba</t>
  </si>
  <si>
    <t>Solicitando acuerdo para designar al abogado Gustavo Daniel Toledo como Vocal de Cámara Laboral, en la Sala Novena de la Cámara Única del Trabajo, perteneciente a la Primera Circunscripción Judicial con asiento en la ciudad de Córdoba</t>
  </si>
  <si>
    <t>Solicitando acuerdo para designar al abogado Leonardo Oscar L’Argentiere como Vocal de Cámara Laboral, de la Sala Undécima de la Cámara Única del Trabajo perteneciente a la Primera Circunscripción Judicial con asiento en la ciudad de Córdoba.</t>
  </si>
  <si>
    <t>Solicitando acuerdo para designar a la abogada María Carolina Adela Fathala Trossero como Vocal de Cámara Laboral, en la Sala Tercera de la Cámara Única del Trabajo, perteneciente a la Primera Circunscrip-ción Judicial con asiento en la ciudad de Córdoba</t>
  </si>
  <si>
    <t>Solicitando acuerdo para designar a la abogada María Cecilia Busleiman como Vocal de Cámara Laboral, en la Sala Segunda de la Cámara Única del Trabajo, perteneciente a la Primera Circunscripción Judicial con asiento en la ciudad de Córdoba</t>
  </si>
  <si>
    <t>Solicitando acuerdo para designar al abogado Ricardo León Chercoles como Vocal de Cámara Laboral, en la Sala Cuarta de la Cámara Única del Trabajo, perteneciente a la Primera Circunscripción Judicial con asiento en la ciudad de Córdoba</t>
  </si>
  <si>
    <t>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</si>
  <si>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</si>
  <si>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https://www.youtube.com/watch?v=x-RSjRenOGQ</t>
  </si>
  <si>
    <t>https://gld.legislaturacba.gob.ar/Publics/Actas.aspx?id=lN5yBtC2pp8=;https://gld.legislaturacba.gob.ar/Publics/Actas.aspx?id=3sqBt4fuH8I=;https://gld.legislaturacba.gob.ar/Publics/Actas.aspx?id=TMKpFFmJ-Tc=</t>
  </si>
  <si>
    <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</si>
  <si>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https://www.youtube.com/watch?v=a0t-RI6dfbU</t>
  </si>
  <si>
    <t>https://gld.legislaturacba.gob.ar/Publics/Actas.aspx?id=UkCJ7P74Cp0=;https://gld.legislaturacba.gob.ar/Publics/Actas.aspx?id=ioPa_xH4XXI=;https://gld.legislaturacba.gob.ar/Publics/Actas.aspx?id=caRyUdQNdR4=</t>
  </si>
  <si>
    <t>Citando al Sr. Ministro de Justicia y Derechos Humanos (Art. 101 C.P.) para que informe sobre distintos aspectos de la problemática de la violencia intrafamiliar y maltrato infantil y la intervención concreta de la Secretaría de Niñez, Adolescencia y Familia en los casos detectados.</t>
  </si>
  <si>
    <t>Si</t>
  </si>
  <si>
    <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</si>
  <si>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https://gld.legislaturacba.gob.ar/Publics/Actas.aspx?id=oYsi31GegCo=</t>
  </si>
  <si>
    <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</si>
  <si>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https://www.youtube.com/watch?v=3n5fA_YwBoM</t>
  </si>
  <si>
    <t>https://gld.legislaturacba.gob.ar/Publics/Actas.aspx?id=7P2toU_e3tc=</t>
  </si>
  <si>
    <t>LEGISLACIÓN GENERAL;ASUNTOS INSTITUCIONALES, MUNICIPALES Y COMUNALES</t>
  </si>
  <si>
    <t>Modificando el radio municipal de la localidad de Italó, Departamento General Roca.</t>
  </si>
  <si>
    <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</si>
  <si>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https://www.youtube.com/watch?v=ormC49K7nBg</t>
  </si>
  <si>
    <t>https://gld.legislaturacba.gob.ar/Publics/Actas.aspx?id=CweL-6hdPQ4=;https://gld.legislaturacba.gob.ar/Publics/Actas.aspx?id=04wN2jZHlHM=</t>
  </si>
  <si>
    <t>ECONOMÍA, PRESUPUESTO, GESTIÓN PÚBLICA E INNOVACIÓN;DERECHOS HUMANOS Y DESARROLLO SOCIAL</t>
  </si>
  <si>
    <t>Declarando de utilidad pública y sujetos a expropiación distintos inmuebles ubicados en Barrio Las Flores, Sección Ameghino “A”, asentamiento denominado "Villa La Tela" de la ciudad de Córdoba, con el objeto de su regularización dominial y saneamiento de títulos.</t>
  </si>
  <si>
    <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</si>
  <si>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https://www.youtube.com/watch?v=WTEintlJ2BU</t>
  </si>
  <si>
    <t>https://gld.legislaturacba.gob.ar/Publics/Actas.aspx?id=_IAMwlVivao=;https://gld.legislaturacba.gob.ar/Publics/Actas.aspx?id=RPOkn2gov8U=</t>
  </si>
  <si>
    <t>Ratificando el "Consenso Fiscal 2021" celebrado entre el Estado Nacional, la Provincia de Córdoba y demás provincias suscribientes, de fecha 27 de diciembre de 2021.</t>
  </si>
  <si>
    <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</si>
  <si>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https://www.youtube.com/watch?v=OfcwC_9ek5o</t>
  </si>
  <si>
    <t>https://gld.legislaturacba.gob.ar/Publics/Actas.aspx?id=7bwOoBKkoWY=</t>
  </si>
  <si>
    <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</si>
  <si>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https://www.youtube.com/watch?v=HAvjNzL8MgM</t>
  </si>
  <si>
    <t>https://gld.legislaturacba.gob.ar/Publics/Actas.aspx?id=dCFAsvhKW6M=;https://gld.legislaturacba.gob.ar/Publics/Actas.aspx?id=JrBDxIcDyJo=</t>
  </si>
  <si>
    <t>Modificando el radio municipal de la localidad de Noetinger, Departamento Unión.</t>
  </si>
  <si>
    <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</si>
  <si>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https://www.youtube.com/watch?v=CCAfByfE6yI</t>
  </si>
  <si>
    <t>https://gld.legislaturacba.gob.ar/Publics/Actas.aspx?id=IOJBEyo2tgo=;https://gld.legislaturacba.gob.ar/Publics/Actas.aspx?id=kQTTtivnsCI=</t>
  </si>
  <si>
    <t>Solicitando acuerdo para designar al abogado Guillermo Joselín Cerda López, como Juez de Conciliación y del Trabajo en el Juzgado de Conciliación y del Trabajo de 1ª Nominación, perteneciente a la Primera Circunscripción Judicial con asiento en la ciudad de Córdoba.</t>
  </si>
  <si>
    <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</si>
  <si>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https://www.youtube.com/watch?v=CSO6Q3-O8Jo</t>
  </si>
  <si>
    <t>https://gld.legislaturacba.gob.ar/Publics/Actas.aspx?id=iVZBoTy5gdA=</t>
  </si>
  <si>
    <t>Solicitando acuerdo para designar a la abogada María de los Ángeles Morello, como Jueza de Conciliación y del Trabajo en el Juzgado de Conciliación y del Trabajo de 9ª Nominación, perteneciente a la Primera Circunscripción Judicial con asiento en la ciudad de Córdoba.</t>
  </si>
  <si>
    <t>Solicitando acuerdo para designar al abogado Álvaro Cuenca, como Juez de Conciliación y del Trabajo en el Juzgado de Conciliación y del Trabajo de 2ª Nominación, perteneciente a la Primera Circunscripción Judicial con asiento en la ciudad de Córdoba.</t>
  </si>
  <si>
    <t>Fijar agenda y cronograma de actividades de la comisión.</t>
  </si>
  <si>
    <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</si>
  <si>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https://www.youtube.com/watch?v=TW1TavWcgYU</t>
  </si>
  <si>
    <t>https://gld.legislaturacba.gob.ar/Publics/Actas.aspx?id=ceja36M45po=</t>
  </si>
  <si>
    <t>Solicitando acuerdo para designar al abogado Andrés Matías Moreno, como Vocal de Cámara Laboral en la Cámara del Trabajo, perteneciente a la Cuarta Circunscripción Judicial con asiento en la ciudad de Villa María.</t>
  </si>
  <si>
    <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</si>
  <si>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https://www.youtube.com/watch?v=1k406hRGYWM</t>
  </si>
  <si>
    <t>https://gld.legislaturacba.gob.ar/Publics/Actas.aspx?id=1CEIVmy1Vfs=</t>
  </si>
  <si>
    <t>Solicitando acuerdo para designar al abogado Carlos Matías De Falco, como Vocal de Cámara Laboral en la Cámara del Trabajo, perteneciente a la Cuarta Circunscripción Judicial con asiento en la ciudad de Villa María.</t>
  </si>
  <si>
    <t>LEGISLACIÓN GENERAL;ASUNTOS CONSTITUCIONALES, JUSTICIA Y ACUERDOS;ECONOMÍA, PRESUPUESTO, GESTIÓN PÚBLICA E INNOVACIÓN</t>
  </si>
  <si>
    <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</si>
  <si>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https://www.youtube.com/watch?v=oPr42jh4l2g</t>
  </si>
  <si>
    <t>https://gld.legislaturacba.gob.ar/Publics/Actas.aspx?id=aniw85wvOYg=;https://gld.legislaturacba.gob.ar/Publics/Actas.aspx?id=20OSoX9bKV8=;https://gld.legislaturacba.gob.ar/Publics/Actas.aspx?id=O5i0_uHY1HY=</t>
  </si>
  <si>
    <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</si>
  <si>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https://www.youtube.com/watch?v=cy5zTvFOZNU</t>
  </si>
  <si>
    <t>https://gld.legislaturacba.gob.ar/Publics/Actas.aspx?id=Odv8BFo0s_k=</t>
  </si>
  <si>
    <t>Modificando el radio municipal de la localidad de Plaza Luxardo, Departament San Justo</t>
  </si>
  <si>
    <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</si>
  <si>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https://www.youtube.com/watch?v=9yHkvDFO8aU</t>
  </si>
  <si>
    <t>https://gld.legislaturacba.gob.ar/Publics/Actas.aspx?id=N15b07RQ_rs=</t>
  </si>
  <si>
    <t>Modificando el radio municipal de la localidad de Plaza Luxardo, Departamento San Justo</t>
  </si>
  <si>
    <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</si>
  <si>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https://www.youtube.com/watch?v=Lq41TFeOyKM</t>
  </si>
  <si>
    <t>https://gld.legislaturacba.gob.ar/Publics/Actas.aspx?id=usH9e5uYKYQ=</t>
  </si>
  <si>
    <t>Ratificando el Decreto N° 1485/21 modificatorio del Decreto N° 1615/19, que se encuentra ratificado por Ley N° 10.726, que establece la Estructura Orgánica del Poder Ejecutivo de la Provincia y modificando los artículos 1° y 8° de la Ley N° 10115 - creación de la Policía Ambiental de la Provincia-.</t>
  </si>
  <si>
    <t>Solicitando acuerdo para designar a la abogada María Soledad Puigdellibol, como Vocal de la Cámara Contencioso Administrativa de 2ª Nominación, perteneciente a la Primera Circunscripción Judicial con asiento en la ciudad de Córdoba</t>
  </si>
  <si>
    <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</si>
  <si>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https://www.youtube.com/watch?v=jkZf1V4UblU</t>
  </si>
  <si>
    <t>https://gld.legislaturacba.gob.ar/Publics/Actas.aspx?id=EFF1kz-82zU=</t>
  </si>
  <si>
    <t>Solicitando acuerdo para designar al abogado Pablo Martín Grassis, como Vocal de Cámara Laboral en la Cámara del Trabajo, perteneciente a la Segunda Circunscripción Judicial con asiento en la ciudad de Río Cuarto</t>
  </si>
  <si>
    <t>Solicitando acuerdo para designar al abogado Víctor Daniel Recalde, como Juez de Conciliación y del Trabajo en el Juzgado de Conciliación y del Trabajo de 2ª Nominación, perteneciente a la Segunda Circunscripción Judicial con asiento en la ciudad de Río Cuarto</t>
  </si>
  <si>
    <t>Solicitando acuerdo para designar al abogado Pablo Agustín Cafferata, como Juez de Control y Faltas en el Juzgado de Control y Faltas Número Tres, perteneciente a la Primera Circunscripción Judicial con asiento en la ciudad de Córdoba</t>
  </si>
  <si>
    <t>Solicitando acuerdo para designar a la abogada Flavia Raquel Parrucci, como Asesora Letrada de Niñez, Adolescencia, Violencia Familiar y de Género, perteneciente a la Séptima Circunscripción Judicial con asiento en la ciudad de Cosquín</t>
  </si>
  <si>
    <t>Modificando el radio municipal de la localidad de Pascanas, Dpto. Union</t>
  </si>
  <si>
    <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</si>
  <si>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https://www.youtube.com/watch?v=2ztWGDKp-vM</t>
  </si>
  <si>
    <t>https://gld.legislaturacba.gob.ar/Publics/Actas.aspx?id=3Wo6yHPgUPQ=</t>
  </si>
  <si>
    <t>Elección de Presidente de Comisión</t>
  </si>
  <si>
    <t>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t>
  </si>
  <si>
    <t>https://www.youtube.com/watch?v=3VqpupDkTas</t>
  </si>
  <si>
    <t>https://gld.legislaturacba.gob.ar/Publics/Actas.aspx?id=8p1nhiia4Zw=</t>
  </si>
  <si>
    <t>Informe Sanitario y brindar respuesta a distintos pedidos de informes con estado parlamentario</t>
  </si>
  <si>
    <t>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</si>
  <si>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https://www.youtube.com/watch?v=jLSdFtcmTVk</t>
  </si>
  <si>
    <t>https://gld.legislaturacba.gob.ar/Publics/Actas.aspx?id=L36J39d-lIg=</t>
  </si>
  <si>
    <t>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</si>
  <si>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https://www.youtube.com/watch?v=RA1IQw5hEVU</t>
  </si>
  <si>
    <t>https://gld.legislaturacba.gob.ar/Publics/Actas.aspx?id=YsvpWmoxxI0=</t>
  </si>
  <si>
    <t>Modificando el radio municipal de la localidad de Villa Las Rosas, Dpto. San Javier.</t>
  </si>
  <si>
    <t>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</si>
  <si>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https://www.youtube.com/watch?v=C9h90xYtShY</t>
  </si>
  <si>
    <t>https://gld.legislaturacba.gob.ar/Publics/Actas.aspx?id=DGho2Zhi_Dg=</t>
  </si>
  <si>
    <t>LEGISLACIÓN GENERAL;AMBIENTE</t>
  </si>
  <si>
    <t>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</si>
  <si>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https://www.youtube.com/watch?v=Vf5KMzjkTI4</t>
  </si>
  <si>
    <t>https://gld.legislaturacba.gob.ar/Publics/Actas.aspx?id=ZByNTvKZ5ao=;https://gld.legislaturacba.gob.ar/Publics/Actas.aspx?id=F9JwTZE2cnI=</t>
  </si>
  <si>
    <t>Solicitando se retire el reconocimiento otorgado por esta Legislatura a la trayectoria del Sr. Diego Concha, ex Director de Defensa Civil de la Provincia</t>
  </si>
  <si>
    <t>Repudiando los acontecimientos que involucran al ex Jefe Provincial de Defensa Civil, Diego Concha, y solicitando la revocación del reconocimiento otorgado por esta Legislatura.</t>
  </si>
  <si>
    <t>Cuestiones referidas a la competencia del Ministerio de Educación, brindar respuesta a disitintos pedidos de informes con estado parmalamentario</t>
  </si>
  <si>
    <t>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</si>
  <si>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https://www.youtube.com/watch?v=hYSKvl7cifY</t>
  </si>
  <si>
    <t>https://gld.legislaturacba.gob.ar/Publics/Actas.aspx?id=hrtzF3goJQQ=</t>
  </si>
  <si>
    <t>SALUD HUMANA;PREVENCIÓN, TRATAMIENTO Y CONTROL DE LAS ADICCIONES</t>
  </si>
  <si>
    <t>Cocaina Adulterada</t>
  </si>
  <si>
    <t>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</si>
  <si>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https://www.youtube.com/watch?v=SwJ0AGeVylQ</t>
  </si>
  <si>
    <t>https://gld.legislaturacba.gob.ar/Publics/Actas.aspx?id=Nz5792MvmaA=;https://gld.legislaturacba.gob.ar/Publics/Actas.aspx?id=1Nan22qFmTg=</t>
  </si>
  <si>
    <t>Solicitando acuerdo para designar a la abogada Cintia Soledad Cena, como Asesora Letrada de Niñez, Adolescencia, Violencia Familiar y de Género en la Asesoría Itinerante de Niñez, Adolescencia, Violencia Familiar y de Género para las sedes de Alta Gracia y Río Tercero</t>
  </si>
  <si>
    <t>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</si>
  <si>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https://www.youtube.com/watch?v=McDIKNZ5Pz8</t>
  </si>
  <si>
    <t>https://gld.legislaturacba.gob.ar/Publics/Actas.aspx?id=zCg0MifoKuQ=</t>
  </si>
  <si>
    <t>Solicitando acuerdo para designar a la abogada Mirna Eliana López, como Asesora Letrada de Niñez, Adolescencia, Violencia Familiar y de Género en la Asesoría Itinerante de Niñez, Adolescencia, Violencia Familiar y de Género para las sedes de Jesús María y Deán Funes</t>
  </si>
  <si>
    <t>LEGISLACIÓN GENERAL;ASUNTOS CONSTITUCIONALES, JUSTICIA Y ACUERDOS</t>
  </si>
  <si>
    <t>Reemplazando el Anexo I de la Ley N° 9235 de Seguridad Pública para la Provincia de Córdoba, y modificando los artículos 42 y 43 de la misma Ley</t>
  </si>
  <si>
    <t>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</si>
  <si>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https://www.youtube.com/watch?v=UdwnG4NU-FE</t>
  </si>
  <si>
    <t>https://gld.legislaturacba.gob.ar/Publics/Actas.aspx?id=IoMn6Mdp6FM=;https://gld.legislaturacba.gob.ar/Publics/Actas.aspx?id=tZfwZ9WeUZ4=</t>
  </si>
  <si>
    <t>Modificando el radio municipal de la localidad de Villa de las Rosas</t>
  </si>
  <si>
    <t>Modificando el Art. 1 de la Ley N° 10003, suspendiendo hasta el 31 de marzo de 2023 las ejecuciones que persigan la subasta de bienes inmuebles propiedad de las Asociaciones Civiles, Clubes o Entidades sin Fines de Lucro.</t>
  </si>
  <si>
    <t>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</si>
  <si>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https://www.youtube.com/watch?v=SATmszd9LTQ</t>
  </si>
  <si>
    <t>https://gld.legislaturacba.gob.ar/Publics/Actas.aspx?id=siL8zYfnNSc=</t>
  </si>
  <si>
    <t>Implementando espacios amigables de lactancia en instituciones del sector público y privado</t>
  </si>
  <si>
    <t>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</si>
  <si>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https://www.youtube.com/watch?v=6howXqxnqQA</t>
  </si>
  <si>
    <t>https://gld.legislaturacba.gob.ar/Publics/Actas.aspx?id=xOj1r6HNrNI=</t>
  </si>
  <si>
    <t>Promoviendo y acompañando la lactancia materna en espacios públicos y privados</t>
  </si>
  <si>
    <t>Regulando la licencia por maternidad, por paternidad y universal por hijo recién nacido</t>
  </si>
  <si>
    <t>Fijar Agenda y cronograma de actividades de la Comisión</t>
  </si>
  <si>
    <t>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</si>
  <si>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https://www.youtube.com/watch?v=I8AUPn3nfdk</t>
  </si>
  <si>
    <t>https://gld.legislaturacba.gob.ar/Publics/Actas.aspx?id=dbduHshi-oU=</t>
  </si>
  <si>
    <t>Economías Regionales, Parques Industriales y Desarrollo de las actividades llevadas a cabo por el Ministerio de Industria</t>
  </si>
  <si>
    <t>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</si>
  <si>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https://www.youtube.com/watch?v=9o6c-dvzw4I</t>
  </si>
  <si>
    <t>https://gld.legislaturacba.gob.ar/Publics/Actas.aspx?id=vq_h92e6vkU=;https://gld.legislaturacba.gob.ar/Publics/Actas.aspx?id=jTWA2aW8Np8=</t>
  </si>
  <si>
    <t>Modificando el radio municipal de la localidad de Villa Giardino, Dpto. Punilla</t>
  </si>
  <si>
    <t>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</si>
  <si>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https://www.youtube.com/watch?v=gmBo4Qz2raE</t>
  </si>
  <si>
    <t>https://gld.legislaturacba.gob.ar/Publics/Actas.aspx?id=XFhqoAxBThQ=</t>
  </si>
  <si>
    <t>Donando a favor de Abuelas de Plaza de Mayo Asociación Civil un inmueble de propiedad de la Provincia de Córdoba, ubicado en calle Bernardino Rivadavia N° 63, 69, 75 y 77 de la ciudad de Córdoba, Dpto. Capital</t>
  </si>
  <si>
    <t>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</si>
  <si>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https://www.youtube.com/watch?v=bxt656sT_PM</t>
  </si>
  <si>
    <t>https://gld.legislaturacba.gob.ar/Publics/Actas.aspx?id=oNYlzCy9m8g=</t>
  </si>
  <si>
    <t>Designando con el nombre "Memoria, Verdad y Justicia" al tramo de la colectora Ruta Nacional 20 Autopista Córdoba-Carlos Paz, entre el Km 12 y el acceso Yocsina-Malagueño, por el que se ingresa al Espacio para la Memoria “La Perla”</t>
  </si>
  <si>
    <t>Solicitando acuerdo para designar al abogado Gustavo Alejandro Gómez, como Asesor Letrado de Niñez, Adolescencia, Violencia Familiar y de Género en la Asesoría Itinerante de Niñez, Adolescencia, Violencia Familiar y de Género para las sedes de Villa Dolores y Cura Brochero</t>
  </si>
  <si>
    <t>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</si>
  <si>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https://www.youtube.com/watch?v=qW9rwFjCGNg</t>
  </si>
  <si>
    <t>https://gld.legislaturacba.gob.ar/Publics/Actas.aspx?id=U_NcY2N3mrE=</t>
  </si>
  <si>
    <t>Solicitando acuerdo para designar a la abogada María Verónica Ruiu, como Asesora Letrada de Niñez, Adolescencia, Violencia Familiar y de Género en la Asesoría Itinerante de Niñez, Adolescencia, Violencia Familiar y de Género para las sedes de Carlos Paz y Río Segundo</t>
  </si>
  <si>
    <t>Solicitando acuerdo para designar a la abogada Ana Paula Celiz, como Asesora Letrada de Niñez, Adolescencia, Violencia Familiar y de Género, perteneciente a la Segunda Circunscripción Judicial con asiento en la ciudad de Río Cuarto</t>
  </si>
  <si>
    <t>AMBIENTE;SERVICIOS PÚBLICOS;AGRICULTURA, GANADERÍA Y RECURSOS RENOVABLES;PROMOCIÓN Y DESARROLLO DE LAS COMUNIDADES REGIONALES</t>
  </si>
  <si>
    <t>Visita a la Planta Bio 4 (Bioetanol Rio Cuarto S.A) de la localidad de Rio Cuarto, para analizar la situación del sector agroindustrial y del bioetanol en particular</t>
  </si>
  <si>
    <t>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</si>
  <si>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https://gld.legislaturacba.gob.ar/Publics/Actas.aspx?id=z9uDSoPEnjk=;https://gld.legislaturacba.gob.ar/Publics/Actas.aspx?id=AC0OtZ7Zjq8=;https://gld.legislaturacba.gob.ar/Publics/Actas.aspx?id=IVADnGT9Tfg=;https://gld.legislaturacba.gob.ar/Publics/Actas.aspx?id=jjhK7lufJls=</t>
  </si>
  <si>
    <t>LEGISLACIÓN GENERAL;DERECHOS HUMANOS Y DESARROLLO SOCIAL</t>
  </si>
  <si>
    <t>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</si>
  <si>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https://www.youtube.com/watch?v=Nyeasa61Qpc</t>
  </si>
  <si>
    <t>https://gld.legislaturacba.gob.ar/Publics/Actas.aspx?id=Vtin_cSbkOY=;https://gld.legislaturacba.gob.ar/Publics/Actas.aspx?id=UNiDKaYO96g=</t>
  </si>
  <si>
    <t>Visita al "Complejo Esperanza" y al Centro Socioeducativo para adolescentes Mujeres (CeSAM)</t>
  </si>
  <si>
    <t>https://gld.legislaturacba.gob.ar/Publics/Actas.aspx?id=TPbr0_k2yUY=</t>
  </si>
  <si>
    <t>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</si>
  <si>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https://www.youtube.com/watch?v=4VFSpl8AzPA</t>
  </si>
  <si>
    <t>https://gld.legislaturacba.gob.ar/Publics/Actas.aspx?id=VOiB0FvDC8s=</t>
  </si>
  <si>
    <t>Modificando el radio municipal de la localidad de Pascanas, Dpto. Unión.</t>
  </si>
  <si>
    <t>Modificando el radio municipal de la localidad de Villa Giardino, Dpto. Punilla.</t>
  </si>
  <si>
    <t>Citando al Directorio del E.R.Se.P para que informe las acciones realizadas como autoridad de aplicación de la Ley Nº 10281, de Seguridad Eléctrica, especialmente sobre sus prórrogas y respecto de municipios y comunas que no presentaron plan de adecuación</t>
  </si>
  <si>
    <t>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</si>
  <si>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https://www.youtube.com/watch?v=-lXsmhPTxUg</t>
  </si>
  <si>
    <t>https://gld.legislaturacba.gob.ar/Publics/Actas.aspx?id=Nemub8280PQ=</t>
  </si>
  <si>
    <t>Solicitando al Poder Ejecutivo informe, a través del ERSeP y de la EPEC, (Art. 102 C.P.) sobre la entrada en vigencia de la Ley Nº 10281, de Seguridad Eléctrica y respecto al control en espacios públicos en los que la EPEC tiene jurisdicción</t>
  </si>
  <si>
    <t>Declarando de utilidad pública y sujetos a expropiación, para la regularización dominial y el saneamiento de títulos, los inmuebles ubicados en el denominado asentamiento "El Pueblito 2" de la ciudad de Córdoba, Dpto. Capital.</t>
  </si>
  <si>
    <t>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</si>
  <si>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https://www.youtube.com/watch?v=FRry8NuePeQ</t>
  </si>
  <si>
    <t>https://gld.legislaturacba.gob.ar/Publics/Actas.aspx?id=FQI3Lxt5BeE=</t>
  </si>
  <si>
    <t>Declarando de utilidad pública y sujeto a expropiación -para la regularización dominial y el saneamiento de títulos- los inmuebles ubicados en Barrio Los Filtros, en los denominados asentamientos "Los Filtros" y "6 de Agosto" de la ciudad de Córdoba.</t>
  </si>
  <si>
    <t>Instituyendo el Congreso de Ciencia y Género en el ámbito de la provincia de Córdoba, y estableciendo el “Reconocimiento a mujeres de Ciencia” que se otorgará de manera bianual, en el marco del “Día Internacional de la Mujer y la Niña en la Ciencia</t>
  </si>
  <si>
    <t>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</si>
  <si>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https://www.youtube.com/watch?v=L8nZ1af-9Yg</t>
  </si>
  <si>
    <t>https://gld.legislaturacba.gob.ar/Publics/Actas.aspx?id=HD57EZmR3w4=</t>
  </si>
  <si>
    <t>Anteproyecto de Resolución sobre Biocombustibles.</t>
  </si>
  <si>
    <t>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</si>
  <si>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https://www.youtube.com/watch?v=CSR7U2YljCk</t>
  </si>
  <si>
    <t>https://gld.legislaturacba.gob.ar/Publics/Actas.aspx?id=0N7IUoc5pOQ=;https://gld.legislaturacba.gob.ar/Publics/Actas.aspx?id=hx2jFjD5HJs=;https://gld.legislaturacba.gob.ar/Publics/Actas.aspx?id=YALKj-svRLw=;https://gld.legislaturacba.gob.ar/Publics/Actas.aspx?id=HTASXCcsfhM=</t>
  </si>
  <si>
    <t>Informe de gestión de la Administración Provincial del Seguro de Salud (Apross).</t>
  </si>
  <si>
    <t>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</si>
  <si>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https://www.youtube.com/watch?v=U1QToX9sSfM</t>
  </si>
  <si>
    <t>https://gld.legislaturacba.gob.ar/Publics/Actas.aspx?id=ZFk3Z66iA0g=</t>
  </si>
  <si>
    <t>Solicitando al Poder Ejecutivo informe (Art. 102 C.P.) sobre la apertura de nuevas afiliaciones voluntarias de la Administración Provincial de Seguro de Salud APROSS</t>
  </si>
  <si>
    <t>Solicitando al Poder Ejecutivo informe (Art. 102 C.P.) detalladamente sobre distintas cuestiones referidas al sistema de afiliación, cobertura y estado financiero de la APROSS</t>
  </si>
  <si>
    <t>Declarando de utilidad pública y sujetos a expropiación, para la regularización dominial y el saneamiento de títulos, los inmuebles ubicados en el denominado asentamiento "El Pueblito 2" de la ciudad de Córdoba, Dpto. Capital</t>
  </si>
  <si>
    <t>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</si>
  <si>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https://gld.legislaturacba.gob.ar/Publics/Actas.aspx?id=bHnaVJ0Do14=;https://gld.legislaturacba.gob.ar/Publics/Actas.aspx?id=wk2jj1DxDcE=</t>
  </si>
  <si>
    <t>Declarando de utilidad pública y sujeto a expropiación -para la regularización dominial y el saneamiento de títulos- los inmuebles ubicados en Barrio Los Filtros, en los denominados asentamientos “Los Filtros” y “6 de Agosto” de la ciudad de Córdoba</t>
  </si>
  <si>
    <t>Visita a la Planta Fiat</t>
  </si>
  <si>
    <t>https://gld.legislaturacba.gob.ar/Publics/Actas.aspx?id=WRx8XypJhuY=;https://gld.legislaturacba.gob.ar/Publics/Actas.aspx?id=BRQ3pxgfcqo=</t>
  </si>
  <si>
    <t>Presentación de Informe y Diagnostico Ambietal</t>
  </si>
  <si>
    <t>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</si>
  <si>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https://www.youtube.com/watch?v=Or4RWCZcT48</t>
  </si>
  <si>
    <t>https://gld.legislaturacba.gob.ar/Publics/Actas.aspx?id=38PDFgd7u20=</t>
  </si>
  <si>
    <t>Proporcionando un marco legal a la actividad profesional de las y los instrumentadores quirúrgicos de la provincia.</t>
  </si>
  <si>
    <t>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</si>
  <si>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https://www.youtube.com/watch?v=uJAPbUxD654</t>
  </si>
  <si>
    <t>https://gld.legislaturacba.gob.ar/Publics/Actas.aspx?id=n4zw-3NLzn8=;https://gld.legislaturacba.gob.ar/Publics/Actas.aspx?id=6Zo7IqTRqZQ=</t>
  </si>
  <si>
    <t>Solicitando la incorporación del Abogado Marcelo Daniel Sicardi al Padrón de Magistrados y Funcionarios reemplazantes, aprobado por R-3700/22.</t>
  </si>
  <si>
    <t>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</si>
  <si>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https://www.youtube.com/watch?v=n_hTzU-lDf4</t>
  </si>
  <si>
    <t>https://gld.legislaturacba.gob.ar/Publics/Actas.aspx?id=gPvuS2r-QWA=</t>
  </si>
  <si>
    <t>Solicitando acuerdo para designar al abogado José Alberto Martín Pueyrredón, como Vocal de Cámara en lo Criminal y Correccional en la Cámara en lo Criminal y Correccional de 1a Nominación perteneciente a la Primera Circunscripción Judicial con asiento en la ciudad de Córdoba.</t>
  </si>
  <si>
    <t>Solicitando acuerdo para designar a la abogada Bettina Graciela Croppi como Fiscal Adjunta de la Fiscalía General de la Provincia.</t>
  </si>
  <si>
    <t>Solicitando al Poder Ejecutivo informe (Art. 102 C.P.) sobre distintos aspectos relacionados al sistema carcelario provincial.</t>
  </si>
  <si>
    <t>Solicitando al Poder Ejecutivo informe (Art. 102 C.P.) detalladamente por qué no se ha reglamentado aún la Ley Nº 10636, que crea la figura del “Abogado del niño” en el ámbito de la provincia.</t>
  </si>
  <si>
    <t>Solicitando al Poder Ejecutivo informe (Art. 102 C.P.) sobre la aplicación del instituto de la prisión preventiva y la población carcelaria a disposición de los juzgados de ejecución.</t>
  </si>
  <si>
    <t>Solicitando al Poder Ejecutivo informe (Art. 102 C.P.) sobre diversos aspectos relacionados a los CENMA y CENPA que funcionan en toda la provincia</t>
  </si>
  <si>
    <t>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</si>
  <si>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https://www.youtube.com/watch?v=DeilSavCTyU</t>
  </si>
  <si>
    <t>https://gld.legislaturacba.gob.ar/Publics/Actas.aspx?id=R8FQkW7sD94=</t>
  </si>
  <si>
    <t>Solicitando al Poder Ejecutivo informe (Art. 102 C.P.) sobre diversos aspectos referidos al funcionamiento de las escuelas CENMA.</t>
  </si>
  <si>
    <t>Solicitando al Poder Ejecutivo informe (Art. 102 C.P.) detalladamente sobre cuestiones referidas al funcionamiento de las subsedes de la Defensoría de Niñas, Niños y Adolescentes.</t>
  </si>
  <si>
    <t>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</si>
  <si>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https://www.youtube.com/watch?v=jCtEPBbEfOs</t>
  </si>
  <si>
    <t>https://gld.legislaturacba.gob.ar/Publics/Actas.aspx?id=4Mtau8GC5iA=</t>
  </si>
  <si>
    <t>Solicitando al Poder Ejecutivo informe (Art. 102 C.P.) sobre distintos aspectos referidos a evaluaciones que se desarrollan para el ingreso al Programa Familias para Familias, así como el seguimiento de quienes fueron incluidos.</t>
  </si>
  <si>
    <t>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</si>
  <si>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https://www.youtube.com/watch?v=Rg2sqFr4MC0</t>
  </si>
  <si>
    <t>https://gld.legislaturacba.gob.ar/Publics/Actas.aspx?id=OReozX5VDRQ=;https://gld.legislaturacba.gob.ar/Publics/Actas.aspx?id=ln2LoS3POeA=</t>
  </si>
  <si>
    <t>Modificando el radio municipal de la localidad de Salsipuedes</t>
  </si>
  <si>
    <t>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</si>
  <si>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https://www.youtube.com/watch?v=yxI3iy28lFw</t>
  </si>
  <si>
    <t>https://gld.legislaturacba.gob.ar/Publics/Actas.aspx?id=dcFNoW-kFBM=</t>
  </si>
  <si>
    <t>DERECHOS HUMANOS Y DESARROLLO SOCIAL;DEPORTES Y RECREACIÓN</t>
  </si>
  <si>
    <t>Reconocimiento al deportista Javier Fernandez</t>
  </si>
  <si>
    <t>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</si>
  <si>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https://www.youtube.com/watch?v=hv18gtREfnY</t>
  </si>
  <si>
    <t>https://gld.legislaturacba.gob.ar/Publics/Actas.aspx?id=XTznM6KEZPo=;https://gld.legislaturacba.gob.ar/Publics/Actas.aspx?id=LiBpMfRQnZA=</t>
  </si>
  <si>
    <t>Declarando de utilidad pública y sujetos a expropiación, para la regularización dominial y el saneamiento de títulos, distintos inmuebles situados en el asentamiento denominado "Los Cuarenta Guasos - El Trencito", en el Barrio Ferreyra de la ciudad de Córdoba.</t>
  </si>
  <si>
    <t>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</si>
  <si>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https://www.youtube.com/watch?v=Wc0ksXJqCNg</t>
  </si>
  <si>
    <t>https://gld.legislaturacba.gob.ar/Publics/Actas.aspx?id=k7ITqyj3I8M=;https://gld.legislaturacba.gob.ar/Publics/Actas.aspx?id=oEsgkXVvSYg=</t>
  </si>
  <si>
    <t>Declarando de utilidad pública y sujeto a expropiación -para la regularización dominial y el saneamiento de títulos- inmuebles ubicados en Guiñazú, en el asentamiento denominado “El Chaparral</t>
  </si>
  <si>
    <t>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</si>
  <si>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https://www.youtube.com/watch?v=HRXsVaI01v8</t>
  </si>
  <si>
    <t>https://gld.legislaturacba.gob.ar/Publics/Actas.aspx?id=wSKt53gs87g=;https://gld.legislaturacba.gob.ar/Publics/Actas.aspx?id=rWp8Gnx-aaE=</t>
  </si>
  <si>
    <t>Solicitando al Poder Ejecutivo informe (Art. 102 C.P.) sobre distintas cuestiones referidas al Programa 457-004 - Hospital de Niños Santísima Trinidad.</t>
  </si>
  <si>
    <t>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</si>
  <si>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https://www.youtube.com/watch?v=Ny6-1TDk3cs</t>
  </si>
  <si>
    <t>https://gld.legislaturacba.gob.ar/Publics/Actas.aspx?id=wBRZF0SMmeg=</t>
  </si>
  <si>
    <t>Solicitando al Poder Ejecutivo informe (Art. 102 C.P.) sobre diversos aspectos relacionados al Centro de Simulación de Alta Complejidad para el entrenamiento de residentes y equipos de salud en el edificio anexo a las instalaciones del Hospital Córdoba</t>
  </si>
  <si>
    <t>Solicitando al Poder Ejecutivo informe (Art. 102 C.P.) sobre diversos aspectos relacionados al protocolo sanitario para geriátricos en la provincia de Córdoba</t>
  </si>
  <si>
    <t>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</si>
  <si>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https://www.youtube.com/watch?v=C7vcXIyv6jg</t>
  </si>
  <si>
    <t>https://gld.legislaturacba.gob.ar/Publics/Actas.aspx?id=74Y3G9JmV_o=;https://gld.legislaturacba.gob.ar/Publics/Actas.aspx?id=2_nl6EHFnQw=</t>
  </si>
  <si>
    <t>Declarando de utilidad pública y sujeto a expropiación -para la regularización dominial y el saneamiento de títulos- inmuebles ubicados en Guiñazú, en el asentamiento denominado “El Chaparral”.</t>
  </si>
  <si>
    <t>Modificando el radio municipal de la localidad de Salsipuedes, Dpto. Colón.</t>
  </si>
  <si>
    <t>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</si>
  <si>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https://gld.legislaturacba.gob.ar/Publics/Actas.aspx?id=QIo0FygDkaU=</t>
  </si>
  <si>
    <t>Designando Intendente Miguel Ángel Abella al puente que conecta las calles Rubén Darío y la rotonda que une las calles Illia, Avellaneda y Chacabuco en la ciudad de Río Cuarto.</t>
  </si>
  <si>
    <t>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</si>
  <si>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https://www.youtube.com/watch?v=r5KlRlb-39k</t>
  </si>
  <si>
    <t>https://gld.legislaturacba.gob.ar/Publics/Actas.aspx?id=eafqGQ8SC9k=</t>
  </si>
  <si>
    <t>Solicitando al Poder Ejecutivo informe (Art. 102 C.P.) sobre diversos puntos relacionados a la prolongación de la jornada presencial en el Nivel Inicial.</t>
  </si>
  <si>
    <t>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</si>
  <si>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https://www.youtube.com/watch?v=HxeCwO4ph_A</t>
  </si>
  <si>
    <t>https://gld.legislaturacba.gob.ar/Publics/Actas.aspx?id=Z8EmV0MubKA=</t>
  </si>
  <si>
    <t>Solicitando al Poder Ejecutivo informe (Art. 102 C.P.) detalladamente sobre distintos aspectos relacionados con las carreras dependientes del Instituto Técnico Superior Córdoba ITSC, del Instituto Superior Politécnico Córdoba ISPC en los años 2019, 2020, 2021 y 2022 y por qué se reemplazó la carrera "Tecnicatura de Desarrollo de Software"</t>
  </si>
  <si>
    <t>Solicitando al Poder Ejecutivo informe (Art. 102 C.P.) sobre distintos aspectos referidos al inicio del Ciclo Lectivo 2022, detallando situacion edilicia, protocolos para prevenir contagios del Covid-19, sistema de bimodalidad (presencial-virtual) y deserción escolar en los colegios de la Provincia.</t>
  </si>
  <si>
    <t>Solicitando al Poder Ejecutivo informe (Art. 102 C.P.) detalladamente sobre distintos aspectos referidos a la infraestructura de los establecimientos escolares y el servicio educativo que brinda la provincia.</t>
  </si>
  <si>
    <t>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</si>
  <si>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https://www.youtube.com/watch?v=BVvs9yi6I5A</t>
  </si>
  <si>
    <t>https://gld.legislaturacba.gob.ar/Publics/Actas.aspx?id=2sJjM1BF8B8=;https://gld.legislaturacba.gob.ar/Publics/Actas.aspx?id=pwdRpUax_SU=</t>
  </si>
  <si>
    <t>Nota de la Defensoría de los Derechos de las Niñas, Niños y Adolescentes, remitiendo el informe que dispone el artículo 12 de la Ley N° 9396</t>
  </si>
  <si>
    <t>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</si>
  <si>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https://www.youtube.com/watch?v=Ygnt-ym8vAM</t>
  </si>
  <si>
    <t>https://gld.legislaturacba.gob.ar/Publics/Actas.aspx?id=18VJg0RTLZg=</t>
  </si>
  <si>
    <t>SALUD HUMANA;AMBIENTE</t>
  </si>
  <si>
    <t>Solicitando al Poder Ejecutivo informe (Art. 102 C.P) respecto al personal, estadísticas, cronograma de muestreo sobre aspectos sanitarios de la presencia de cianobacterias en el agua por parte del Departamento de Salud Ambiental.</t>
  </si>
  <si>
    <t>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</si>
  <si>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https://www.youtube.com/watch?v=JEsmkGBnn9I</t>
  </si>
  <si>
    <t>https://gld.legislaturacba.gob.ar/Publics/Actas.aspx?id=QgfIgsvT50I=;https://gld.legislaturacba.gob.ar/Publics/Actas.aspx?id=AWIeX2MQvNE=</t>
  </si>
  <si>
    <t>Solicitando al Poder Ejecutivo informe (Art. 102 C.P.) sobre diversos aspectos relacionados al estado en el que se encuentra el lago San Roque</t>
  </si>
  <si>
    <t>Solicitando al Poder Ejecutivo informe (Art. 102 CP) sobre diversos aspectos relacionados a la contaminación provocada por la empresa TAYM el 28 de marzo de 2017</t>
  </si>
  <si>
    <t>Solicitando al Poder Ejecutivo informe (Art. 102 C.P.) detalladamente sobre diversos aspectos referidos a la Policía Ambiental, desmontes e incendios en la Provincia.</t>
  </si>
  <si>
    <t>Solicitando al Poder Ejecutivo informe (Art. 102 C.P.) respecto de intervenciones sobre fauna silvestre, detallando procedimientos, decomiso, infracciones y entregas voluntarias, en los últimos tres años</t>
  </si>
  <si>
    <t>Solicitando al Poder Ejecutivo informe (Art. 102 C.P.) sobre estudios en fauna ictícola y calidad del agua del Embalse de Río Tercero</t>
  </si>
  <si>
    <t>Solicitando al Poder Ejecutivo informe (Art. 102 C.P.) sobre diversos aspectos relacionados a la muerte de peces en el dique Cruz del Eje en el mes de enero</t>
  </si>
  <si>
    <t>Modificando la Ley Nº 9814, de Ordenamiento Territorial de Bosques Nativos, agregando el artículo 31 bis referido a mecanismos para la prevención de incendios.</t>
  </si>
  <si>
    <t>Modificando el radio municipal de la localidad de Marull. Dpto. San Justo</t>
  </si>
  <si>
    <t>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</si>
  <si>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https://www.youtube.com/watch?v=xOCeLVUSkLE</t>
  </si>
  <si>
    <t>https://gld.legislaturacba.gob.ar/Publics/Actas.aspx?id=N6DwRsXfFEw=</t>
  </si>
  <si>
    <t>Solicitando al Poder Ejecutivo informe (Art. 102 CP) sobre la conformación de los módulos alimentarios del Programa P.A.I.Cor en algunas escuelas, y sobre la denuncia por presunta estafa efectuada contra el responsable regional del distrito Bialet Massé.</t>
  </si>
  <si>
    <t>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</si>
  <si>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https://www.youtube.com/watch?v=D8ArjO5Ks5E</t>
  </si>
  <si>
    <t>https://gld.legislaturacba.gob.ar/Publics/Actas.aspx?id=yL_YoMoSBk0=</t>
  </si>
  <si>
    <t>Solicitando Poder Ejecutivo informe (Art. 102 de la C.P.) detalladamente sobre el funcionamiento y las nuevas modalidades del Programa PAICor.</t>
  </si>
  <si>
    <t>Solicitando al Poder Ejecutivo informe (Art. 102 C.P.) sobre diversos aspectos relacionados a la cantidad de Auxiliares escolares afectados al Programa Alimentario Provincial (Paicor), ingresos que perciben mensualmente, cuántos alumnos tienen a cargo y qué otras tareas desarrollan en los municipios y comunas del interior provincial</t>
  </si>
  <si>
    <t>Solicitando al Poder Ejecutivo informe (Art. 102 C.P.) sobre diversos aspectos referidos al funcionamiento del PAICor en el año 2021 y lo que va de 2022, especialmente en controles de calidad de alimentos</t>
  </si>
  <si>
    <t>Solicitando acuerdo para designar a la abogada Bettina Graciela Croppi como Fiscal Adjunta de la Fiscalía General de la Provincia</t>
  </si>
  <si>
    <t>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</si>
  <si>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https://www.youtube.com/watch?v=ngOAiA0WSFE</t>
  </si>
  <si>
    <t>https://gld.legislaturacba.gob.ar/Publics/Actas.aspx?id=kjw-B0MuMR0=</t>
  </si>
  <si>
    <t>Solicitando al Poder Ejecutivo informe (Art. 102 C.P.) respecto de la compra de vehículos para combatir delitos en zonas rurales.</t>
  </si>
  <si>
    <t>https://gld.legislaturacba.gob.ar/Publics/Actas.aspx?id=bDvG1uLvP5s=</t>
  </si>
  <si>
    <t>Informar sobre programas y actividades del Ministerio</t>
  </si>
  <si>
    <t>Solicitando al Poder Ejecutivo informe (Art. 102 C.P.) en detalle sobre lo recaudado por multas de tránsito durante el año 2020, discriminando aquellas correspondientes a los Arts. 7 y 8 de la Ley Nº 8560 y las establecidas en la Ley Nº 8169, respectivamente.</t>
  </si>
  <si>
    <t>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</si>
  <si>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https://www.youtube.com/watch?v=sz0vehC_52s</t>
  </si>
  <si>
    <t>https://gld.legislaturacba.gob.ar/Publics/Actas.aspx?id=NPJJje7QdRk=</t>
  </si>
  <si>
    <t>Solicitando al Poder Ejecutivo informe (Art. 102 C.P.) de manera detallada sobre diversos aspectos relacionados al Programa Córdoba Acelera 2021.</t>
  </si>
  <si>
    <t>Solicitando al Poder Ejecutivo informe (Art. 102 C.P.) detalladamente sobre la ejecución presupuestaria por distribución geográfica departamental en el período 2011-2021</t>
  </si>
  <si>
    <t>Solicitando al Poder Ejecutivo informe (Art. 102 C.P.) sobre las transferencias corrientes y de capital no coparticipables a municipios y comunas y transferencias coparticipables automáticas que se estiman acreditar, planificadas en el Presupuesto de la Administración General de la provincia en el año 2022.</t>
  </si>
  <si>
    <t>Citando al Sr. Ministro de Finanzas para que informe (Art. 101 C.P.) detalladamente cuáles serán las modificaciones que se deberán realizar sobre el Presupuesto 2022 conforme la reconducción del Presupuesto Nacional 2021.</t>
  </si>
  <si>
    <t>Solicitando al Poder Ejecutivo informe (Art. 102 C.P.) detalladamente sobre el gasto realizado por la Inspección de Personas Jurídicas de la provincia en "Servicios Profesionales de Seguimiento de Medios de Comunicación"</t>
  </si>
  <si>
    <t>Solicitando al Poder Ejecutivo informe (Art. 102 C.P.) sobre diversos aspectos referidos a la TOCSE, Terminal de Ómnibus Córdoba Sociedad del Estado</t>
  </si>
  <si>
    <t>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</si>
  <si>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https://www.youtube.com/watch?v=EqpjedezNlk</t>
  </si>
  <si>
    <t>https://gld.legislaturacba.gob.ar/Publics/Actas.aspx?id=4EW_rBWIutU=</t>
  </si>
  <si>
    <t>Solicitando al Poder Ejecutivo informe (Art. 102 C.P.) detalladamente sobre diversos aspectos relacionados con el programa 455 de Lucha contra el VIH/SIDA e ITS, Ley N° 9161.</t>
  </si>
  <si>
    <t>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</si>
  <si>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https://www.youtube.com/watch?v=Azb8I0LSAeQ</t>
  </si>
  <si>
    <t>https://gld.legislaturacba.gob.ar/Publics/Actas.aspx?id=VkoOSqr3HQY=</t>
  </si>
  <si>
    <t>Solicitando al Poder Ejecutivo informe (Art. 102 C.P.) detalladamente sobre diversos aspectos del Programa 455, de lucha contra el VIH-Sida e ITS, Ley 9161</t>
  </si>
  <si>
    <t>Principales logros en la relación económica bilateral (Brasil-Córdoba) y oportunidades para Córdoba</t>
  </si>
  <si>
    <t>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</si>
  <si>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https://www.youtube.com/watch?v=nbVm0cC2fj0</t>
  </si>
  <si>
    <t>https://gld.legislaturacba.gob.ar/Publics/Actas.aspx?id=BsVomgZyZPQ=</t>
  </si>
  <si>
    <t>LEGISLACIÓN GENERAL;ASUNTOS CONSTITUCIONALES, JUSTICIA Y ACUERDOS;DERECHOS HUMANOS Y DESARROLLO SOCIAL;PROMOCIÓN Y DEFENSA DE LOS DERECHOS DE LA NIÑEZ, ADOLESCENCIA Y FAMILIA</t>
  </si>
  <si>
    <t>Solicitando al Poder Ejecutivo informe (Art. 102 C.P.) detalladamente sobre aspectos relacionados a las reiteradas estafas realizadas desde las cárceles de la provincia</t>
  </si>
  <si>
    <t>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</si>
  <si>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https://www.youtube.com/watch?v=AoxLcz4Cbzg</t>
  </si>
  <si>
    <t>https://gld.legislaturacba.gob.ar/Publics/Actas.aspx?id=adN1VgXm7Jc=;https://gld.legislaturacba.gob.ar/Publics/Actas.aspx?id=5rjiXF-CazA=;https://gld.legislaturacba.gob.ar/Publics/Actas.aspx?id=7McDwR8Bye4=;https://gld.legislaturacba.gob.ar/Publics/Actas.aspx?id=GWGmxjdxlDo=</t>
  </si>
  <si>
    <t>Solicitando la comparecencia de los Sres. ministros de Seguridad y de Justicia, y de Derechos Humanos (Art. 101 C.P.) para que informen sobre hechos delictivos realizados en y por internos de establecimientos carcelarios</t>
  </si>
  <si>
    <t>Solicitando al Poder Ejecutivo informe (Art. 102 CP) sobre la existencia de drogas y celulares en los establecimientos penitenciarios, control de ingresos de familiares y personal, delitos cometidos en los años 2020 y 2021 debido al uso de celulares</t>
  </si>
  <si>
    <t>Solicitando al Poder Ejecutivo informe (Art. 102 C.P.) sobre diversos aspectos relacionados al funcionamiento y la infraestructura del Establecimiento Penitenciario (EP) 9.</t>
  </si>
  <si>
    <t>Solicitando al Poder Ejecutivo informe (Art. 102 C.P.) detalladamente sobre la aplicación del instituto de prisión preventiva en la provincia de Córdoba.</t>
  </si>
  <si>
    <t>Citando al Sr. Ministro de Justicia y Derechos Humanos (Art. 101 C.P.) para que informe sobre distintos aspectos de la problemática de la violencia intrafamiliar y maltrato infantil y la intervención concreta de la Secretaría de Niñez, Adolescencia y Familia en los casos detectados</t>
  </si>
  <si>
    <t>Solicitando al Poder Ejecutivo informe (Art. 102 C.P.) sobre diversos aspectos referidos a la Unidad de Desarrollo Regional UDER y la autoridad de aplicación SeNAF de la ciudad de Deán Funes, Dpto. Ischilín.</t>
  </si>
  <si>
    <t>Solicitando al Poder Ejecutivo informe (Art. 102 C.P.) sobre diversos aspectos referidos al Registro Único Nominal de Niñez y Adolescencia (RUNNA), incluído en el Programa 673 - Niñez, Adolescencia y Familia - Actividades Comunes, durante los ejercicios 2018 a 2022</t>
  </si>
  <si>
    <t>LEGISLACIÓN GENERAL;LEGISLACIÓN DEL TRABAJO, PREVISIÓN Y SEGURIDAD SOCIAL</t>
  </si>
  <si>
    <t>Modificando diversos artículos de la Ley N° 7674, Colegio Profesional de Ingenieros Civiles de la provincia de Córdoba</t>
  </si>
  <si>
    <t>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</si>
  <si>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https://www.youtube.com/watch?v=KyzKgY0B5UM</t>
  </si>
  <si>
    <t>https://gld.legislaturacba.gob.ar/Publics/Actas.aspx?id=vZL92_UR2Y4=;https://gld.legislaturacba.gob.ar/Publics/Actas.aspx?id=dvTsVkAoi-0=</t>
  </si>
  <si>
    <t>Modificando el radio comunal de la localidad de El Rastreador, Dpto. Juarez Celman</t>
  </si>
  <si>
    <t>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t>
  </si>
  <si>
    <t>https://www.youtube.com/watch?v=uLsUzWGnqCc</t>
  </si>
  <si>
    <t>https://gld.legislaturacba.gob.ar/Publics/Actas.aspx?id=MHxgwUEgkts=</t>
  </si>
  <si>
    <t>Declarando de utilidad pública y sujetos a expropiación los terrenos en los que se encuentra el asentamiento denominado “Costa Canal”, en el Barrio Flores, Dpto. Capital, para su regularización dominial y saneamiento de títulos.</t>
  </si>
  <si>
    <t>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</si>
  <si>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https://www.youtube.com/watch?v=8JmhJrK-rk0</t>
  </si>
  <si>
    <t>https://gld.legislaturacba.gob.ar/Publics/Actas.aspx?id=lWPP-rGLoEo=;https://gld.legislaturacba.gob.ar/Publics/Actas.aspx?id=nAncaHwUvLU=</t>
  </si>
  <si>
    <t>Declarando de utilidad pública y sujetos a expropiación, inmuebles ubicados en el denominado asentamiento "Villa Ávalos" de la ciudad de Córdoba, para la regularización dominial y el saneamiento de títulos.</t>
  </si>
  <si>
    <t>LEGISLACIÓN GENERAL;SALUD HUMANA;EQUIDAD Y LUCHA CONTRA LA VIOLENCIA DE GÉNERO</t>
  </si>
  <si>
    <t>Instituyendo el 19 de mayo como Día Provincial de la Donación de Leche Humana</t>
  </si>
  <si>
    <t>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</si>
  <si>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https://www.youtube.com/watch?v=ft2Pq_W4BzI</t>
  </si>
  <si>
    <t>https://gld.legislaturacba.gob.ar/Publics/Actas.aspx?id=VUWHbvGbTxg=;https://gld.legislaturacba.gob.ar/Publics/Actas.aspx?id=YF8N18be7fg=;https://gld.legislaturacba.gob.ar/Publics/Actas.aspx?id=MjwbbU318MA=</t>
  </si>
  <si>
    <t>Visita a la Empresa CORTEVA Agriscience</t>
  </si>
  <si>
    <t>https://gld.legislaturacba.gob.ar/Publics/Actas.aspx?id=btQVleqDoE0=</t>
  </si>
  <si>
    <t>Modificando el radio municipal de la localidad de San Marcos Sierras, Dpto. Cruz del Eje</t>
  </si>
  <si>
    <t>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t>
  </si>
  <si>
    <t>https://www.youtube.com/watch?v=izqEh3Lx4jA</t>
  </si>
  <si>
    <t>https://gld.legislaturacba.gob.ar/Publics/Actas.aspx?id=q2j-h3VywAE=</t>
  </si>
  <si>
    <t>SALUD HUMANA;DERECHOS HUMANOS Y DESARROLLO SOCIAL</t>
  </si>
  <si>
    <t>Solicitando al Poder Ejecutivo informe (Art. 102 C.P.) sobre diversos aspectos relacionados al Programa de Servicios para Personas con Discapacidad (PROSAD).</t>
  </si>
  <si>
    <t>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</si>
  <si>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https://www.youtube.com/watch?v=RtYoVyeitvU</t>
  </si>
  <si>
    <t>https://gld.legislaturacba.gob.ar/Publics/Actas.aspx?id=NXaamBLscxw=;https://gld.legislaturacba.gob.ar/Publics/Actas.aspx?id=hX7-TB4pOJU=</t>
  </si>
  <si>
    <t>Solicitando al Poder Ejecutivo informe (Art. 102 C.P.) sobre diversos aspectos vinculados a la aplicación de la Ley N° 10.728, que crea el Programa "Córdoba Inclusiva" en el ámbito de la provincia de Córdoba</t>
  </si>
  <si>
    <t>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</si>
  <si>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https://www.youtube.com/watch?v=RrmdHw8n3fY</t>
  </si>
  <si>
    <t>https://gld.legislaturacba.gob.ar/Publics/Actas.aspx?id=pa03kRWkDww=;https://gld.legislaturacba.gob.ar/Publics/Actas.aspx?id=di-cL01QC2g=</t>
  </si>
  <si>
    <t>SALUD HUMANA;EQUIDAD Y LUCHA CONTRA LA VIOLENCIA DE GÉNERO</t>
  </si>
  <si>
    <t>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</si>
  <si>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https://www.youtube.com/watch?v=FJ5iP03dKhQ</t>
  </si>
  <si>
    <t>https://gld.legislaturacba.gob.ar/Publics/Actas.aspx?id=kP9eqltHv28=;https://gld.legislaturacba.gob.ar/Publics/Actas.aspx?id=YnRDOB-PfPA=</t>
  </si>
  <si>
    <t>Modificando el radio comunal de la localidad del rastreador, Dpto. Juarez Celman</t>
  </si>
  <si>
    <t>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</si>
  <si>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https://gld.legislaturacba.gob.ar/Publics/Actas.aspx?id=5gKiJRUoh9A=</t>
  </si>
  <si>
    <t>Modificando el radio municipal de la localidad de San Marcos Sierras, Dpto. Cruz del Eje.</t>
  </si>
  <si>
    <t>Instituyendo el 19 de mayo como el Día Provincial de la Donación de Leche Humana</t>
  </si>
  <si>
    <t>Solicitando al Poder Ejecutivo informe (Art. 102 C.P.) sobre diversos aspectos referidos a la Copa cordobesa de Fútbol Electrónico.</t>
  </si>
  <si>
    <t>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</si>
  <si>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https://www.youtube.com/watch?v=ztBCSpzmJMU</t>
  </si>
  <si>
    <t>https://gld.legislaturacba.gob.ar/Publics/Actas.aspx?id=ivnLuYw2YKE=</t>
  </si>
  <si>
    <t>Solicitando la incorporación de la abogada María Celeste Orta Córdoba al Padrón de Magistrados y Funcionarios reemplazantes, aprobado por R-3700/22.</t>
  </si>
  <si>
    <t>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</si>
  <si>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https://www.youtube.com/watch?v=P65-rMhRjWY</t>
  </si>
  <si>
    <t>https://gld.legislaturacba.gob.ar/Publics/Actas.aspx?id=hqgh0blE_Ls=</t>
  </si>
  <si>
    <t>Modificando diversos artículos de la Ley N° 7674, Colegio Profesional de Ingenieros Civiles de la provincia de Córdoba.</t>
  </si>
  <si>
    <t>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</si>
  <si>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https://www.youtube.com/watch?v=zBIbdlVOWWc</t>
  </si>
  <si>
    <t>https://gld.legislaturacba.gob.ar/Publics/Actas.aspx?id=KNtpW_ckNF4=;https://gld.legislaturacba.gob.ar/Publics/Actas.aspx?id=08Ylj4PRrqI=</t>
  </si>
  <si>
    <t>Informe de gestión de la Dirección de Defensa del Consumidor y Lealtad Comercial de la provincia de Córdoba</t>
  </si>
  <si>
    <t>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</si>
  <si>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https://www.youtube.com/watch?v=2VZY9GZ8-gM</t>
  </si>
  <si>
    <t>https://gld.legislaturacba.gob.ar/Publics/Actas.aspx?id=zzCOkVMUynw=;https://gld.legislaturacba.gob.ar/Publics/Actas.aspx?id=t4KmpBOgubs=</t>
  </si>
  <si>
    <t>Solicitando al Poder Ejecutivo informe (Art. 102 C.P.) detalladamente estadísticas, actividades administrativas y políticas públicas sobre Defensa del Consumidor, en virtud de la Ley Nº 10247 y los programas presupuestarios 855 “Defensa al consumidor y Lealtad comercial” y 861 “Consumidor informado”.</t>
  </si>
  <si>
    <t>Reconociendo a la Selección Argentina de talla baja, por su consagración como campeona de la Copa América 2022, evento desarrollado en la República del Perú.</t>
  </si>
  <si>
    <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t>
  </si>
  <si>
    <t>https://www.youtube.com/watch?v=cGzOM5QLcS0</t>
  </si>
  <si>
    <t>https://gld.legislaturacba.gob.ar/Publics/Actas.aspx?id=aSn5c-NtTFY=;https://gld.legislaturacba.gob.ar/Publics/Actas.aspx?id=3kGc6UNOcxU=</t>
  </si>
  <si>
    <t>Reconociendo a los cordobeses Marcos Mulhall Maldonado, Cristian Sarmiento y Eduardo Cervantes, integrantes de la Selección Argentina que se consagró Campeona de América en Talla Baja</t>
  </si>
  <si>
    <t>Expresando beneplácito por el triunfo del Seleccionado Argentino de Talla Baja que se consagró campeón de América. haciendo especial mención a la participación de los Daniel Cervantes y Marcos Mulhall, oriundos de la ciudad de Alta Gracia</t>
  </si>
  <si>
    <t>Remitiendo la Cuenta de Inversión correspondiente al Ejercicio Financiero 2021, conforme lo establecido por el Art. 144 inc. 12 de la Constitución provincial.</t>
  </si>
  <si>
    <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t>
  </si>
  <si>
    <t>https://www.youtube.com/watch?v=WR84Vu1SRqQ</t>
  </si>
  <si>
    <t>https://gld.legislaturacba.gob.ar/Publics/Actas.aspx?id=WYPXoYLmI7U=</t>
  </si>
  <si>
    <t>Declarando de utilidad pública y sujeto a expropiación, los inmuebles ubicados en el asentamiento denominado "La Canchita", de barrio Villa Argüello de la ciudad de Córdoba, para su regularización dominial y saneamiento de títulos</t>
  </si>
  <si>
    <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t>
  </si>
  <si>
    <t>https://gld.legislaturacba.gob.ar/Publics/Actas.aspx?id=fJbLAIwWtpc=;https://gld.legislaturacba.gob.ar/Publics/Actas.aspx?id=-5dpOxaHarw=</t>
  </si>
  <si>
    <t>EDUCACIÓN, CULTURA, CIENCIA, TECNOLOGÍA E INFORMÁTICA;AMBIENTE</t>
  </si>
  <si>
    <t>Adhiriendo la Provincia de Córdoba a las disposiciones de la Ley Nacional N° 27.621, con el objeto establecer el derecho a la educación ambiental integral como una política pública</t>
  </si>
  <si>
    <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t>
  </si>
  <si>
    <t>https://www.youtube.com/watch?v=h-6FPhE91gw</t>
  </si>
  <si>
    <t>https://gld.legislaturacba.gob.ar/Publics/Actas.aspx?id=yC9GKcAmHw8=;https://gld.legislaturacba.gob.ar/Publics/Actas.aspx?id=94am0qxI6do=</t>
  </si>
  <si>
    <t>Presentación de la Segunda Cumbre Mundial de Economía Circular, que se llevará a cabo los días 15 y 16 de junio de 2022 en el Complejo Ferial de la Ciudad de Córdoba organizada por la Municipalidad de Córdoba a través del Ente Municipal BioCórdoba.</t>
  </si>
  <si>
    <t>Solicitando al Poder Ejecutivo informe (Art. 102 C.P.) sobre diversos aspectos relacionados al Observatorio de Estudios para la Convivencia y Seguridad Ciudadana, creado por Ley N° 9235.</t>
  </si>
  <si>
    <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t>
  </si>
  <si>
    <t>https://www.youtube.com/watch?v=EBQtuP4u7Kg</t>
  </si>
  <si>
    <t>https://gld.legislaturacba.gob.ar/Publics/Actas.aspx?id=trI671cQnas=</t>
  </si>
  <si>
    <t>Solicitando al Poder Ejecutivo informe (Art. 102 C.P.) sobre el financiamiento y funcionamiento del Programa 690-Contención y Protección de Víctimas del Narcotráfico, y brinde detalle estadístico de víctimas del narcotráfico desde 2016 a 2021</t>
  </si>
  <si>
    <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t>
  </si>
  <si>
    <t>https://www.youtube.com/watch?v=BPEak9i5Fzk</t>
  </si>
  <si>
    <r>
      <t>https://gld.legislaturacba.gob.ar/Publics/Actas.aspx?id=pvnSyvW2C5s=;</t>
    </r>
    <r>
      <rPr>
        <u/>
        <sz val="10"/>
        <color rgb="FF1155CC"/>
        <rFont val="Arial"/>
      </rPr>
      <t>https://gld.legislaturacba.gob.ar/Publics/Actas.aspx?id=NmH8aTbQniA=</t>
    </r>
  </si>
  <si>
    <t>Solicitando al Poder Ejecutivo informe (Art. 102 C.P.) sobre diversos aspectos relacionados al cierre del Instituto Provincial de Alcoholismo y Drogadicción (IPAD).</t>
  </si>
  <si>
    <t>Actividades a realizarse en el marco de la “Semana Provincial de la Prevención del Consumo de Drogas” (Ley N° 10.610).</t>
  </si>
  <si>
    <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t>
  </si>
  <si>
    <t>https://www.youtube.com/watch?v=zzYfgWDW_gk</t>
  </si>
  <si>
    <t>https://gld.legislaturacba.gob.ar/Publics/Actas.aspx?id=Htz3QPkDNVg=</t>
  </si>
  <si>
    <t>Modificando e incorporando artículos a la Ley N° 8465, Código Procesal Civil y Comercial, referidos a los plazos procesales.</t>
  </si>
  <si>
    <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t>
  </si>
  <si>
    <t>https://www.youtube.com/watch?v=gsJ0xDA4uNA</t>
  </si>
  <si>
    <t>https://gld.legislaturacba.gob.ar/Publics/Actas.aspx?id=_vC9t3fGh48=</t>
  </si>
  <si>
    <t>Modificando los artículos 14 y 21 de la Ley Nº 5805, del Ejercicio Profesional de la Abogacía, regulando las licencias de abogados y procuradores.</t>
  </si>
  <si>
    <t>Solicitando acuerdo para designar al abogado Marcelo Daniel Sicardi, como Fiscal de Cámara en lo Criminal y Correccional en la Fiscalía de Cámara en lo Criminal y Correccional de 11a Nominación perteneciente a la Primera Circunscripción Judicial con asiento en la ciudad de Córdoba.</t>
  </si>
  <si>
    <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t>
  </si>
  <si>
    <t>https://www.youtube.com/watch?v=xMwdanqJFOU</t>
  </si>
  <si>
    <t>https://gld.legislaturacba.gob.ar/Publics/Actas.aspx?id=v15rWg-y8n8=</t>
  </si>
  <si>
    <t>Solicitando acuerdo para designar a la abogada Milagros Rivas, como Fiscal de Instrucción en la Fiscalía de Instrucción de Lucha Contra el Narcotráfico perteneciente a la Primera Circunscripción Judicial con asiento en la ciudad de Córdoba.</t>
  </si>
  <si>
    <t>Aprobando el Decreto N° 229/22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t>
  </si>
  <si>
    <t>EDUCACIÓN, CULTURA, CIENCIA, TECNOLOGÍA E INFORMÁTICA;AMBIENTE;EQUIDAD Y LUCHA CONTRA LA VIOLENCIA DE GÉNERO</t>
  </si>
  <si>
    <t>Declarando a la ciudad de Córdoba como Capital Provincial del Arte Urbano.</t>
  </si>
  <si>
    <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t>
  </si>
  <si>
    <t>https://www.youtube.com/watch?v=dO5TGlOPHeo</t>
  </si>
  <si>
    <r>
      <t>https://gld.legislaturacba.gob.ar/Publics/Actas.aspx?id=VCjqYgypYRk=;</t>
    </r>
    <r>
      <rPr>
        <u/>
        <sz val="10"/>
        <color rgb="FF1155CC"/>
        <rFont val="Arial"/>
      </rPr>
      <t>https://gld.legislaturacba.gob.ar/Publics/Actas.aspx?id=4BbWdexOxig=</t>
    </r>
    <r>
      <rPr>
        <sz val="10"/>
        <color rgb="FF000000"/>
        <rFont val="Arial"/>
        <scheme val="minor"/>
      </rPr>
      <t>;https://gld.legislaturacba.gob.ar/Publics/Actas.aspx?id=fqBGxMhbI_M=</t>
    </r>
  </si>
  <si>
    <t>Instituyendo el Congreso de Ciencia y Género en el ámbito de la provincia de Córdoba, y estableciendo el “Reconocimiento a mujeres de Ciencia” que se otorgará de manera bianual, en el marco del “Día Internacional de la Mujer y la Niña en la Ciencia”.</t>
  </si>
  <si>
    <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t>
  </si>
  <si>
    <t>https://www.youtube.com/watch?v=EcGH_lvrRTs</t>
  </si>
  <si>
    <t>https://gld.legislaturacba.gob.ar/Publics/Actas.aspx?id=qlCLhHoo-ps=</t>
  </si>
  <si>
    <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t>
  </si>
  <si>
    <t>https://www.youtube.com/watch?v=u9nlXUT_WIA</t>
  </si>
  <si>
    <t>https://gld.legislaturacba.gob.ar/Publics/Actas.aspx?id=1T7FqK4DE0g=</t>
  </si>
  <si>
    <t>Creando la pensión denominada “Reparación Histórica Provincial a ex Presas y Presos Políticos, Hijas e Hijos y Exiliadas y Exiliados víctimas del terrorismo de Estado”.</t>
  </si>
  <si>
    <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</si>
  <si>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https://gld.legislaturacba.gob.ar/Publics/Actas.aspx?id=JFhoXBHPppY=</t>
  </si>
  <si>
    <t>Modificando las leyes Nros. 9361, Escalafón para el Personal de la Administración Pública Provincial, y 7625, Régimen de Personal del Equipo de Salud Humana; referidos a situación de revista, cobertura de cargos y llamado a concurso para el Personal Superior.</t>
  </si>
  <si>
    <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t>
  </si>
  <si>
    <t>https://www.youtube.com/watch?v=GEl__GwS0Pw</t>
  </si>
  <si>
    <t>https://gld.legislaturacba.gob.ar/Publics/Actas.aspx?id=mIc8xt0Z__8=</t>
  </si>
  <si>
    <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t>
  </si>
  <si>
    <t>https://www.youtube.com/watch?v=-6iBpHFPgsk</t>
  </si>
  <si>
    <t>https://gld.legislaturacba.gob.ar/Publics/Actas.aspx?id=F0lOBA6aVvs=</t>
  </si>
  <si>
    <t>Adhiriendo la Provincia de Córdoba a las disposiciones de la Ley Nacional N° 27.621, con el objeto establecer el derecho a la educación ambiental integral como una política pública.</t>
  </si>
  <si>
    <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t>
  </si>
  <si>
    <t>https://www.youtube.com/watch?v=orwRqVxQgRI</t>
  </si>
  <si>
    <t>https://gld.legislaturacba.gob.ar/Publics/Actas.aspx?id=1XpzP1nrTkc=;https://gld.legislaturacba.gob.ar/Publics/Actas.aspx?id=nfVzHLUO02I=</t>
  </si>
  <si>
    <t>Informe de actividades y trabajos realizados por la Mesa Interpoderes de Adopción. Necesidad de introducir modificaciones a la Ley N° 9944 (Promoción y Protección Integral de los Derechos de las Niñas, Niños y Adolescentes).</t>
  </si>
  <si>
    <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t>
  </si>
  <si>
    <t>https://www.youtube.com/watch?v=CGQUjBt3m7I</t>
  </si>
  <si>
    <t>https://gld.legislaturacba.gob.ar/Publics/Actas.aspx?id=bhLAvQSszY0=</t>
  </si>
  <si>
    <t>Modificando el artículo 577 de la Ley N° 8465, Código Procesal Civil y Comercial de la Provincia de Córdoba, referido a las formas de realización de los bienes afectados a la ejecución.</t>
  </si>
  <si>
    <t>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t>
  </si>
  <si>
    <t>https://www.youtube.com/watch?v=d0evDr85DXg</t>
  </si>
  <si>
    <t>https://gld.legislaturacba.gob.ar/Publics/Actas.aspx?id=8T4HiUfJm2k=;https://gld.legislaturacba.gob.ar/Publics/Actas.aspx?id=suBlDTszjps=</t>
  </si>
  <si>
    <t>Modificando los artículos 1°, 3°, 4° y 8° de la Ley N° 10555, de Procedimientos para los Juicios de Daños y Perjuicios que tramiten por el juicio abreviado según lo dispuesto en el Código Procesal Civil y Comercial de la Provincia, propiciando la reducción de la duración del proceso, la inmediación del juez, mayor conciliación de conflictos y mayor calidad de las resoluciones.</t>
  </si>
  <si>
    <t>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t>
  </si>
  <si>
    <t>https://www.youtube.com/watch?v=QlasozFmDPU</t>
  </si>
  <si>
    <t>https://gld.legislaturacba.gob.ar/Publics/Actas.aspx?id=qHM8bubvn44=</t>
  </si>
  <si>
    <t>Solicitando al Poder Ejecutivo informe (Art. 102 C.P.) sobre distintos aspectos referidos a la escolaridad desde el comienzo de la pandemia Covid 19, la deserción escolar, planes para evitarla, presencialidad y funcionamiento de comedores escolares y beneficiarios del PAICor en 2021.</t>
  </si>
  <si>
    <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t>
  </si>
  <si>
    <t>https://www.youtube.com/watch?v=m4v0s-2x-qg</t>
  </si>
  <si>
    <t>https://gld.legislaturacba.gob.ar/Publics/Actas.aspx?id=NN_5F32Bd0Y=</t>
  </si>
  <si>
    <t>Solicitando al Poder Ejecutivo informe (Art. 102 C.P.) sobre los beneficios del uso obligatorio del barbijo para la población escolar conforme el Protocolo de Prevención de Covid-19 en las escuelas provinciales.</t>
  </si>
  <si>
    <t>Solicitando al Poder Ejecutivo informe (Art. 102 C.P.) sobre diversos aspectos referidos a la implementación de las recomendaciones de la Resolución CFE N° 397/2021, respecto a la organización institucional, pedagógica y administrativa para el ciclo lectivo 2022.</t>
  </si>
  <si>
    <t>Creando el Programa de Formación Permanente en Técnicas de Reanimación Pulmonar Básicas dirigida a Docentes y adhiriendo a la Ley Nacional Nº 27159, Sistema De Prevención Integral De Muerte Súbita.</t>
  </si>
  <si>
    <t>Implementando la aplicacion de la Ley Nacional 26835 de Promoción y Capacitación en las Técnicas de Reanimación Cardiopulmonar (RCP) Básicas en la currícula escolar de los Centros Educativos del territorio provincial.</t>
  </si>
  <si>
    <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t>
  </si>
  <si>
    <t>https://www.youtube.com/watch?v=eEq-oNhUI0I</t>
  </si>
  <si>
    <t>https://gld.legislaturacba.gob.ar/Publics/Actas.aspx?id=ljLMNn1PxAw=;https://gld.legislaturacba.gob.ar/Publics/Actas.aspx?id=Ac4AjNputzM=</t>
  </si>
  <si>
    <t>Estableciendo y regulando la Administración Financiera y Control del Sector Público No Financiero de la Provincia, derogando artículos de las leyes Nros. 5901, 7631 y 9086 y modificando artículos de las leyes Nros. 10155 y 10580.</t>
  </si>
  <si>
    <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t>
  </si>
  <si>
    <t>https://gld.legislaturacba.gob.ar/Publics/Actas.aspx?id=xfAGUXO94i4=</t>
  </si>
  <si>
    <t xml:space="preserve">Modificando las leyes Nros. 9361, Escalafón para el Personal de la Administración Pública Provincial, y 7625, Régimen de Personal del Equipo de Salud Humana; referidos a situación de revista, cobertura de cargos y llamado a concurso para el Personal Superior. </t>
  </si>
  <si>
    <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t>
  </si>
  <si>
    <t>https://www.youtube.com/watch?v=BIygIMv7k3k</t>
  </si>
  <si>
    <t>https://gld.legislaturacba.gob.ar/Publics/Actas.aspx?id=6ucP5NXg4zg=;https://gld.legislaturacba.gob.ar/Publics/Actas.aspx?id=Yxn2qhZ5xh4=</t>
  </si>
  <si>
    <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t>
  </si>
  <si>
    <t>https://www.youtube.com/watch?v=MveWz4f2klY</t>
  </si>
  <si>
    <t>https://gld.legislaturacba.gob.ar/Publics/Actas.aspx?id=FMAKmNMpYNY=;https://gld.legislaturacba.gob.ar/Publics/Actas.aspx?id=dqweA0L4Qfo=</t>
  </si>
  <si>
    <t>LEGISLACIÓN GENERAL;EDUCACIÓN, CULTURA, CIENCIA, TECNOLOGÍA E INFORMÁTICA</t>
  </si>
  <si>
    <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t>
  </si>
  <si>
    <t>https://www.youtube.com/watch?v=R1fmpmqei1o</t>
  </si>
  <si>
    <t>https://gld.legislaturacba.gob.ar/Publics/Actas.aspx?id=tSSXxsd20sQ=;https://gld.legislaturacba.gob.ar/Publics/Actas.aspx?id=c9d2Z_vqor4=</t>
  </si>
  <si>
    <t>SALUD HUMANA;DERECHOS HUMANOS Y DESARROLLO SOCIAL;DEPORTES Y RECREACIÓN</t>
  </si>
  <si>
    <t>Deporte Adaptado</t>
  </si>
  <si>
    <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t>
  </si>
  <si>
    <t>https://www.youtube.com/watch?v=CjVMI6q8seo</t>
  </si>
  <si>
    <t>https://gld.legislaturacba.gob.ar/Publics/Actas.aspx?id=2i2ILyd1Qtg=;https://gld.legislaturacba.gob.ar/Publics/Actas.aspx?id=JFT0eAopAyk=;https://gld.legislaturacba.gob.ar/Publics/Actas.aspx?id=Gr3QIOt_K8I=</t>
  </si>
  <si>
    <t>Visita al Polo Integral de la Mujer en situación de violencia</t>
  </si>
  <si>
    <t>https://gld.legislaturacba.gob.ar/Publics/Actas.aspx?id=yZM8oiIEy0k=</t>
  </si>
  <si>
    <t xml:space="preserve">Estableciendo y regulando la Administración Financiera y Control del Sector Público No Financiero de la Provincia, derogando artículos de las leyes Nros. 5901, 7631 y 9086 y modificando artículos de las leyes Nros. 10155 y 10580. </t>
  </si>
  <si>
    <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t>
  </si>
  <si>
    <t>https://www.youtube.com/watch?v=oLiAO9mTVSM</t>
  </si>
  <si>
    <t>https://gld.legislaturacba.gob.ar/Publics/Actas.aspx?id=4C4-4UT0dDw=</t>
  </si>
  <si>
    <t>Modificando el radio municipal de la localidad de Los Cerrillos, Dpto. San Javier</t>
  </si>
  <si>
    <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t>
  </si>
  <si>
    <t>https://www.youtube.com/watch?v=3w6OjkrK_iI</t>
  </si>
  <si>
    <t>https://gld.legislaturacba.gob.ar/Publics/Actas.aspx?id=_UwL7fFvCf8=</t>
  </si>
  <si>
    <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</si>
  <si>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https://www.youtube.com/watch?v=kYkxrHKzUco</t>
  </si>
  <si>
    <t>https://gld.legislaturacba.gob.ar/Publics/Actas.aspx?id=EWfatZF0hNs=</t>
  </si>
  <si>
    <t>Cuarto Congreso RAAC - Congreso de Prevención y Asistencia a las Adicciones</t>
  </si>
  <si>
    <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t>
  </si>
  <si>
    <t>https://www.youtube.com/watch?v=IyJ6SrOKckI</t>
  </si>
  <si>
    <t>https://gld.legislaturacba.gob.ar/Publics/Actas.aspx?id=3zSzz9QKjXA=;https://gld.legislaturacba.gob.ar/Publics/Actas.aspx?id=RYTlmkoMtA8=</t>
  </si>
  <si>
    <t>Solicitando al Poder Ejecutivo informe (Art. 102 C.P.) sobre el estado de diversas obras relacionadas con Ministerio de Promoción del Empleo y de la Economía Familiar.</t>
  </si>
  <si>
    <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t>
  </si>
  <si>
    <t>https://www.youtube.com/watch?v=XvRwezdCAmI</t>
  </si>
  <si>
    <t>https://gld.legislaturacba.gob.ar/Publics/Actas.aspx?id=lQRN_lf1RYE=</t>
  </si>
  <si>
    <t xml:space="preserve">Solicitando al Poder Ejecutivo informe (Art. 102 C.P.) sobre distintos aspectos referidos al sistema de señalización en los caminos rurales de la provincia. </t>
  </si>
  <si>
    <t xml:space="preserve">Solicitando al Poder Ejecutivo informe (Art. 102 C.P.) sobre diversos aspectos referidos a los planes de vivienda Semilla, Semilla Plus, Tengo Casa Bancor y Casa Bancor.  </t>
  </si>
  <si>
    <t xml:space="preserve">Solicitando al Poder Ejecutivo informe (Art. 102 C.P.) sobre diversos aspectos vinculados con las obras públicas, viales y de infraestructura previstas y ejecutadas por la Ley de Presupuesto 2021, y respecto de las obras viales realizadas por Caminos de las Sierras SA. </t>
  </si>
  <si>
    <t>Buenas Practicas Agropecuarias (BPAs) 2022</t>
  </si>
  <si>
    <t>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</si>
  <si>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https://www.youtube.com/watch?v=EqnI_CcUMRc</t>
  </si>
  <si>
    <t>https://gld.legislaturacba.gob.ar/Publics/Actas.aspx?id=j7Ra1ri0zhQ=</t>
  </si>
  <si>
    <t>LEGISLACIÓN GENERAL;ECONOMÍA, PRESUPUESTO, GESTIÓN PÚBLICA E INNOVACIÓN</t>
  </si>
  <si>
    <t>Estableciendo y regulando la Administración Financiera y Control del Sector Público No Financiero de la Provincia, derogando artículos de las leyes Nros. 5901, 7631 y 9086 y modificando artículos de las leyes Nros. 10155 y 10580</t>
  </si>
  <si>
    <t>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</si>
  <si>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https://www.youtube.com/watch?v=Mmrwv4LkWvs</t>
  </si>
  <si>
    <t>https://gld.legislaturacba.gob.ar/Publics/Actas.aspx?id=RECgEjex-Eg=;https://gld.legislaturacba.gob.ar/Publics/Actas.aspx?id=agmxgj2xeQc=</t>
  </si>
  <si>
    <t xml:space="preserve">Sustituyendo los Anexos I y II de la Ley N° 10208 de Política Ambiental Provincial. </t>
  </si>
  <si>
    <t>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</si>
  <si>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https://www.youtube.com/watch?v=6n-FCU7M0Rk</t>
  </si>
  <si>
    <t>https://gld.legislaturacba.gob.ar/Publics/Actas.aspx?id=jWp3de-bQPQ=</t>
  </si>
  <si>
    <t>EDUCACIÓN, CULTURA, CIENCIA, TECNOLOGÍA E INFORMÁTICA;SALUD HUMANA</t>
  </si>
  <si>
    <t>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</si>
  <si>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https://www.youtube.com/watch?v=MIgmEFGWL-g</t>
  </si>
  <si>
    <t>https://gld.legislaturacba.gob.ar/Publics/Actas.aspx?id=owHEuLeJVvk=;https://gld.legislaturacba.gob.ar/Publics/Actas.aspx?id=AOg_EHyf6SI=</t>
  </si>
  <si>
    <t>Estableciendo la capacitación obligatoria en reanimación cardio pulmonar y primeros auxilios para quienes se desempeñen laboralmente en la Administración Pública.</t>
  </si>
  <si>
    <t xml:space="preserve">Implementando la aplicacion de la Ley Nacional 26835 de Promoción y Capacitación en las Técnicas de Reanimación Cardiopulmonar (RCP) Básicas en la currícula escolar de los Centros Educativos del territorio provincial. </t>
  </si>
  <si>
    <t xml:space="preserve">Instituyendo la formación y capacitación en técnicas principales de Primeros Auxilios y Reanimación Cardiopulmonar (RCP) a los empleados de toda la Administración Pública provincial, entes descentralizados, APROSS, empresas con participación estatal, Agencias y Establecimientos educativos estatales de forma obligatoria.  </t>
  </si>
  <si>
    <t xml:space="preserve">Instituyendo de forma obligatoria la formación y capacitación en las técnicas principales de Primeros Auxilios y Reanimación Cardiopulmonar, a los empleados públicos de toda la Administración Pública provincial, entes descentralizados, empresas con participación estatal y Agencias. </t>
  </si>
  <si>
    <t>Adhiriendo a la Ley Nacional Nº 27159 de "Sistema de Prevención Integral de Eventos de Muerte Súbita en espacios públicos y privados de acceso público".</t>
  </si>
  <si>
    <t xml:space="preserve">Modificando el radio municipal de la localidad de Carnerillo, Dpto. Juárez Celman, y el límite interdepartamental entre los Departamentos Juárez Celman y Río Cuarto. </t>
  </si>
  <si>
    <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</si>
  <si>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https://www.youtube.com/watch?v=GJ34d8N-1X4</t>
  </si>
  <si>
    <t>https://gld.legislaturacba.gob.ar/Publics/Actas.aspx?id=NilBp1bstm8=</t>
  </si>
  <si>
    <t xml:space="preserve">Solicitando la comparecencia del Ministro de Educación (Art. 101 C.P.) para que informe sobre la vuelta a la plena presencialidad en las aulas y las exigencias que esta implica para los docentes. </t>
  </si>
  <si>
    <t>https://www.youtube.com/watch?v=Dl_hS7nYie8</t>
  </si>
  <si>
    <t xml:space="preserve">Solicitando al Poder Ejecutivo informe (Art. 102 C.P.) sobre diversos aspectos referidos al estado edilicio del IPET N° 48, Presidente Roca, de la ciudad de Córdoba, y especialmente los controles realizados por la EPEC a las instalaciones eléctricas de éste y de todos los establecimientos educativos provinciales. </t>
  </si>
  <si>
    <t xml:space="preserve">Solicitando al Poder Ejecutivo informe (Art. 102 C.P.) si se han realizado evaluaciones a los alumnos de nivel primario, secundario y terciario post pandemia Covid-19, si está previsto recuperar contenidos no dados los últimos dos años y si la educación vial forma parte de la currícula de los niveles primario y secundario. </t>
  </si>
  <si>
    <t>Solicitando al Poder Ejecutivo informe (Art. 102 C.P.) sobre diversos aspectos referidos a la aplicación de la Ley Nº 10729, por titularización de suplentes e interinos del Estatuto Docente.</t>
  </si>
  <si>
    <t xml:space="preserve">solicitando al Poder Ejecutivo informe (Art. 102 C.P.) sobre diversos aspectos referidos a las estadísticas del sistema educativo provincial. </t>
  </si>
  <si>
    <t>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</si>
  <si>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https://www.youtube.com/watch?v=icnPbW1bkRA</t>
  </si>
  <si>
    <t>https://gld.legislaturacba.gob.ar/Publics/Actas.aspx?id=8_8Cx3meStw=;https://gld.legislaturacba.gob.ar/Publics/Actas.aspx?id=gF5e_JUY_3g=</t>
  </si>
  <si>
    <t>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</si>
  <si>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https://www.youtube.com/watch?v=5RqRfDMoJOs</t>
  </si>
  <si>
    <t>https://gld.legislaturacba.gob.ar/Publics/Actas.aspx?id=1bR-qGmG-cw=;https://gld.legislaturacba.gob.ar/Publics/Actas.aspx?id=S5KN3YfHvzA=</t>
  </si>
  <si>
    <t xml:space="preserve">Aprobando el Decreto N° 662/22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 </t>
  </si>
  <si>
    <t>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</si>
  <si>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https://www.youtube.com/watch?v=i1HDtNoEIm0</t>
  </si>
  <si>
    <t>https://gld.legislaturacba.gob.ar/Publics/Actas.aspx?id=EwbBJJuWdE0=;https://gld.legislaturacba.gob.ar/Publics/Actas.aspx?id=hZO9VREcmi4=</t>
  </si>
  <si>
    <t xml:space="preserve">Modificando el radio municipal de la localidad de Sarmiento, Dpto. Totoral, y el límite interdepartamental entre los Departamentos Ischilín y Totoral. </t>
  </si>
  <si>
    <t>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</si>
  <si>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https://www.youtube.com/watch?v=GAn3lentJVw</t>
  </si>
  <si>
    <t>https://gld.legislaturacba.gob.ar/Publics/Actas.aspx?id=WstocYgW4ao=</t>
  </si>
  <si>
    <t>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</si>
  <si>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https://www.youtube.com/watch?v=bp69RRTvAmk</t>
  </si>
  <si>
    <t>https://gld.legislaturacba.gob.ar/Publics/Actas.aspx?id=ms9sIoyQBaQ=;https://gld.legislaturacba.gob.ar/Publics/Actas.aspx?id=JIrowLq7dTM=</t>
  </si>
  <si>
    <t xml:space="preserve">Declarando de utilidad pública y sujetos a expropiación los inmuebles necesarios para la ejecución de la obra: "Segundo Anillo de Circunvalación de Córdoba -Tramo: Ruta A-174- Ruta Nacional N° 9, Sur". </t>
  </si>
  <si>
    <t>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</si>
  <si>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https://www.youtube.com/watch?v=wd88zuyLdfQ</t>
  </si>
  <si>
    <t>https://gld.legislaturacba.gob.ar/Publics/Actas.aspx?id=GSwZbLGLyUg=</t>
  </si>
  <si>
    <t xml:space="preserve">Estableciendo la Ley Orgánica del Ministerio Público de la Defensa de la Provincia de Córdoba y de Asistencia Jurídica Gratuita, derogando la Ley Nº 7982 y modificando las leyes Nros. 8435 y 8024. </t>
  </si>
  <si>
    <t>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</si>
  <si>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https://www.youtube.com/watch?v=qiogU2i2LgI</t>
  </si>
  <si>
    <t>https://gld.legislaturacba.gob.ar/Publics/Actas.aspx?id=dMQYTl6tzas=;https://gld.legislaturacba.gob.ar/Publics/Actas.aspx?id=F8GQ9bIKoDk=</t>
  </si>
  <si>
    <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</si>
  <si>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https://www.youtube.com/watch?v=W0ASEBtAbVU</t>
  </si>
  <si>
    <t>https://gld.legislaturacba.gob.ar/Publics/Actas.aspx?id=tV9UXuXnkHU=</t>
  </si>
  <si>
    <t>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</si>
  <si>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https://www.youtube.com/watch?v=YM8qUUW6j6I</t>
  </si>
  <si>
    <t>https://gld.legislaturacba.gob.ar/Publics/Actas.aspx?id=bWA8IRCqhfU=;https://gld.legislaturacba.gob.ar/Publics/Actas.aspx?id=JxF-L9HVCOY=</t>
  </si>
  <si>
    <t>Solicitando al Poder Ejecutivo informe (Art. 102 C.P.) sobre el pase del Programa Provincial de Prevención y Asistencia al Maltrato Infanto-Juvenil a la órbita de la Secretaría de Salud Mental.</t>
  </si>
  <si>
    <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</si>
  <si>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https://www.youtube.com/watch?v=7FA7qJ9Mor0</t>
  </si>
  <si>
    <t>https://gld.legislaturacba.gob.ar/Publics/Actas.aspx?id=rm1Kd1pi3I0=</t>
  </si>
  <si>
    <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</si>
  <si>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https://www.youtube.com/watch?v=o_7Fz-4WxlU</t>
  </si>
  <si>
    <t>https://gld.legislaturacba.gob.ar/Publics/Actas.aspx?id=pVwhKDlCzQ8=;https://gld.legislaturacba.gob.ar/Publics/Actas.aspx?id=nSdSm_HZW1M=</t>
  </si>
  <si>
    <t>Incorporando diversos artículos a la Ley N° 10.326, Código de Convivencia de la provincia de Córdoba</t>
  </si>
  <si>
    <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</si>
  <si>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https://www.youtube.com/watch?v=BCbaBFNxRDQ</t>
  </si>
  <si>
    <t>https://gld.legislaturacba.gob.ar/Publics/Actas.aspx?id=TgM7hWb4I1I=</t>
  </si>
  <si>
    <t xml:space="preserve">Modificando el radio comunal de la localidad de Onagoity, Dpto. General Roca. </t>
  </si>
  <si>
    <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</si>
  <si>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https://www.youtube.com/watch?v=Y32O3zV28Rc</t>
  </si>
  <si>
    <t>https://gld.legislaturacba.gob.ar/Publics/Actas.aspx?id=XCZYIU5xg-s=</t>
  </si>
  <si>
    <t xml:space="preserve">Estableciendo un procedimiento administrativo para abordar, prevenir, controlar y sancionar la violencia laboral ejercida contra trabajadoras y trabajadores tanto del sector público como privado; así como brindar protección a los/las víctimas, los/las denunciantes y/o testigos de los hechos. </t>
  </si>
  <si>
    <t>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</si>
  <si>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https://www.youtube.com/watch?v=iKNBbxQpsSo</t>
  </si>
  <si>
    <t>https://gld.legislaturacba.gob.ar/Publics/Actas.aspx?id=apidZIVzDd4=</t>
  </si>
  <si>
    <t xml:space="preserve">Previniendo y sancionando la violencia laboral sobre los trabajadores que se desempeñen en la administración pública provincial, organismos descentralizados, entes autárquicos, empresas o sociedades del estado provincial, sociedades de economía mixta o con participación estatal mayoritaria, como así también en el ámbito del poder legislativo y judicial provincial. </t>
  </si>
  <si>
    <t>Estableciendo la prevención, abordaje, sanción y erradicación de violencia laboral, brindando protección a las víctimas, así como a los denunciantes o testigos.</t>
  </si>
  <si>
    <t>AMBIENTE;AGRICULTURA, GANADERÍA Y RECURSOS RENOVABLES</t>
  </si>
  <si>
    <t xml:space="preserve">Adhiriendo la provincia a la Ley Nacional N° 27487, de “Inversiones Forestales”, en la que se introducen modificaciones a la Ley Nacional N° 25080, de “Inversiones para Bosques Cultivados”, a la que se adhirió oportunamente por Ley Nº 8855. </t>
  </si>
  <si>
    <t>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</si>
  <si>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https://www.youtube.com/watch?v=dxIrppte6aM</t>
  </si>
  <si>
    <t>https://gld.legislaturacba.gob.ar/Publics/Actas.aspx?id=4I2A3AGxQk0=;https://gld.legislaturacba.gob.ar/Publics/Actas.aspx?id=1sI1d-Xo0TE=</t>
  </si>
  <si>
    <t>Solicitando al Poder Ejecutivo informe (Art. 102 C.P.) sobre diversos aspectos relacionados a la práctica de Interrupción Voluntaria del Embarazo durante el primer semestre de año 2021</t>
  </si>
  <si>
    <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</si>
  <si>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https://gld.legislaturacba.gob.ar/Publics/Actas.aspx?id=yCAgq-cindo=</t>
  </si>
  <si>
    <t>Solicitando al Poder Ejecutivo informe (Art. 102 C.P.) sobre las razones por las que se encuentra sin funcionar el equipo Facovitréctomo del Hospital Córdoba, así como las medidas tomadas para ponerlo operativo y alternativas ofrecidas a los pacientes.</t>
  </si>
  <si>
    <t>Solicitando al Poder Ejecutivo informe (Art. 102 C.P.) sobre diversos aspectos relacionados al Programa 463-000-Subprograma-(C.E.) Programas Nacionales Varios, en el portal de transparencia año 2021.</t>
  </si>
  <si>
    <t xml:space="preserve">Solicitando al Poder Ejecutivo informe (Art. 102 C.P.) sobre el estado de baños y vestuarios para padres en el Hospital de Niños Santísima Trinidad de la ciudad de Córdoba. </t>
  </si>
  <si>
    <t>Solicitando al Poder Ejecutivo informe (Art. 102 C.P.) sobre diversos aspectos referidos al personal y funcionamiento del Hospital Modular Punilla.</t>
  </si>
  <si>
    <t>Estableciendo la Ley Orgánica del Ministerio Público de la Defensa de la Provincia de Córdoba y de Asistencia Jurídica Gratuita, derogando la Ley Nº 7982 y modificando las leyes Nros. 8435 y 8024.</t>
  </si>
  <si>
    <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</si>
  <si>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https://www.youtube.com/watch?v=4Qt3gpG6ifY</t>
  </si>
  <si>
    <t>https://gld.legislaturacba.gob.ar/Publics/Actas.aspx?id=waoITHmxHTg=;https://gld.legislaturacba.gob.ar/Publics/Actas.aspx?id=LkvP2ayX5fY=</t>
  </si>
  <si>
    <t>Solicitando al Poder Ejecutivo informe (Art. 102 C.P.) sobre diversos aspectos referidos a la visita del Sr. Gobernador y su comitiva al País Vasco.</t>
  </si>
  <si>
    <t>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</si>
  <si>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https://www.youtube.com/watch?v=srBgr7eai9E</t>
  </si>
  <si>
    <t>https://gld.legislaturacba.gob.ar/Publics/Actas.aspx?id=ucQHjYrRsEA=</t>
  </si>
  <si>
    <t>AMBIENTE;ECONOMÍA, PRESUPUESTO, GESTIÓN PÚBLICA E INNOVACIÓN;SERVICIOS PÚBLICOS;AGRICULTURA, GANADERÍA Y RECURSOS RENOVABLES;INDUSTRIA Y MINERÍA;PROMOCIÓN Y DESARROLLO DE LAS COMUNIDADES REGIONALES</t>
  </si>
  <si>
    <t>Visita a la Fábrica Porta Hnos. y a la Estación de Carga de Biocombustibles B20 ubicada en la Central Ingeniero Francisco Bazán de esta ciudad.</t>
  </si>
  <si>
    <t>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t>
  </si>
  <si>
    <t>Solicitando al Poder Ejecutivo informe (Art. 102 C.P.) sobre la aplicación de la Ley N° 10721, de Promoción y Desarrollo para la Producción y Consumo de Biocombustibles y Bioenergía.</t>
  </si>
  <si>
    <t>Solicitando al Poder Ejecutivo informe (Art. 102 C.P.) sobre aspectos referidos al Programa de Autoconsumo de Biodiesel 100% en el 2021 y respecto del Programa BETA E85.</t>
  </si>
  <si>
    <t>Declarando de utilidad pública y sujetos a expropiación los inmuebles ubicados en barrio La Toma, en el asentamiento denominado “La Toma” de la ciudad de Córdoba, para la regularización dominial y saneamiento de títulos.</t>
  </si>
  <si>
    <t>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</si>
  <si>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https://www.youtube.com/watch?v=QSUCghIEIkU</t>
  </si>
  <si>
    <t>https://gld.legislaturacba.gob.ar/Publics/Actas.aspx?id=UoWdxo7lXGQ=;https://gld.legislaturacba.gob.ar/Publics/Actas.aspx?id=HjsGx7ytAVI=</t>
  </si>
  <si>
    <t>Solicitando al Poder Ejecutivo informe (Art. 102 C.P.) detalladamente sobre diversos aspectos referidos a la Ley N° 9021, que crea el Programa Asistencial de Cuidados Paliativos y Tratamientos del Dolor.</t>
  </si>
  <si>
    <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</si>
  <si>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https://www.youtube.com/watch?v=Gu4w2Rw0CgY</t>
  </si>
  <si>
    <t>https://gld.legislaturacba.gob.ar/Publics/Actas.aspx?id=h1at5mCX-YI=</t>
  </si>
  <si>
    <t>Solicitando al Poder Ejecutivo informe (Art. 102 C.P.) sobre diversos aspectos referidos a la Ley N° 10671 -Implementa en todo el territorio provincial una campaña anual de información, concientización, difusión, capacitación, detección precoz y tratamiento sobre la Endometriosis.</t>
  </si>
  <si>
    <t>Modificando el radio comunal de la localidad de Onagoity, Dpto. General Roca.</t>
  </si>
  <si>
    <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</si>
  <si>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https://gld.legislaturacba.gob.ar/Publics/Actas.aspx?id=5TyD928e9g0=</t>
  </si>
  <si>
    <t>LEGISLACIÓN GENERAL;AMBIENTE;AGRICULTURA, GANADERÍA Y RECURSOS RENOVABLES</t>
  </si>
  <si>
    <t>Adhiriendo la provincia a la Ley Nacional N° 27487, de “Inversiones Forestales”, en la que se introducen modificaciones a la Ley Nacional N° 25080, de “Inversiones para Bosques Cultivados”, a la que se adhirió oportunamente por Ley Nº 8855.</t>
  </si>
  <si>
    <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</si>
  <si>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https://www.youtube.com/watch?v=lmUSzXF2a1Q</t>
  </si>
  <si>
    <t>https://gld.legislaturacba.gob.ar/Publics/Actas.aspx?id=MlojQ7y89cY=;https://gld.legislaturacba.gob.ar/Publics/Actas.aspx?id=iMpAe8aVd2Y=;https://gld.legislaturacba.gob.ar/Publics/Actas.aspx?id=tl4CvXDQuWA=</t>
  </si>
  <si>
    <t>ASUNTOS INSTITUCIONALES, MUNICIPALES Y COMUNALES;INDUSTRIA Y MINERÍA;PROMOCIÓN Y DESARROLLO DE LAS ECONOMÍAS REGIONALES Y PYMES</t>
  </si>
  <si>
    <t>Modificando los artículos 3° y 9° de la Ley N° 8652, Régimen de las Personas Jurídicas de la Provincia de Córdoba, incorporando la figura de Protocolo de Empresas Familiares.</t>
  </si>
  <si>
    <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</si>
  <si>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https://www.youtube.com/watch?v=2-mU6HTUtU0</t>
  </si>
  <si>
    <t>https://gld.legislaturacba.gob.ar/Publics/Actas.aspx?id=Rjy_yq3iBcY=;https://gld.legislaturacba.gob.ar/Publics/Actas.aspx?id=DyukL9KCKOU=;https://gld.legislaturacba.gob.ar/Publics/Actas.aspx?id=h2h_-4AVn4M=</t>
  </si>
  <si>
    <t>Visita al Estadio Mario Kempes en el marco del programa provincial "Córdoba Juega Adaptado 2022"</t>
  </si>
  <si>
    <t>https://www.youtube.com/watch?v=wWQ8e95Bd0k</t>
  </si>
  <si>
    <t>https://gld.legislaturacba.gob.ar/Publics/Actas.aspx?id=PbfUWTwq3FI=;https://gld.legislaturacba.gob.ar/Publics/Actas.aspx?id=ZGlc3ZVej5M=;https://gld.legislaturacba.gob.ar/Publics/Actas.aspx?id=imgwDfsyw1w=</t>
  </si>
  <si>
    <t>Declarando de Interés Provincial los Activos Digitales Gubernamentales que forman parte del dominio del Estado como bienes inmateriales, regulando el uso, administración, protección, resguardo y traspaso de los mismos, con el objeto de evitar la pérdida de información pública.</t>
  </si>
  <si>
    <t>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</si>
  <si>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https://www.youtube.com/watch?v=PeuApIFXz6Y</t>
  </si>
  <si>
    <t>https://gld.legislaturacba.gob.ar/Publics/Actas.aspx?id=2mHZrhfaxvI=</t>
  </si>
  <si>
    <t>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</si>
  <si>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https://www.youtube.com/watch?v=ovaHFXT0mis</t>
  </si>
  <si>
    <t>https://gld.legislaturacba.gob.ar/Publics/Actas.aspx?id=UQ6HEuuKFc8=</t>
  </si>
  <si>
    <t>Solicitando acuerdo para designar al abogado Julián Nicolás Daghero, como Vocal de Cámara en la Sala Quinta de la Cámara del Trabajo, perteneciente a la Primera Circunscripción Judicial con asiento en la ciudad de Córdoba.</t>
  </si>
  <si>
    <t>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</si>
  <si>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https://gld.legislaturacba.gob.ar/Publics/Actas.aspx?id=OGqfME3idG4=</t>
  </si>
  <si>
    <t xml:space="preserve">Solicitando al Poder Ejecutivo informe (Art. 102 C.P.) sobre diversos aspectos referidos al ciberataque perpetrado contra el Poder Judicial de la provincia el pasado 13 de agosto. </t>
  </si>
  <si>
    <t xml:space="preserve">solicitando al Poder Ejecutivo informe (Art. 102 C.P.) sobre diversos aspectos referidos al denominado "cíber ataque" al sistema informático del Poder Judicial de la provincia. </t>
  </si>
  <si>
    <t>Las coberturas de guerra en un mundo en conflicto</t>
  </si>
  <si>
    <t>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</si>
  <si>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https://www.youtube.com/watch?v=HuVeWCA3Iqc</t>
  </si>
  <si>
    <t>https://gld.legislaturacba.gob.ar/Publics/Actas.aspx?id=usc1x2lZowM=</t>
  </si>
  <si>
    <t xml:space="preserve">Aprobando el Decreto N° 611/22 por el que se aprobó el Convenio Marco de Colaboración N° 101/2021 celebrado entre el Ministerio de Seguridad y el Instituto Nacional del Agua. </t>
  </si>
  <si>
    <t>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</si>
  <si>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https://www.youtube.com/watch?v=LHWEconwuiM</t>
  </si>
  <si>
    <t>https://gld.legislaturacba.gob.ar/Publics/Actas.aspx?id=fVJtVgKnKZw=;https://gld.legislaturacba.gob.ar/Publics/Actas.aspx?id=gAhhvPd7vVg=</t>
  </si>
  <si>
    <t>Informe de Gestión e incendios ocurridos en el transcurso del año 2022</t>
  </si>
  <si>
    <t>ASUNTOS INSTITUCIONALES, MUNICIPALES Y COMUNALES;ECONOMÍA, PRESUPUESTO, GESTIÓN PÚBLICA E INNOVACIÓN;OBRAS PÚBLICAS, VIVIENDA Y COMUNICACIONES</t>
  </si>
  <si>
    <t xml:space="preserve">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 </t>
  </si>
  <si>
    <t>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</si>
  <si>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https://www.youtube.com/watch?v=FD23kQOoKOk</t>
  </si>
  <si>
    <t>https://gld.legislaturacba.gob.ar/Publics/Actas.aspx?id=Bu9XMDWgVRE=;https://gld.legislaturacba.gob.ar/Publics/Actas.aspx?id=9kZf_tkSv9I=;https://gld.legislaturacba.gob.ar/Publics/Actas.aspx?id=0jXDObisALs=</t>
  </si>
  <si>
    <t>Analisis de la situación de las empresas exportadoras de la Provincia de Córdoba</t>
  </si>
  <si>
    <t>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</si>
  <si>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https://www.youtube.com/watch?v=9ddfgBNtvag</t>
  </si>
  <si>
    <t>https://gld.legislaturacba.gob.ar/Publics/Actas.aspx?id=i40HrDp3sfU=</t>
  </si>
  <si>
    <t>Solicitando al Poder Ejecutivo informe (Art. 102 C.P.) sobre diversos aspectos relacionados a las acciones implementadas por la Defensoria de los Derechos de las Niñas, Niños y Adolescentes de Córdoba, respecto a su función de supervisión de instituciones públicas y privadas que se dedican a la atención de niños, niñas y adolescentes, durante el año 2022</t>
  </si>
  <si>
    <t>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</si>
  <si>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https://www.youtube.com/watch?v=NROZfnalITM</t>
  </si>
  <si>
    <t>https://gld.legislaturacba.gob.ar/Publics/Actas.aspx?id=dTEncuLgz1Y=</t>
  </si>
  <si>
    <t xml:space="preserve">Solicitando al Poder Ejecutivo informe (Art. 102 C.P.) sobre diversos aspectos relacionados a los niños, niñas y adolescentes sin cuidados parentales.  </t>
  </si>
  <si>
    <t xml:space="preserve">Solicitando al Poder Ejecutivo la comparecencia de la Defensora de los Derechos de los Niños, Niñas y Adolescentes para que informe sobre diversos aspectos referidos a las intoxicaciones y muertes de bebés recién nacidos en el Hospital Neonatal de la ciudad de Córdoba; los abusos sexuales sufridos por menores alojadas en una residencia en el interior provincial y al traspaso de la UIAVI (Unidad Interdisciplinaria de Atención Integral de la Violencia Infantil) a la órbita de la Secretaría de Salud Mental. </t>
  </si>
  <si>
    <t>Solicitando al Poder Ejecutivo informe (Art. 102 C.P.) sobre diversos aspectos referidos a posibles casos de abusos sexuales perpetrados a menores de edad por personal de la Secretaría de Niñez, Adolescencia y Familia</t>
  </si>
  <si>
    <t>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</si>
  <si>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https://www.youtube.com/watch?v=r8vcTNFJJAE</t>
  </si>
  <si>
    <t>https://gld.legislaturacba.gob.ar/Publics/Actas.aspx?id=ulVFAk5IeYs=</t>
  </si>
  <si>
    <t xml:space="preserve">Adhiriendo a la Ley Nacional Nº 27159 de "Sistema de Prevención Integral de Eventos de Muerte Súbita en espacios públicos y privados de acceso público". </t>
  </si>
  <si>
    <t xml:space="preserve">Instituyendo la Promesa de Lealtad a la Bandera Provincial que se realizará el “Día de la Bandera Oficial de provincia de Córdoba”, el 18 de septiembre de cada año. </t>
  </si>
  <si>
    <t>Solicitando al Poder Ejecutivo informe (Art. 102 C.P.) sobre diversos aspectos referidos a la falta de pago de Obras Sociales, empresas de Medicina Prepaga y Superintendencia de Salud de la Nación de los aranceles a profesionales de la salud vinculados a la rehabilitación y acompañamiento terapéutico de personas con discapacidad.</t>
  </si>
  <si>
    <t>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</si>
  <si>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https://gld.legislaturacba.gob.ar/Publics/Actas.aspx?id=8fLmH67fXhE=</t>
  </si>
  <si>
    <t xml:space="preserve">Solicitando al Poder Ejecutivo informe (Art. 102 C.P.) sobre diversos aspectos relacionados al financiamiento de prestadores de servicios a personas con discapacidad. </t>
  </si>
  <si>
    <t xml:space="preserve">Solicitando al Poder Ejecutivo informe (Art. 102 C.P.) sobre diversos aspectos referidos a la interrupción de los pagos destinados a prestadores del programa federal Incluir Salud. </t>
  </si>
  <si>
    <t>AGRICULTURA, GANADERÍA Y RECURSOS RENOVABLES;RELACIONES INTERNACIONALES, MERCOSUR Y COMERCIO EXTERIOR</t>
  </si>
  <si>
    <t>Aporte de la agroindustria a la economía de la provincia de Córdoba</t>
  </si>
  <si>
    <t>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</si>
  <si>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https://www.youtube.com/watch?v=GcydzqM2hA8</t>
  </si>
  <si>
    <t>https://gld.legislaturacba.gob.ar/Publics/Actas.aspx?id=MlKBsXrupXw=;https://gld.legislaturacba.gob.ar/Publics/Actas.aspx?id=_JgI_c7uUC0=</t>
  </si>
  <si>
    <t>LEGISLACIÓN GENERAL;ASUNTOS CONSTITUCIONALES, JUSTICIA Y ACUERDOS;EQUIDAD Y LUCHA CONTRA LA VIOLENCIA DE GÉNERO</t>
  </si>
  <si>
    <t>Incorporando diversos artículos a la Ley N° 10.326, Código de Convivencia de la provincia de Córdoba.</t>
  </si>
  <si>
    <t>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</si>
  <si>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https://www.youtube.com/watch?v=Nf_rtZudFRE</t>
  </si>
  <si>
    <t>https://gld.legislaturacba.gob.ar/Publics/Actas.aspx?id=G1aVRLDPw6E=;https://gld.legislaturacba.gob.ar/Publics/Actas.aspx?id=B0wXJeW9U8I=;https://gld.legislaturacba.gob.ar/Publics/Actas.aspx?id=4iLiD4bZp0Y=</t>
  </si>
  <si>
    <t>Solicitando al Poder Ejecutivo informe (Art. 102 de la C.P.) sobre diversos puntos referidos a la distribución del Fondo para Infraestructura y Programas Sociales provenientes del Gobierno Nacional en el ejercicio 2020 y a junio de 2021</t>
  </si>
  <si>
    <t>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</si>
  <si>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https://gld.legislaturacba.gob.ar/Publics/Actas.aspx?id=WkZK3DqQvfM=</t>
  </si>
  <si>
    <t xml:space="preserve">Solicitando al Poder Ejecutivo informe (Art. 102 C.P.) sobre la provisión de agua y obras referidas a solucionar problemas en departamentos del Norte provincial y en el Departamento Punilla. </t>
  </si>
  <si>
    <t>Solicitando al Poder Ejecutivo informe (Art. 102 C.P.) detalladamente sobre distintas cuestiones referidas a la Planta Potabilizadora de la ciudad de La Calera, Dpto. Colón</t>
  </si>
  <si>
    <t xml:space="preserve">Solicitando al Poder Ejecutivo informe (Art. 102 C.P.) sobre diversos aspectos relacionados a la ejecución de la obra 5322 Construcción Acueducto Traslasierras - Segunda Etapa, ejercicio 2022. </t>
  </si>
  <si>
    <t>Solicitando informe (Art. 102 C.P.) sobre diversos aspectos referidos a la afectación ambiental que se estaría generando con la explotación del acuífero de la localidad de San Vicente, Dpto. San Alberto</t>
  </si>
  <si>
    <t xml:space="preserve">Solicitando al Poder Ejecutivo informe (Art. 102 C.P.) sobre diversos aspectos referidos al abastecimiento de agua en la ciudad de Villa del Totoral, Dpto. Totoral. </t>
  </si>
  <si>
    <t xml:space="preserve">Solicitando al Poder Ejecutivo informe (Art. 102 C.P.) sobre diversos aspectos relacionados a la provisión del servicio de Agua en la ciudad de Saldán, Dpto. Colón. </t>
  </si>
  <si>
    <t xml:space="preserve">Modificando el radio comunal de la localidad de Las Playas, Dpto. Cruz del Eje. </t>
  </si>
  <si>
    <t>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</si>
  <si>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https://www.youtube.com/watch?v=3Kr_1DAGkkM</t>
  </si>
  <si>
    <t>https://gld.legislaturacba.gob.ar/Publics/Actas.aspx?id=sDs2CiZeX_s=</t>
  </si>
  <si>
    <t>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</si>
  <si>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https://www.youtube.com/watch?v=9AuJGxQ22hA</t>
  </si>
  <si>
    <t>https://gld.legislaturacba.gob.ar/Publics/Actas.aspx?id=FDK7kTFmbzk=</t>
  </si>
  <si>
    <t xml:space="preserve">Aprobando el Acta Acuerdo suscripta por el Gobierno de la provincia de Córdoba y el Gobierno de la provincia de Santa Fe, para la ejecución de la obra Acueducto Interprovincial Santa Fe-Córdoba Etapa I-Coronda San Francisco-Fase 1- Bloque A". </t>
  </si>
  <si>
    <t>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</si>
  <si>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https://www.youtube.com/watch?v=PMPczWSyfxw</t>
  </si>
  <si>
    <t>https://gld.legislaturacba.gob.ar/Publics/Actas.aspx?id=QeS3-8Coht0=</t>
  </si>
  <si>
    <t>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</si>
  <si>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https://www.youtube.com/watch?v=dsCo6pe6g7Q</t>
  </si>
  <si>
    <t>https://gld.legislaturacba.gob.ar/Publics/Actas.aspx?id=Z8gTtPMo0ms=</t>
  </si>
  <si>
    <t xml:space="preserve">Modificando la denominación del Capítulo I del Título III del libro II de la Ley N° 10326 -Código de Convivencia Ciudadana-, e incorporando los artículos 68 ter y quáter, referidos al cuidado de la higiene y las deposiciones en espacios públicos y privados, respectivamente; el artículo 80 bis sobre desórdenes públicos y modificando los artículos 105 -conducción peligrosa- y 125 -promoción de la acción-. </t>
  </si>
  <si>
    <t>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</si>
  <si>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https://www.youtube.com/watch?v=Iv7DMUMy-a8</t>
  </si>
  <si>
    <t>https://gld.legislaturacba.gob.ar/Publics/Actas.aspx?id=V7PkwWLummw=</t>
  </si>
  <si>
    <t xml:space="preserve">Regulando el desarrollo de las manifestaciones públicas, garantizando el ejercicio de los derechos de libertad de expresión, de reunión, de peticionar ante las autoridades, de uso del espacio público y la libre circulación e integridad física de las personas. </t>
  </si>
  <si>
    <t>"Congreso Internacional del Maiz", a desarrollarse los dias 19 y 20 de octubre en la ciudad de Córdoba.</t>
  </si>
  <si>
    <t>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</si>
  <si>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https://www.youtube.com/watch?v=P0UD-8wJH0Q</t>
  </si>
  <si>
    <t>https://gld.legislaturacba.gob.ar/Publics/Actas.aspx?id=r_oY0tkZt7A=;https://gld.legislaturacba.gob.ar/Publics/Actas.aspx?id=B6bcDLYqq0Q=</t>
  </si>
  <si>
    <t>Modificando el inciso 4to del artículo nro. 7° de la Ley nro. 8.614</t>
  </si>
  <si>
    <t>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</si>
  <si>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https://www.youtube.com/watch?v=bTCR6T4lX84</t>
  </si>
  <si>
    <t>https://gld.legislaturacba.gob.ar/Publics/Actas.aspx?id=ozd88n9ynXA=</t>
  </si>
  <si>
    <t>Modificando el radio municipal de la localidad de Pueblo Italiano, Dpto. Unión</t>
  </si>
  <si>
    <t>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</si>
  <si>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https://www.youtube.com/watch?v=Qdy0hq-8z1E</t>
  </si>
  <si>
    <t>https://gld.legislaturacba.gob.ar/Publics/Actas.aspx?id=ZqO5QdfCCxE=</t>
  </si>
  <si>
    <t xml:space="preserve">Aprobando la Addenda al Convenio suscripto por el Gobierno de la provincia de Córdoba y el Gobierno de la provincia de Santa Fe, para la Planificación y Proyección de la Obra Interjurisdiccional “Gasoducto Productivo Córdoba-Santa Fe”. </t>
  </si>
  <si>
    <t>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</si>
  <si>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https://www.youtube.com/watch?v=fEl4z4pIa8s</t>
  </si>
  <si>
    <t>https://gld.legislaturacba.gob.ar/Publics/Actas.aspx?id=0M4tz8lt6qw=</t>
  </si>
  <si>
    <t xml:space="preserve">Modificando el radio municipal de la localidad de Villa Fontana, Dpto. Río Primero. </t>
  </si>
  <si>
    <t>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</si>
  <si>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https://www.youtube.com/watch?v=4KqKguVI5vQ</t>
  </si>
  <si>
    <t>https://gld.legislaturacba.gob.ar/Publics/Actas.aspx?id=dktoq6sh_3A=</t>
  </si>
  <si>
    <t>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</si>
  <si>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https://www.youtube.com/watch?v=I_DnH6ZjUkQ</t>
  </si>
  <si>
    <t>https://gld.legislaturacba.gob.ar/Publics/Actas.aspx?id=3QEtuA80A5U=</t>
  </si>
  <si>
    <t>Solicitando al Poder Ejecutivo informe (Art. 102 C.P.) sobre la normativa que complementa o modifica la Ley N° 9694 estableciendo el Sistema de Evaluación, Registro y Fiscalización de las Investigaciones en Salud; y respecto al funcionamiento del Consejo de Evaluación Ética de la Investigación en Salud.</t>
  </si>
  <si>
    <t>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</si>
  <si>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https://www.youtube.com/watch?v=mn02SG_zkZg</t>
  </si>
  <si>
    <t>https://gld.legislaturacba.gob.ar/Publics/Actas.aspx?id=VeylO_3KBTE=</t>
  </si>
  <si>
    <t>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</si>
  <si>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https://www.youtube.com/watch?v=Nc1KP6_cm-U</t>
  </si>
  <si>
    <t>https://gld.legislaturacba.gob.ar/Publics/Actas.aspx?id=T-RA1y7D3Ww=</t>
  </si>
  <si>
    <t xml:space="preserve">Visita al Emprendimiento de Panaderia y Pastelería “Masamano”, apoyado por la Fundación Empate, sito en calle Rector León Morra 67, Barrio Juniors de esta ciudad de Córdoba.  </t>
  </si>
  <si>
    <t>https://gld.legislaturacba.gob.ar/Publics/Actas.aspx?id=kvhAyvHGT28=;https://gld.legislaturacba.gob.ar/Publics/Actas.aspx?id=QAMrCSS2804=;https://gld.legislaturacba.gob.ar/Publics/Actas.aspx?id=BCBlV9g1fKE=</t>
  </si>
  <si>
    <t xml:space="preserve">Solicitando acuerdo para designar a la abogada Cinthia Alicia Coppa como Jueza de Conciliación y del Trabajo en el Juzgado de Conciliación y Trabajo de Undécima Nominación, perteneciente a la Primera Circunscripción Judicial con asiento en la ciudad de Córdoba. </t>
  </si>
  <si>
    <t>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</si>
  <si>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https://www.youtube.com/watch?v=N1mekePlvfU</t>
  </si>
  <si>
    <t>https://gld.legislaturacba.gob.ar/Publics/Actas.aspx?id=BYe-zBLD-cE=</t>
  </si>
  <si>
    <t>Solicitando acuerdo para designar a la abogada Valeria del Valle Emmenecker como Jueza de Conciliación y del Trabajo en el Juzgado de Conciliación y del Trabajo de Decimotercera Nominación, perteneciente a la Primera Circunscripción Judicial, con asiento en la ciudad de Córdoba.</t>
  </si>
  <si>
    <t>Solicitando acuerdo para designar al abogado Gustavo Néstor Ficarra como Juez de Conciliación y del Trabajo en el Juzgado de Conciliación y del Trabajo de Duodécima Nominación, perteneciente a la Primera Circunscripción Judicial, con asiento en la ciudad de Córdoba.</t>
  </si>
  <si>
    <t xml:space="preserve">Repudiando los enfrentamientos iniciados por Azerbaiyán en la frontera con Armenia, el pasado 13 de septiembre, que ponen en peligro la paz en el Cáucaso. </t>
  </si>
  <si>
    <t xml:space="preserve">Repudiando los ataques contra la República de Armenia por parte de las fuerzas armadas de la República de Azerbaiyán, así como las atrocidades y crímenes de guerra cometidos por el ejército azerí contra la población y la soberanía de la nación armenia; exhortando a la comunidad internacional a involucrarse en la búsqueda de la paz. </t>
  </si>
  <si>
    <t>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t>
  </si>
  <si>
    <t>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</si>
  <si>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https://www.youtube.com/watch?v=KTg6feO58e4</t>
  </si>
  <si>
    <t>https://gld.legislaturacba.gob.ar/Publics/Actas.aspx?id=PWPQHaKv77c=</t>
  </si>
  <si>
    <t xml:space="preserve">Declarando de Interés Provincial los Activos Digitales Gubernamentales que forman parte del dominio del Estado como bienes inmateriales, regulando el uso, administración, protección, resguardo y traspaso de los mismos, con el objeto de evitar la pérdida de información pública. </t>
  </si>
  <si>
    <t>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</si>
  <si>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https://www.youtube.com/watch?v=q74DYCrTEGc</t>
  </si>
  <si>
    <t>https://gld.legislaturacba.gob.ar/Publics/Actas.aspx?id=sgu0b_DBy18=</t>
  </si>
  <si>
    <t>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</si>
  <si>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https://www.youtube.com/watch?v=qrwK4xJ10hs</t>
  </si>
  <si>
    <t>https://gld.legislaturacba.gob.ar/Publics/Actas.aspx?id=rI-Wju-o9Lw=</t>
  </si>
  <si>
    <t>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</si>
  <si>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https://www.youtube.com/watch?v=0FThba7H7Sk</t>
  </si>
  <si>
    <t>https://gld.legislaturacba.gob.ar/Publics/Actas.aspx?id=uFx4CgbAQ7s=</t>
  </si>
  <si>
    <t xml:space="preserve">Modificando el radio municipal de la localidad de Las Vertientes, Dpto. Río Cuarto. </t>
  </si>
  <si>
    <t>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</si>
  <si>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https://www.youtube.com/watch?v=atY_oJBj4os</t>
  </si>
  <si>
    <t>https://gld.legislaturacba.gob.ar/Publics/Actas.aspx?id=pq8n04c-NLQ=</t>
  </si>
  <si>
    <t>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</si>
  <si>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https://www.youtube.com/watch?v=X_WbYExIZ58</t>
  </si>
  <si>
    <t>https://gld.legislaturacba.gob.ar/Publics/Actas.aspx?id=77akFJ2p7bc=</t>
  </si>
  <si>
    <t>Análisis del Proyecto de Presupuesto Nacional para el año 2023 y su impacto en la provincia de Córdoba. 
Exposición a cargo de la Lic. Sofía Devalle, Directora de la Oficina Técnica de Presupuesto de la Legislatura de Córdoba</t>
  </si>
  <si>
    <t>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</si>
  <si>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https://www.youtube.com/watch?v=nzvTQ6qYE6E</t>
  </si>
  <si>
    <t>https://gld.legislaturacba.gob.ar/Publics/Actas.aspx?id=cofQnHSqY84=</t>
  </si>
  <si>
    <t>Beneplácito por la 3ª Feria Bigger, a desarrollarse el día 13 de noviembre en la ciudad de Córdoba</t>
  </si>
  <si>
    <t>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</si>
  <si>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https://www.youtube.com/watch?v=AOtZ9nbt4iA</t>
  </si>
  <si>
    <t>https://gld.legislaturacba.gob.ar/Publics/Actas.aspx?id=CZn94RQiBpE=</t>
  </si>
  <si>
    <t xml:space="preserve">Aprobando el “Convenio suscripto por el Gobierno de la provincia de Córdoba y el Gobierno de la provincia de Santa Fe, para desarrollar el Primer Corredor de Movilidad Sostenible Interprovincial Córdoba -Santa Fe”. </t>
  </si>
  <si>
    <t>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</si>
  <si>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https://www.youtube.com/watch?v=ej7xQoOqer4</t>
  </si>
  <si>
    <t>https://www.youtube.com/watch?v=MqUNEle30J0</t>
  </si>
  <si>
    <t>https://gld.legislaturacba.gob.ar/Publics/Actas.aspx?id=YJ_CB0jMcr8=</t>
  </si>
  <si>
    <t>Solicitando al Poder Ejecutivo informe (Art. 102 C.P.) sobre diversos aspectos referidos a las áreas de servicio instaladas por Caminos de las Sierras SA en los accesos de la ciudad de Córdoba.</t>
  </si>
  <si>
    <t>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</si>
  <si>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https://www.youtube.com/watch?v=nKbcyI0ptWI</t>
  </si>
  <si>
    <t>https://gld.legislaturacba.gob.ar/Publics/Actas.aspx?id=U1pTdO0rcdA=</t>
  </si>
  <si>
    <t>Modificando el radio municipal de la localidad de  Villa Rossi, Dpto. Presidente Roque Sáez Peña.</t>
  </si>
  <si>
    <t>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</si>
  <si>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https://gld.legislaturacba.gob.ar/Publics/Actas.aspx?id=03kGqwLPde8=</t>
  </si>
  <si>
    <t>https://www.youtube.com/watch?v=rAyQ3lKN55k</t>
  </si>
  <si>
    <t>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t>
  </si>
  <si>
    <t>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</si>
  <si>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https://www.youtube.com/watch?v=P8hU9Mealjk</t>
  </si>
  <si>
    <t>https://gld.legislaturacba.gob.ar/Publics/Actas.aspx?id=P-CRB3pQlh8=</t>
  </si>
  <si>
    <t>Citando al Sr. Ministro de Servicios Públicos (Art. 101 C.P.) y al Sr. Presidente del Directorio de la EPEC para que informen sobre gastos en la remodelación del edificio de la central de la empresa y los reclamos recibidos en el mes de diciembre de los últimos 3 años por prestaciones irregulares.</t>
  </si>
  <si>
    <t>Solicitando al Poder Ejecutivo que ordene de manera inmediata al Presidente de la EPEC se abstenga de pagar el Bono Anual de Eficiencia al personal directivo y jerárquico no alcanzado por el Convenio Colectivo y Estatuto de Personal vigente, estableciendo los mecanismos de transparencia que garanticen a la ciudadanía el acceso a la información pública de la empresa estatal.</t>
  </si>
  <si>
    <t>Solicitando al Poder Ejecutivo informe (Art. 102 C.P.) sobre distintos aspectos referidos al aumento solicitado por EPEC al Ente Regulador de Servicios Públicos y cuál es la composición exacta del Valor Agregado de Distribución.</t>
  </si>
  <si>
    <t>Solicitando al Poder Ejecutivo informe (Art. 102 C.P.) sobre diversos aspectos referidos al operativo especial que desarrolla la EPEC, para la detección y regularización de conexiones clandestinas o indebidas en la provincia.</t>
  </si>
  <si>
    <t>Solicitando al Poder Ejecutivo informe (Art. 102 C.P.) detalladamente sobre la situación actual de la Central Hidroeléctrica La Viña, ubicada en el embalse Ing. Medina Allende, Dpto. San Javier y en particular sobre el funcionamiento de las turbinas allí situadas, desde el año 2019 a la fecha.</t>
  </si>
  <si>
    <t>Solicitando al Poder Ejecutivo informe (Art. 102 C.P.) sobre diversos aspectos relacionados a obras de electrificación realizadas en el paraje Las Juntas, Dpto. Tulumba, en el marco del Plan de Desarrollo del Norte y Noreste provincial.</t>
  </si>
  <si>
    <t>Solicitando al Poder Ejecutivo informe (Art. 102 C.P.) sobre la investigación iniciada ante el fallecimiento de un joven por una descarga eléctrica, el pasado 19 de agosto en un espacio público de la ciudad de Córdoba.</t>
  </si>
  <si>
    <t>Solicitando al Poder Ejecutivo informe (Art. 102 C.P.) sobre diversos aspectos referidos al mantenimiento, control y fiscalización de los espacios públicos en materia de electricidad.</t>
  </si>
  <si>
    <t>Solicitando al Poder Ejecutivo informe (Art. 102 C.P.) sobre la Licitación Pública Nº 5314 que tiene como objeto la “Compra de mobiliario para 3er piso del edificio de administración central y muebles de Córdoba capital e interior de la provincia para la EPEC”.</t>
  </si>
  <si>
    <t>Solicitando al Poder Ejecutivo informe (Art. 102 C.P.) sobre diversos aspectos referidos a las descargas eléctricas producidas en la vía pública en la ciudad de Córdoba, en lo que va del año 2022.</t>
  </si>
  <si>
    <t>Solicitando al Poder Ejecutivo informe (Art. 102 C.P.) sobre la Licitación Pública Nº 5322 que tiene por objeto la contratación de cuadrillas tipos “A” y “B” para trabajos de mantenimiento, reparación y construcción de redes de media y baja tensión en la ciudad de San Francisco y en zonas aledañas.</t>
  </si>
  <si>
    <t>Estableciendo el Presupuesto General de la Administración Pública Provincial para el año 2023.</t>
  </si>
  <si>
    <t>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</si>
  <si>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https://www.youtube.com/watch?v=JKyGDE7Ct9Q</t>
  </si>
  <si>
    <t>https://gld.legislaturacba.gob.ar/Publics/Actas.aspx?id=wTMQnXOn_A0=;https://gld.legislaturacba.gob.ar/Publics/Actas.aspx?id=XHPgz72QTNk=;https://gld.legislaturacba.gob.ar/Publics/Actas.aspx?id=KYmTUHFV7u8=</t>
  </si>
  <si>
    <t xml:space="preserve">Estableciendo la Ley Impositiva para el año 2023. </t>
  </si>
  <si>
    <t>Modificando la Ley Nº 6006 (TO - 2021) Código Tributario, así como diversos artículos y sus modificatorias de las leyes Nros. 9024, 9087, 9187, 9431, 10679 y 10724; y derogando la Ley Nº 4422.</t>
  </si>
  <si>
    <t>Solicitando al Poder Ejecutivo informe (Art. 102 C.P.) sobre diversos aspectos relacionados a la implementación de la Ley 10.357, Adhesión a la Ley Nacional sobre Prevención al Suicidio.</t>
  </si>
  <si>
    <t>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</si>
  <si>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https://gld.legislaturacba.gob.ar/Publics/Actas.aspx?id=KTpD1SQdoIo=</t>
  </si>
  <si>
    <t xml:space="preserve">Solicitando al Poder Ejecutivo informe (Art. 102 C.P.) sobre diversos aspectos relacionados a un supuesto hecho de abuso sexual en el Hospital Neuropsiquiátrico. </t>
  </si>
  <si>
    <t xml:space="preserve">Solicitando al Poder Ejecutivo informe (Art. 102 C.P.) sobre diversos aspectos referidos a la tasa de suicidio de jóvenes adolescentes. </t>
  </si>
  <si>
    <t xml:space="preserve">Modificando el artículo 577 de la Ley N° 8465, Código Procesal Civil y Comercial de la Provincia de Córdoba, referido a las formas de realización de los bienes afectados a la ejecución. </t>
  </si>
  <si>
    <t>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t>
  </si>
  <si>
    <r>
      <t>https://gld.legislaturacba.gob.ar/Publics/Actas.aspx?id=GqX_5gxYXgM=;</t>
    </r>
    <r>
      <rPr>
        <u/>
        <sz val="10"/>
        <color rgb="FF1155CC"/>
        <rFont val="Arial"/>
      </rPr>
      <t>https://gld.legislaturacba.gob.ar/Publics/Actas.aspx?id=zXA0wDRcOXg=</t>
    </r>
  </si>
  <si>
    <t xml:space="preserve">Modificando los artículos 1°, 3°, 4° y 8° de la Ley N° 10555, de Procedimientos para los Juicios de Daños y Perjuicios que tramiten por el juicio abreviado según lo dispuesto en el Código Procesal Civil y Comercial de la Provincia, propiciando la reducción de la duración del proceso, la inmediación del juez, mayor conciliación de conflictos y mayor calidad de las resoluciones. </t>
  </si>
  <si>
    <t xml:space="preserve">Modificando el artículo 70 de la Ley Nº 9235, de Seguridad Pública, agregando a la estructura del Servicio Penitenciario, la Dirección General de Gestión Administrativa, e incorporando el artículo 74 bis que regula su funcionamiento. </t>
  </si>
  <si>
    <t>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t>
  </si>
  <si>
    <t>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</si>
  <si>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https://www.youtube.com/watch?v=YALrkPtCwqw</t>
  </si>
  <si>
    <t>https://gld.legislaturacba.gob.ar/Publics/Actas.aspx?id=jaDcK5HEGuc=;https://gld.legislaturacba.gob.ar/Publics/Actas.aspx?id=OA-PIU3jVlg=;https://gld.legislaturacba.gob.ar/Publics/Actas.aspx?id=SCkf6oRxZhQ=</t>
  </si>
  <si>
    <t>Modificando el radio comunal de la localidad de Sagrada Familia, Dpto. Río Primero</t>
  </si>
  <si>
    <t>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</si>
  <si>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https://www.youtube.com/watch?v=sC1c01fBw8Q</t>
  </si>
  <si>
    <t>https://gld.legislaturacba.gob.ar/Publics/Actas.aspx?id=dZgwDOdpTcc=</t>
  </si>
  <si>
    <t>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</si>
  <si>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https://www.youtube.com/watch?v=AVntnG6Pdxk</t>
  </si>
  <si>
    <t>https://gld.legislaturacba.gob.ar/Publics/Actas.aspx?id=Mk08PToRx0g=;https://gld.legislaturacba.gob.ar/Publics/Actas.aspx?id=lrBbScnVL1E=;https://gld.legislaturacba.gob.ar/Publics/Actas.aspx?id=Mk08PToRx0g=</t>
  </si>
  <si>
    <t>EDUCACIÓN, CULTURA, CIENCIA, TECNOLOGÍA E INFORMÁTICA;ECONOMÍA, PRESUPUESTO, GESTIÓN PÚBLICA E INNOVACIÓN</t>
  </si>
  <si>
    <t xml:space="preserve">Modificando el artículo 6° de la Ley N° 9835, de Creación del Fondo para la Descentralización del Mantenimiento de Edificios Escolares Provinciales -FODEMEEP-, autorizando al Poder Ejecutivo a incrementar en cada ejercicio presupuestario el monto de dicho fondo, estableciendo como asignación extraordinaria para el ejercicio 2022, la suma de Pesos cuatrocientos cincuenta millones ($450.000.000,00), por única vez. </t>
  </si>
  <si>
    <t>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</si>
  <si>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https://gld.legislaturacba.gob.ar/Publics/Actas.aspx?id=T_idxx1Wvd4=;https://gld.legislaturacba.gob.ar/Publics/Actas.aspx?id=1l0Zvqti13A=</t>
  </si>
  <si>
    <t xml:space="preserve">Elección de miembro integrante (titular y suplente) de la Comisión Ad honórem creada por la Ley N° 9578 -Creación del Régimen de Reconocimiento Artístico-, conforme lo dispuesto en el artículo 10 de dicha norma. </t>
  </si>
  <si>
    <t>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</si>
  <si>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https://www.youtube.com/watch?v=2gLsouC5en8</t>
  </si>
  <si>
    <t>https://gld.legislaturacba.gob.ar/Publics/Actas.aspx?id=hxOLQatsAHI=;https://gld.legislaturacba.gob.ar/Publics/Actas.aspx?id=GiDdtVCTzm8=</t>
  </si>
  <si>
    <t>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t>
  </si>
  <si>
    <t xml:space="preserve">Modificando los artículos 1° y 2° e incorporando los artículos 2 bis y 7° a la Ley 8550, de Depósito de Automotores Secuestrados en Causas Penales, disponiendo que el Tribunal Superior de Justicia los asigne en depósito con carácter provisorio y exclusivo para el uso del Poder Judicial, de las fuerzas armadas y de seguridad, y a fundaciones o asociaciones civiles de bien público., garantizando la trazabilidad de las entregas. </t>
  </si>
  <si>
    <t xml:space="preserve">Modificando los artículos 1 y 2 de la Ley N° 8550 -Depósito de automotores secuestrados en causas penales-, estableciendo que la resolución del Tribunal Superior de Justicia que disponga la afectación de vehículos esté fundada y sea pública, prohibiendo su utilización por parte de autoridades o integrantes de los poderes del Estado. </t>
  </si>
  <si>
    <t>Modificando la Ley N° 8550 -Depósito de automotores secuestrados en causas penales-, estableciendo que tendrán prioridad en la entrega en depósito de vehículos judicializados las entidades del tercer sector, acreditando fehacientemente los motivos; y creando un registro público para que puedan ser individualizados.</t>
  </si>
  <si>
    <t>Modificando el artículo 1° de la Ley N° 8550, de Depósito de Automotores Secuestrados en Causas Penales, delimitando su uso a organismos públicos que tengan como finalidad la educación, salud, formación, capacitación y trabajo, acción social o seguridad; afectándolos para el uso específico de sus funciones previa acreditación fundada y validada por el Tribunal Superior de Justicia</t>
  </si>
  <si>
    <t>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</si>
  <si>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https://www.youtube.com/watch?v=06GVseSwD4w</t>
  </si>
  <si>
    <t>https://gld.legislaturacba.gob.ar/Publics/Actas.aspx?id=508ZW6emrrk=;https://gld.legislaturacba.gob.ar/Publics/Actas.aspx?id=jAuWtXDRfOg=;https://gld.legislaturacba.gob.ar/Publics/Actas.aspx?id=-ojVCtNQpUY=</t>
  </si>
  <si>
    <t>ASUNTOS CONSTITUCIONALES, JUSTICIA Y ACUERDOS;ASUNTOS INSTITUCIONALES, MUNICIPALES Y COMUNALES</t>
  </si>
  <si>
    <t>En contra del Legislador Oscar Gonzalez</t>
  </si>
  <si>
    <t>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</si>
  <si>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https://www.youtube.com/watch?v=Y8ewZxzBw6w</t>
  </si>
  <si>
    <r>
      <rPr>
        <u/>
        <sz val="10"/>
        <color rgb="FF1155CC"/>
        <rFont val="Arial"/>
      </rPr>
      <t>https://gld.legislaturacba.gob.ar/Publics/Actas.aspx?id=U5gSrD5YMhA=</t>
    </r>
    <r>
      <rPr>
        <sz val="10"/>
        <color rgb="FF000000"/>
        <rFont val="Arial"/>
        <scheme val="minor"/>
      </rPr>
      <t>;https://gld.legislaturacba.gob.ar/Publics/Actas.aspx?id=a6OHmrsqL3o=</t>
    </r>
  </si>
  <si>
    <t>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</si>
  <si>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https://www.youtube.com/watch?v=l51lS1cLEWk</t>
  </si>
  <si>
    <t>https://gld.legislaturacba.gob.ar/Publics/Actas.aspx?id=GXaR9BqpPfk=;https://gld.legislaturacba.gob.ar/Publics/Actas.aspx?id=8iIOthmVQgM=;https://gld.legislaturacba.gob.ar/Publics/Actas.aspx?id=j7_Nd1mnVBc=</t>
  </si>
  <si>
    <t>Cuestión de Privilegio</t>
  </si>
  <si>
    <t>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</si>
  <si>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https://www.youtube.com/watch?v=p5cNu3Z53L0</t>
  </si>
  <si>
    <t>https://gld.legislaturacba.gob.ar/Publics/Actas.aspx?id=ozPghPo4spM=;https://gld.legislaturacba.gob.ar/Publics/Actas.aspx?id=F0U7XNDlbbw=</t>
  </si>
  <si>
    <t>Iniciando Juicio Político al Sr. Presidente del Tribunal Superior de Justicia, Dr. Sebastián López Peña, por causal de mal desempeño en el ejercicio de sus funciones, según lo establecido en el artículo 112 de la Constitución de Córdoba.</t>
  </si>
  <si>
    <t>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</si>
  <si>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https://gld.legislaturacba.gob.ar/Publics/Actas.aspx?id=YzxJt8vGEq0=</t>
  </si>
  <si>
    <t>Visita a la Cárcel de Bouwer</t>
  </si>
  <si>
    <t>https://gld.legislaturacba.gob.ar/Publics/Actas.aspx?id=eIt4rSiGWnU=</t>
  </si>
  <si>
    <t>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</si>
  <si>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https://www.youtube.com/watch?v=O4sN6vpiaaA</t>
  </si>
  <si>
    <t>https://gld.legislaturacba.gob.ar/Publics/Actas.aspx?id=TgSiiAeUrcg=;https://gld.legislaturacba.gob.ar/Publics/Actas.aspx?id=1XoduSbfkXo=;https://gld.legislaturacba.gob.ar/Publics/Actas.aspx?id=X3Wm8TfEQ54=</t>
  </si>
  <si>
    <t>Modificando el radio municipal de la ciudad de Monte Cristo, Dpto. Rio Primero</t>
  </si>
  <si>
    <t>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</si>
  <si>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https://www.youtube.com/watch?v=Wy911CvDqdk</t>
  </si>
  <si>
    <t>https://gld.legislaturacba.gob.ar/Publics/Actas.aspx?id=jvFNcpyEgxU=</t>
  </si>
  <si>
    <t>Modificando el radio municipal de la localidad de Mi Granja</t>
  </si>
  <si>
    <t>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</si>
  <si>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https://www.youtube.com/watch?time_continue=1&amp;v=_e02mqg2AMw&amp;feature=emb_logo</t>
  </si>
  <si>
    <r>
      <rPr>
        <u/>
        <sz val="10"/>
        <color rgb="FF1155CC"/>
        <rFont val="Arial"/>
      </rPr>
      <t>https://gld.legislaturacba.gob.ar/Publics/Actas.aspx?id=5vHxuL67dEA=</t>
    </r>
    <r>
      <rPr>
        <sz val="10"/>
        <color rgb="FF000000"/>
        <rFont val="Arial"/>
        <scheme val="minor"/>
      </rPr>
      <t>;</t>
    </r>
    <r>
      <rPr>
        <u/>
        <sz val="10"/>
        <color rgb="FF1155CC"/>
        <rFont val="Arial"/>
      </rPr>
      <t>https://gld.legislaturacba.gob.ar/Publics/Actas.aspx?id=d1H4C305EcY=</t>
    </r>
  </si>
  <si>
    <t xml:space="preserve">Armonizando los requisitos y condiciones de validez para los centros de emisión de licencias de conducir en la provincia, modificando e incorporando artículos a las leyes Nº 8560 (T.O. 2004) - de Tránsito - y Nº 10326 - Código de Convivencia Ciudadana. </t>
  </si>
  <si>
    <t xml:space="preserve">Modificando el radio comunal de la localidad de Toro Pujio, Dpto. San Justo. </t>
  </si>
  <si>
    <t>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</si>
  <si>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https://www.youtube.com/watch?v=Da5GuV0dKxc</t>
  </si>
  <si>
    <t>https://gld.legislaturacba.gob.ar/Publics/Actas.aspx?id=0MEgQYxMuA8=</t>
  </si>
  <si>
    <t>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t>
  </si>
  <si>
    <t>https://gld.legislaturacba.gob.ar/Publics/Actas.aspx?id=M0MFidCBOXw=;https://gld.legislaturacba.gob.ar/Publics/Actas.aspx?id=wbGYaPKjYvg=</t>
  </si>
  <si>
    <t>Modificando el radio comunal de la localidad de Chuña</t>
  </si>
  <si>
    <t>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</si>
  <si>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https://www.youtube.com/watch?v=yvwCIoIcgns</t>
  </si>
  <si>
    <t>https://gld.legislaturacba.gob.ar/Publics/Actas.aspx?id=0El0RZAZIwA=</t>
  </si>
  <si>
    <t>LEGISLACIÓN GENERAL;ASUNTOS CONSTITUCIONALES, JUSTICIA Y ACUERDOS;ASUNTOS INSTITUCIONALES, MUNICIPALES Y COMUNALES</t>
  </si>
  <si>
    <t>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</si>
  <si>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https://www.youtube.com/watch?v=s-lFYTMCcwY</t>
  </si>
  <si>
    <t>https://gld.legislaturacba.gob.ar/Publics/Actas.aspx?id=6RyHc34pvPQ=;https://gld.legislaturacba.gob.ar/Publics/Actas.aspx?id=lntnUHabJdg=;https://gld.legislaturacba.gob.ar/Publics/Actas.aspx?id=xXJzwDiTwBQ=</t>
  </si>
  <si>
    <t xml:space="preserve">modificando los artículos 15, 40, 110 y 115 de la Ley N° 8560, de Tránsito. </t>
  </si>
  <si>
    <t>Modificando el radio comunal de la localidad de Charbonier</t>
  </si>
  <si>
    <t>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</si>
  <si>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https://gld.legislaturacba.gob.ar/Publics/Actas.aspx?id=cM-W_H8ab34=</t>
  </si>
  <si>
    <t>Modificando el radio comunal de la localidad de Chuña, Dpto. Ischilín</t>
  </si>
  <si>
    <t>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t>
  </si>
  <si>
    <t>https://www.youtube.com/watch?v=uTiJjnZZE_g</t>
  </si>
  <si>
    <t>https://gld.legislaturacba.gob.ar/Publics/Actas.aspx?id=-x3GAk6A9fE=</t>
  </si>
  <si>
    <t>Modificando el radio comunal de la localidad de Charbonier, Dpto. Punilla</t>
  </si>
  <si>
    <t xml:space="preserve">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 </t>
  </si>
  <si>
    <t>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</si>
  <si>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https://www.youtube.com/watch?v=608SwmAWfrs</t>
  </si>
  <si>
    <t>https://gld.legislaturacba.gob.ar/Publics/Actas.aspx?id=axBesQQtQ1g=</t>
  </si>
  <si>
    <t>Solicitando acuerdo para designar al Sr. Abogado Pablo Fernando Ceballos Chiappero, como Vocal de Cámara en la Cámara en lo Criminal y Correccional, Civil, Comercial, Familia y Trabajo, perteneciente a la Novena Circunscripción Judicial con asiento en la ciudad de Deán Funes</t>
  </si>
  <si>
    <t>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</si>
  <si>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https://www.youtube.com/watch?v=5gufZMVmZrU</t>
  </si>
  <si>
    <t>https://gld.legislaturacba.gob.ar/Publics/Actas.aspx?id=W8-WtYEZo3Y=</t>
  </si>
  <si>
    <t>Solicitando acuerdo para designar al Sr. Abogado Sebastián Oscar Mastai, como Fiscal de Cámara de Familia en la Fiscalía de Familia perteneciente a la Primera Circunscripción Judicial con asiento en la ciudad de Córdoba</t>
  </si>
  <si>
    <t>Solicitando acuerdo para la aprobación del Padrón Principal y Subsidiario de aspirantes a Magistrados, Fiscales y Asesores Letrados reemplazantes, en los términos del art. 56 y concordantes de la Ley N° 8435</t>
  </si>
  <si>
    <t xml:space="preserve">Solicitando acuerdo para designar al Sr. Abogado Juan Fernando Ávila Echenique, como Fiscal de Instrucción en la Fiscalía de Instrucción de Décimo Primer Turno, perteneciente a la Primera Circunscripción Judicial con asiento en la ciudad de Córdoba. </t>
  </si>
  <si>
    <t xml:space="preserve">Modificando el radio comunal de la localidad de Colonia Barge, Dpto. Marcos Juárez. </t>
  </si>
  <si>
    <t>https://gld.legislaturacba.gob.ar/Publics/Actas.aspx#</t>
  </si>
  <si>
    <t>https://www.youtube.com/watch?v=ro_2IzPR0WM</t>
  </si>
  <si>
    <t>https://gld.legislaturacba.gob.ar/Publics/Actas.aspx?id=F6zYpE8Qy9U=</t>
  </si>
  <si>
    <t>Elección del presidente de la comisión</t>
  </si>
  <si>
    <t>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</si>
  <si>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https://www.youtube.com/watch?v=4lqHyOYEf3c</t>
  </si>
  <si>
    <t>https://gld.legislaturacba.gob.ar/Publics/Actas.aspx?id=V-u35MzYZ3g=</t>
  </si>
  <si>
    <t xml:space="preserve">Ratificando el Decreto Provincial Nº 1578/22, que aprobó el Convenio Marco de Cooperación y Asistencia Técnica con el INDEC para dar cumplimiento al Programa Anual de Estadística 2022. </t>
  </si>
  <si>
    <t>Solicitando acuerdo para designar a la Sra. Abogada María Eugenia Acuña, como Vocal de Cámara en la Cámara Contencioso Administrativa de 3ª Nominación, perteneciente a la Primera Circunscripción Judicial con asiento en la ciudad de Córdoba</t>
  </si>
  <si>
    <t>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</si>
  <si>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https://www.youtube.com/watch?v=FjC-m8cj4sY</t>
  </si>
  <si>
    <t>https://gld.legislaturacba.gob.ar/Publics/Actas.aspx?id=A6oGqZj-pg0=</t>
  </si>
  <si>
    <t xml:space="preserve">Solicitando acuerdo para designar a la Sra. Abogada Daniela Susana Sosa, como Vocal de Cámara en la Cámara Contencioso Administrativa de 2ª Nominación, perteneciente a la Primera Circunscripción Judicial con asiento en la ciudad de Córdoba. </t>
  </si>
  <si>
    <t xml:space="preserve">Modificando el radio municipal de la ciudad de Tanti, Dpto. Punilla, y el límite departamental entre los Departamentos Punilla y Cruz del Eje. </t>
  </si>
  <si>
    <t>https://www.youtube.com/watch?v=BemX7HhBQAk</t>
  </si>
  <si>
    <t>https://gld.legislaturacba.gob.ar/Publics/Actas.aspx?id=iPFMQmxbd4o=</t>
  </si>
  <si>
    <t>Elección de presidenta de  comisión</t>
  </si>
  <si>
    <t>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</si>
  <si>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https://www.youtube.com/watch?v=Zw-EU1uE4Yw</t>
  </si>
  <si>
    <t>https://gld.legislaturacba.gob.ar/Publics/Actas.aspx?id=xMidq6EBdhc=</t>
  </si>
  <si>
    <t>Modificando el radio municipal de la localidad de Las Varas</t>
  </si>
  <si>
    <t>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</si>
  <si>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https://gld.legislaturacba.gob.ar/Publics/Actas.aspx?id=5d_Q6uo9uww=</t>
  </si>
  <si>
    <t>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</si>
  <si>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https://www.youtube.com/watch?v=bmn0OD-gkXQ</t>
  </si>
  <si>
    <t>https://gld.legislaturacba.gob.ar/Publics/Actas.aspx?id=2r17P9AK8X4=</t>
  </si>
  <si>
    <t>Modificando el radio municipal de la ciudad de Tanti, Dpto. Punilla, y el límite departamental entre los Departamentos Punilla y Cruz del Eje.</t>
  </si>
  <si>
    <t>Modificando el radio municipal de la localidad de Las Varas, Dpto. San Justo.</t>
  </si>
  <si>
    <t>AMBIENTE;AGRICULTURA, GANADERÍA Y RECURSOS RENOVABLES;RELACIONES INTERNACIONALES, MERCOSUR Y COMERCIO EXTERIOR;PROMOCIÓN Y DESARROLLO DE LAS ECONOMÍAS REGIONALES Y PYMES</t>
  </si>
  <si>
    <t>Visita a la Planta Regional de Tratamiento de Residuos Sólidos Urbanos de Calamuchita ubicada en el paraje Cañada Grande</t>
  </si>
  <si>
    <t>https://gld.legislaturacba.gob.ar/Publics/Actas.aspx?id=nULR_fOlIeY=;https://gld.legislaturacba.gob.ar/Publics/Actas.aspx?id=86PvTo4tIM0=;https://gld.legislaturacba.gob.ar/Publics/Actas.aspx?id=0K7jLVqcwm4=;https://gld.legislaturacba.gob.ar/Publics/Actas.aspx?id=ZrjN6rhiK4U=</t>
  </si>
  <si>
    <t>Visita a la Estación Hidrobiológica Fitz Simon de Embalse en donde se hace cría y siembra de Pejerrey</t>
  </si>
  <si>
    <t>Adhiriendo la provincia a la Ley Nacional N° 27231 que regula, fomenta y administra el desarrollo sustentable de la acuicultura</t>
  </si>
  <si>
    <t xml:space="preserve">Modificando el radio comunal de la localidad de Pincen, Dpto. Gral. Roca. </t>
  </si>
  <si>
    <t>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</si>
  <si>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https://gld.legislaturacba.gob.ar/Publics/Actas.aspx?id=bcKQ9fOHpgM=</t>
  </si>
  <si>
    <t>Modificando el radio municipal de la localidad de San Francisco del Chañar, Dpto. Sobremonte.</t>
  </si>
  <si>
    <t xml:space="preserve">Solicitando acuerdo para designar a la Sra. Abogada Fabiana Paula Pochettino, como Fiscal de Cámara en la Fiscalía de Cámara Civil, Comercial, Criminal, Correccional y del Trabajo, perteneciente a la Séptima Circunscripción Judicial con asiento en la ciudad de Cruz del Eje. </t>
  </si>
  <si>
    <t>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</si>
  <si>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https://www.youtube.com/watch?v=jZhrwfp-dV8</t>
  </si>
  <si>
    <t>https://gld.legislaturacba.gob.ar/Publics/Actas.aspx?id=qPxCrPMhmEY=</t>
  </si>
  <si>
    <t>LEGISLACIÓN GENERAL;ECONOMÍA, PRESUPUESTO, GESTIÓN PÚBLICA E INNOVACIÓN;PROMOCIÓN Y DESARROLLO DE LAS ECONOMÍAS REGIONALES Y PYMES</t>
  </si>
  <si>
    <t>Creando la Agencia para la Competitividad de Córdoba Sociedad de Economía Mixta, que se regirá por su estatuto y de manera complementaria por el Decreto-Ley N° 15349, ratificado por Ley N° 12962</t>
  </si>
  <si>
    <t>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</si>
  <si>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https://www.youtube.com/watch?v=UAvt1047MTk</t>
  </si>
  <si>
    <t>https://gld.legislaturacba.gob.ar/Publics/Actas.aspx?id=yguNm2F5GB8=;https://gld.legislaturacba.gob.ar/Publics/Actas.aspx?id=25A-vpkbhok=;https://gld.legislaturacba.gob.ar/Publics/Actas.aspx?id=U0DLw5__tFw=</t>
  </si>
  <si>
    <t>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</si>
  <si>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https://www.youtube.com/watch?v=LOEISRMcIaE</t>
  </si>
  <si>
    <t>https://gld.legislaturacba.gob.ar/Publics/Actas.aspx?id=53LSrSe3RL8=</t>
  </si>
  <si>
    <t>Solicitando al Poder Ejecutivo informe (Art. 102 C.P.) sobre diversos aspectos referidos al Estatuto de la Unidad Ejecutora Biprovincial-Acueducto Interprovincial Santa Fe-Córdoba.</t>
  </si>
  <si>
    <t>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</si>
  <si>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https://www.youtube.com/watch?v=kxIc9HnZJX8</t>
  </si>
  <si>
    <t>https://gld.legislaturacba.gob.ar/Publics/Actas.aspx?id=pUjg1CubuL0=</t>
  </si>
  <si>
    <t xml:space="preserve">Solicitando al Poder Ejecutivo informe (Art. 102 C.P.) sobre diversos aspectos referidos a los desbordes cloacales desde la cárcel de Bouwer. </t>
  </si>
  <si>
    <t xml:space="preserve">Solicitando al Poder Ejecutivo informe (Art. 102 C.P.) sobre diversos aspectos referidos a la falta de agua potable en la localidad de Lucio V. Mansilla desde el año 2020 a la fecha. </t>
  </si>
  <si>
    <t xml:space="preserve">Solicitando al Poder Ejecutivo informe (Art. 102 C.P.) sobre diversos aspectos referidos al acueducto que vincula las localidades de Quilino, San José de las Salinas y Lucio V. Mansilla desde el año 2018. </t>
  </si>
  <si>
    <t xml:space="preserve">Solicitando al Poder Ejecutivo informe (Art. 102 C.P.) sobre diversos aspectos referidos a la distribución del caudal de agua del río Tiu Mayu a las localidades de La Granja y La Cumbre. 
</t>
  </si>
  <si>
    <t>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</si>
  <si>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https://www.youtube.com/watch?v=fXjIrFzDPjU</t>
  </si>
  <si>
    <t>https://gld.legislaturacba.gob.ar/Publics/Actas.aspx?id=dZ7dhF731Fc=</t>
  </si>
  <si>
    <t>Programa de Regionalización en Turismo - Rio IV Sierras del Sur</t>
  </si>
  <si>
    <t>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t>
  </si>
  <si>
    <t>https://gld.legislaturacba.gob.ar/Publics/Actas.aspx?id=H4ptXP01yok=</t>
  </si>
  <si>
    <t xml:space="preserve">Modificando el radio comunal de la localidad de Villa de Pocho, Dpto. Pocho. </t>
  </si>
  <si>
    <t>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</si>
  <si>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https://www.youtube.com/watch?v=22izjlbs6Dc</t>
  </si>
  <si>
    <t>https://gld.legislaturacba.gob.ar/Publics/Actas.aspx?id=R5xpynoVFVg=</t>
  </si>
  <si>
    <t xml:space="preserve">Modificando el radio municipal de la localidad de Sacanta, Dpto. San Justo; y modificando el límite interdepartamental entre los departamentos San Justo y Río Segundo. </t>
  </si>
  <si>
    <t>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</si>
  <si>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https://www.youtube.com/watch?v=tClob1QsRQI</t>
  </si>
  <si>
    <t>https://gld.legislaturacba.gob.ar/Publics/Actas.aspx?id=-ZiT8_-kK1k=;https://gld.legislaturacba.gob.ar/Publics/Actas.aspx?id=pHOomACeSls=;https://gld.legislaturacba.gob.ar/Publics/Actas.aspx?id=AxR35nrgJfI=</t>
  </si>
  <si>
    <t xml:space="preserve">Modificando el radio comunal de la localidad de Cuesta Blanca, Dpto. Punilla. </t>
  </si>
  <si>
    <t>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</si>
  <si>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https://www.youtube.com/watch?v=E36n8h7c1CA</t>
  </si>
  <si>
    <t>https://gld.legislaturacba.gob.ar/Publics/Actas.aspx?id=-ZiT8_-kK1k=</t>
  </si>
  <si>
    <t xml:space="preserve">Modificando el radio municipal de la ciudad de Cosquín, Dpto. Punilla. </t>
  </si>
  <si>
    <t xml:space="preserve">Solicitando acuerdo para designar a la Sra. Abogada María Rosa Molina de Caminal, como Vocal de la Cámara en lo Civil y Comercial de 8ª Nominación, perteneciente a la Primera Circunscripción Judicial con asiento en la ciudad de Córdoba. </t>
  </si>
  <si>
    <t>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t>
  </si>
  <si>
    <t>https://www.youtube.com/watch?v=UGbZ-T87atw</t>
  </si>
  <si>
    <t>https://gld.legislaturacba.gob.ar/Publics/Actas.aspx?id=r0iJea1MX0I=</t>
  </si>
  <si>
    <t>En contra del Legislador Eduardo Serrano</t>
  </si>
  <si>
    <t>Nota presentada por el Legislador Leonardo Limia en representación del Bloque de Hacemos por Córdoba, impulsando, en base al artículo 99 de la Constitución Provincial, la suspensión del Legislador Patricio Serrano hasta tanto se dilucide en la Justicia la denuncia en su contra por violencia de género.</t>
  </si>
  <si>
    <t xml:space="preserve">Modificando el artículo 1° de la Ley N° 10003, suspendiendo hasta el 31 de marzo de 2024 las ejecuciones que persigan la subasta de bienes inmuebles propiedad de las asociaciones civiles, clubes o entidades sin fines de lucro cuyo objeto social sea la promoción, difusión o realización de prácticas deportivas, recreativas o comunitarias, cualquiera fuere la causa de la obligación o el motivo de su liquidación y cualquiera sea el fuero de radicación de la causa. </t>
  </si>
  <si>
    <t>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</si>
  <si>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https://www.youtube.com/watch?v=BOr8zB7xM7w</t>
  </si>
  <si>
    <t>https://gld.legislaturacba.gob.ar/Publics/Actas.aspx?id=8ragWnSsIEM=</t>
  </si>
  <si>
    <t>LEGISLACIÓN DEL TRABAJO, PREVISIÓN Y SEGURIDAD SOCIAL;DERECHOS HUMANOS Y DESARROLLO SOCIAL</t>
  </si>
  <si>
    <t>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t>
  </si>
  <si>
    <t>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</si>
  <si>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https://www.youtube.com/watch?v=YxkXZ0kydyA</t>
  </si>
  <si>
    <t>https://gld.legislaturacba.gob.ar/Publics/Actas.aspx?id=3H3EtxsQShU=;NA</t>
  </si>
  <si>
    <t>Actividades en el marco de la “Semana de la Memoria”.</t>
  </si>
  <si>
    <t xml:space="preserve">Propiciando la reparación histórica de los trabajadores que, revistando como empleados de los tres poderes, fueron desaparecidos por el terrorismo de Estado durante la última dictadura cívico-militar. </t>
  </si>
  <si>
    <t>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</si>
  <si>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https://www.youtube.com/watch?v=tMptCfzJO3w</t>
  </si>
  <si>
    <t>https://gld.legislaturacba.gob.ar/Publics/Actas.aspx?id=yB1BgeQePNE=;https://gld.legislaturacba.gob.ar/Publics/Actas.aspx?id=z6fk_alVdKc=;https://gld.legislaturacba.gob.ar/Publics/Actas.aspx?id=z6fk_alVdKc=</t>
  </si>
  <si>
    <t>LEGISLACIÓN DEL TRABAJO, PREVISIÓN Y SEGURIDAD SOCIAL;DERECHOS HUMANOS Y DESARROLLO SOCIAL;LEGISLACIÓN GENERAL</t>
  </si>
  <si>
    <t>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</si>
  <si>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https://www.youtube.com/watch?v=AhwQDRRprbo</t>
  </si>
  <si>
    <t>https://gld.legislaturacba.gob.ar/Publics/Actas.aspx?id=vZ07Tij7Eco=;NA;https://gld.legislaturacba.gob.ar/Publics/Actas.aspx?id=0xFk-ftoloo=</t>
  </si>
  <si>
    <t xml:space="preserve">Modificando el radio municipal de la localidad de Cañada de Luque, Dpto. Totoral. </t>
  </si>
  <si>
    <t>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</si>
  <si>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https://www.youtube.com/watch?v=AqXQAEvypZQ</t>
  </si>
  <si>
    <t>https://gld.legislaturacba.gob.ar/Publics/Actas.aspx?id=LfQStOnRqW8=</t>
  </si>
  <si>
    <t>Modificando el radio comunal de la localidad de Ranqueles, Dpto. Gral. Roca</t>
  </si>
  <si>
    <t>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</si>
  <si>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https://www.youtube.com/watch?v=voiuoW8J0k8</t>
  </si>
  <si>
    <t>https://gld.legislaturacba.gob.ar/Publics/Actas.aspx?id=g4Xe8DGapFs=</t>
  </si>
  <si>
    <t xml:space="preserve">Aceptando la renuncia de la Lic. Raquel Krawchik al cargo de Rectora Normalizadora de la Universidad Provincial de Córdoba a partir del 31 de marzo, designando en dicho lugar al Mgter. Jorge Omar Abel Jaimez a partir del 1 de abril. </t>
  </si>
  <si>
    <t>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</si>
  <si>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https://www.youtube.com/watch?v=EVfE8nbUAu0</t>
  </si>
  <si>
    <t>https://gld.legislaturacba.gob.ar/Publics/Actas.aspx?id=eEqLbVh_yIM=</t>
  </si>
  <si>
    <t xml:space="preserve">Modificando el radio comunal de la localidad de Los Hornillos, Dpto. San Javier. </t>
  </si>
  <si>
    <t>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</si>
  <si>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https://www.youtube.com/watch?v=EqzZWSD-0gQ</t>
  </si>
  <si>
    <t>https://gld.legislaturacba.gob.ar/Publics/Actas.aspx?id=5Piti9k-yKQ=</t>
  </si>
  <si>
    <t xml:space="preserve">Modificando el radio comunal de la localidad de Colonia Las Cuatro Esquinas, Dpto. Río Primero. </t>
  </si>
  <si>
    <t xml:space="preserve">Solicitando al Poder Ejecutivo informe (Art. 102 C.P.) sobre diversos aspectos referidos a los contratos, servicios, adjudicaciones y pagos celebrados por la provincia con las empresas Transparence and Sustainable Development S.R.L y AME S.A.S. desde el año 2018 a la fecha. </t>
  </si>
  <si>
    <t>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</si>
  <si>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https://www.youtube.com/watch?v=uBmUm4iU7K0</t>
  </si>
  <si>
    <t>https://gld.legislaturacba.gob.ar/Publics/Actas.aspx?id=Rzk097U0deg=</t>
  </si>
  <si>
    <t xml:space="preserve">Solicitando al Poder Ejecutivo informe (Art. 102 C.P.) sobre diversos aspectos referidos al Proyecto de Presupuesto 2023. </t>
  </si>
  <si>
    <t>Solicitando al Poder Ejecutivo informe (Art. 102 C.P.) sobre diversos aspectos referidos a la diferencia de los montos publicados en los Planes de Inversiones Públicas 2021, 2022, 2023 y la información registrada en el Portal de transparencia.</t>
  </si>
  <si>
    <t xml:space="preserve">solicitando al Poder Ejecutivo informe (Art. 102 C.P.) sobre la ejecución del remanente de Ejercicios anteriores detallada en el Balance por Programas 2022. </t>
  </si>
  <si>
    <t xml:space="preserve">solicitando al Poder Ejecutivo informe (Art. 102 C.P.) sobre la Resolución N° 329 Letra D, referido al Fideicomiso para el Desarrollo Agropecuario.  </t>
  </si>
  <si>
    <t>Ratificando el Decreto Provincial N° 1579/22 que dispone la creación del programa “Promoción a la Actividad Comercial y a la Actividad de Servicios Turísticos de la Provincia de Córdoba”.</t>
  </si>
  <si>
    <t>https://www.youtube.com/watch?v=dDW4OWYaxcw</t>
  </si>
  <si>
    <t>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t>
  </si>
  <si>
    <t>https://gld.legislaturacba.gob.ar/Publics/Actas.aspx?id=dqHyPnrDPqI=;NA;https://gld.legislaturacba.gob.ar/Publics/Actas.aspx?id=R1RXFTLfAXY=</t>
  </si>
  <si>
    <t>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</si>
  <si>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https://www.youtube.com/watch?v=dCE8tE28b9A</t>
  </si>
  <si>
    <t>https://gld.legislaturacba.gob.ar/Publics/Actas.aspx?id=W0WrHTEhpkg=</t>
  </si>
  <si>
    <t xml:space="preserve">Modificando el radio municipal de la ciudad de Jesús María, Dpto. Colón. </t>
  </si>
  <si>
    <t>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</si>
  <si>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https://www.youtube.com/watch?v=oltHJqJYgVk</t>
  </si>
  <si>
    <t>https://gld.legislaturacba.gob.ar/Publics/Actas.aspx?id=xxosVBwE1no=</t>
  </si>
  <si>
    <t>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</si>
  <si>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https://www.youtube.com/watch?v=Wny_UzQbXIk</t>
  </si>
  <si>
    <t>https://gld.legislaturacba.gob.ar/Publics/Actas.aspx?id=9llPjy8V0Wk=;NA</t>
  </si>
  <si>
    <t>EDUCACIÓN, CULTURA, CIENCIA, TECNOLOGÍA E INFORMÁTICA;RELACIONES INTERNACIONALES, MERCOSUR Y COMERCIO EXTERIOR</t>
  </si>
  <si>
    <t>Declarando Monumento Histórico Provincial a la Cruz de Piedra "Jachkar" emplazada en la ciudad de Córdoba</t>
  </si>
  <si>
    <t>https://www.youtube.com/watch?v=Yz9EmnkqJ9o</t>
  </si>
  <si>
    <t>https://gld.legislaturacba.gob.ar/Publics/Actas.aspx?id=66G43huGb7E=;https://gld.legislaturacba.gob.ar/Publics/Actas.aspx?id=8fNONWsiq2U=</t>
  </si>
  <si>
    <t>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</si>
  <si>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https://www.youtube.com/watch?v=klPnxClitwc</t>
  </si>
  <si>
    <t>https://gld.legislaturacba.gob.ar/Publics/Actas.aspx?id=JJl1JSRcjxE=</t>
  </si>
  <si>
    <t xml:space="preserve">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 </t>
  </si>
  <si>
    <t>https://www.youtube.com/watch?v=KxBx6Ls0HoQ</t>
  </si>
  <si>
    <t>AGRICULTURA, GANADERÍA Y RECURSOS RENOVABLES;EQUIDAD Y LUCHA CONTRA LA VIOLENCIA DE GÉNERO</t>
  </si>
  <si>
    <t>Mujeres en la producción agropecuaria</t>
  </si>
  <si>
    <t>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</si>
  <si>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https://www.youtube.com/watch?v=WDa5YwNGN4E</t>
  </si>
  <si>
    <t>https://gld.legislaturacba.gob.ar/Publics/Actas.aspx?id=rbSgSP7bGdg=;https://gld.legislaturacba.gob.ar/Publics/Actas.aspx?id=TT8zCPO3Crk=</t>
  </si>
  <si>
    <t xml:space="preserve">Solicitando al Poder Ejecutivo informe (Art. 102 C.P.) sobre diversos aspectos referidos a las Obras 4410- Mejoramiento. Caminos Rurales- Caminos Secundarios s-433 Tr. RP 174, Tinoco y Puente s/ Río Carnero, Dpto. Colón, ejercicios 2020 al 2022. </t>
  </si>
  <si>
    <t>https://www.youtube.com/watch?v=TZWHxpf4wxk</t>
  </si>
  <si>
    <t>Solicitando al Poder Ejecutivo informe (Art. 102 C.P.) sobre las obras de ensanchamiento de camino serrano, desde la localidad de Los Hornillos, atravesando la localidad de Los Molles hasta la localidad de San Javier</t>
  </si>
  <si>
    <t xml:space="preserve">Solicitando al Poder Ejecutivo informe (Art. 102 C.P.) sobre diversos aspectos referidos a la vía de circulación que une las localidades de Los Molles, Las Rosas y San Javier.  </t>
  </si>
  <si>
    <t xml:space="preserve">Solicitando al Poder Ejecutivo informe (Art. 102 C.P.)a diversos aspectos referidos a la vía de circulación que une las localidades de Los Molles, Las Rosas y San Javier. </t>
  </si>
  <si>
    <t xml:space="preserve">Solicitando al Poder Ejecutivo informe (Art. 102 C.P.) sobre diversos aspectos referidos al camino de acceso a la escuela Ceferino Namuncurá, ubicada en Pampa de Achala. </t>
  </si>
  <si>
    <t xml:space="preserve">Solicitando acuerdo para designar a la Sra. Abogada María del Rosario Fernández López, como Fiscal de Cámara en la Fiscalía de Cámaras en lo Criminal y Correccional perteneciente a la Segunda Circunscripción Judicial, con sede en la ciudad de Río Cuarto. </t>
  </si>
  <si>
    <t>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</si>
  <si>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https://www.youtube.com/watch?v=RH2aYnkn1UU</t>
  </si>
  <si>
    <t>https://gld.legislaturacba.gob.ar/Publics/Actas.aspx?id=41mYgvB1B-E=</t>
  </si>
  <si>
    <t xml:space="preserve">Nota de la Defensoría de los Derechos de Niñas, Niños y Adolescentes de la provincia, remitiendo informe anual 2022 según lo establecido en el artículo 12 de la Ley N° 9396. </t>
  </si>
  <si>
    <t>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</si>
  <si>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https://www.youtube.com/watch?v=ZLMIJOJ29tU</t>
  </si>
  <si>
    <t>https://gld.legislaturacba.gob.ar/Publics/Actas.aspx?id=QN7SSRE6Xt8=</t>
  </si>
  <si>
    <t>TURISMO Y SU RELACIÓN CON EL DESARROLLO REGIONAL;RELACIONES INTERNACIONALES, MERCOSUR Y COMERCIO EXTERIOR</t>
  </si>
  <si>
    <t xml:space="preserve">Solicitando al Poder Ejecutivo informe (Art. 102 C.P.) sobre diversos aspectos referidos al viaje realizado por el Gobernador de la provincia el pasado 10 de febrero a España, especificando en qué consiste el acuerdo de hermanamiento del Camino de Santiago de Compostela con el del Cura Brochero firmado el día 13 de febrero. </t>
  </si>
  <si>
    <t>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</si>
  <si>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https://www.youtube.com/watch?v=10cGrFgWJ4Y</t>
  </si>
  <si>
    <t>NA;https://gld.legislaturacba.gob.ar/Publics/Actas.aspx?id=EmouEM7zEZ8=</t>
  </si>
  <si>
    <t>https://www.youtube.com/watch?v=GxBEFobw4ZA</t>
  </si>
  <si>
    <t>https://gld.legislaturacba.gob.ar/Publics/Actas.aspx?id=1gSqRiE1Wb4=</t>
  </si>
  <si>
    <t xml:space="preserve">Modificando los artículos 1°, 2°, 19, 35, 35 Bis y 107 y derogando el artículo 24 de la Ley N° 7625, Régimen del Personal que integra el Equipo de Salud Humana.  </t>
  </si>
  <si>
    <r>
      <rPr>
        <u/>
        <sz val="10"/>
        <color rgb="FF1155CC"/>
        <rFont val="Arial"/>
      </rPr>
      <t>https://gld.legislaturacba.gob.ar/Publics/Actas.aspx?id=zU6RcUBrNjQ=</t>
    </r>
    <r>
      <rPr>
        <sz val="10"/>
        <color rgb="FF000000"/>
        <rFont val="Arial"/>
      </rPr>
      <t>;</t>
    </r>
    <r>
      <rPr>
        <u/>
        <sz val="10"/>
        <color rgb="FF1155CC"/>
        <rFont val="Arial"/>
      </rPr>
      <t>https://gld.legislaturacba.gob.ar/Publics/Actas.aspx?id=i9PE2gnwrNY=</t>
    </r>
  </si>
  <si>
    <t>https://www.youtube.com/watch?v=ZGIJwUSasIA</t>
  </si>
  <si>
    <t>https://gld.legislaturacba.gob.ar/Publics/Actas.aspx?id=zU6RcUBrNjQ=;https://gld.legislaturacba.gob.ar/Publics/Actas.aspx?id=i9PE2gnwrNY=</t>
  </si>
  <si>
    <t xml:space="preserve">Modificando el radio municipal de la localidad de El Fortín, Dpto. San Justo. </t>
  </si>
  <si>
    <t>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</si>
  <si>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https://www.youtube.com/watch?v=5ck83Zn7iPc</t>
  </si>
  <si>
    <t>https://gld.legislaturacba.gob.ar/Publics/Actas.aspx?id=St7UBev-UhQ=</t>
  </si>
  <si>
    <t>LEGISLACIÓN GENERAL;LEGISLACIÓN DEL TRABAJO, PREVISIÓN Y SEGURIDAD SOCIAL;SALUD HUMANA</t>
  </si>
  <si>
    <t>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</si>
  <si>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https://www.youtube.com/watch?v=khhrY2rrHiQ</t>
  </si>
  <si>
    <t>https://gld.legislaturacba.gob.ar/Publics/Actas.aspx?id=4lEUYpZoBZE=;https://gld.legislaturacba.gob.ar/Publics/Actas.aspx?id=K2V9kQcjT2k=;https://gld.legislaturacba.gob.ar/Publics/Actas.aspx?id=wP3IkK_pR4o=</t>
  </si>
  <si>
    <t>Solicitando al Poder Ejecutivo informe (Art. 102 C.P.) sobre la situación dominial del terreno donde funciona el predio deportivo y recreativo de la Escuela Domingo F. Sarmiento, el jardín de infantes Los Aromitos y el IPEM Nº 419 de la localidad de Villa Los Aromos, Dpto. Santa María</t>
  </si>
  <si>
    <t>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</si>
  <si>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https://www.youtube.com/watch?v=M4MKoqkyiEA</t>
  </si>
  <si>
    <t>https://gld.legislaturacba.gob.ar/Publics/Actas.aspx?id=2LRGDNbzyew=</t>
  </si>
  <si>
    <t>Solicitando al Poder Ejecutivo informe (Art. 102 C.P.) sobre diversos aspectos referidos a la obra 2228, Construcción Escuela primaria Manuel Belgrano, de la ciudad de Córdoba</t>
  </si>
  <si>
    <t>Solicitando al Poder Ejecutivo informe (Art. 102 C.P.) sobre aspectos referidos a las falencias de infraestructura y servicios de la escuela primaria Dr. Jerónimo del Barco de la localidad de Villa Parque Síquiman, Dpto. Punilla</t>
  </si>
  <si>
    <t>Solicitando al Poder Ejecutivo informe (Art. 102 C.P.) sobre la construcción del edificio del jardín de infantes Domingo Faustino Sarmiento de la ciudad de Río Ceballos, presupuestado en el año 2018</t>
  </si>
  <si>
    <t>Solicitando al Poder Ejecutivo informe (Art. 102 C.P.) sobre diversos aspectos referidos al estado de mantenimiento de la escuela Rubén Darío de B° Crisol Sur de la ciudad de Córdoba</t>
  </si>
  <si>
    <t>Solicitando al Poder Ejecutivo informe (Art. 102 C.P.) sobre diversos aspectos referidos al plan de obra para arreglo, refacción y construcción de nuevos espacios en la escuela Roma e IPEM 10, que comparten edificio en la ciudad de Córdoba</t>
  </si>
  <si>
    <t>Solicitando al Poder Ejecutivo informe (Art. 102 C.P.) detalladamente sobre diversos aspectos referidos a la infraestructura de centros educativos de gestión pública de los niveles inicial, primario y secundario de la provincia</t>
  </si>
  <si>
    <t>Solicitando al Poder Ejecutivo informe (Art. 102 C.P.) sobre diversos aspectos referidos a la escuela primaria Provincia de Jujuy de la ciudad de Cruz del Eje</t>
  </si>
  <si>
    <t>Solicitando al Poder Ejecutivo informe (Art. 102 C.P.) sobre diversos aspectos referidos a los problemas de mobbing, acoso y persecución laboral, sufrido por docentes del sistema educativo provincial</t>
  </si>
  <si>
    <t>Solicitando al Poder Ejecutivo informe (Art. 102 C.P.) sobre diversos aspectos relacionados a la ejecución presupuestaria del Programa 353-Infraestructura Escuelas dependientes del Ministerio de Educación</t>
  </si>
  <si>
    <t>Solicitando al Poder Ejecutivo informe (Art. 102 C.P.) sobre los montos transferidos por el Gobierno Nacional a la provincia, según lo dispuesto por la Ley N° 26075 -Financiamiento Educativo-, desde el período 2021 a la fecha, detallando el destino y si fueron distribuidos a Municipios y Comunas</t>
  </si>
  <si>
    <t>Solicitando al Poder Ejecutivo informe (Art. 102 C.P.), sobre la planificación del ciclo lectivo y estado edilicio de los establecimientos educativos</t>
  </si>
  <si>
    <t>Solicitando la comparecencia del Sr. Ministro de Educación, para que informe (Art. 101 C.P.) sobre diversos aspectos relacionados a condiciones edilicias, nueva infraestructura y estados de obras de los edificios escolares de gestión provincial</t>
  </si>
  <si>
    <t>Solicitando al Poder Ejecutivo informe (Art. 102 C.P.) sobre diversos aspectos referidos al llamado a contratación pública por la Obra Reparación en el colegio Superior Presidente Roque Sáenz Peña, de la ciudad de Cosquín, bajo el procedimiento de selección de la compulsa abreviada N° 5/2023, Expte. N° 0617-164020/2022</t>
  </si>
  <si>
    <t>Solicitando al Poder Ejecutivo informe (Art. 102 C.P.) sobre diversos aspectos referidos a la Ley N° 10863, de Emergencia de Infraestructura de establecimientos educativos, a la deserción escolar en 2022 y si el cargo de bibliotecario ha dejado de subvencionarse para colegios privados</t>
  </si>
  <si>
    <t>Solicitando al Poder Ejecutivo informe (Art. 102 C.P.) sobre diversos aspectos referidos al desempeño educativo por niveles y por asignaturas centrales: Lengua y Matemáticas y las medidas planificadas por el Ministerio de Educación para revertir las repitencias y la deserción</t>
  </si>
  <si>
    <t>Solicitando al Poder Ejecutivo informe (Art. 102 C.P.) sobre diversos aspectos referidos al IPEM N° 124 Adela Rosa Oviedo de De la Vega, extensión áulica Complejo Esperanza y el CENMA María Saleme de Burnichón, Anexo 03 semipresencial y Anexo 08 presencial</t>
  </si>
  <si>
    <t>Solicitando al Poder Ejecutivo informe (Art. 102 C.P.) sobre diversos aspectos referidos a la construcción de la escuela Proa del Programa Aurora de la ciudad de Dean Funes</t>
  </si>
  <si>
    <t>Solicitando al Poder Ejecutivo informe (Art. 102 C.P.) sobre diversos puntos relacionados el estado edilicio de la escuela Coronel Olmedo de la localidad de San Pedro, Dpto. San Alberto</t>
  </si>
  <si>
    <t>Solicitando al Poder Ejecutivo informe (Art. 102 C.P.) sobre la existencia de resoluciones y/o protocolos que impidan visitas de los legisladores a las escuelas de la provincia.</t>
  </si>
  <si>
    <t>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</si>
  <si>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https://www.youtube.com/watch?v=2jO3NiGJ57A</t>
  </si>
  <si>
    <t>https://gld.legislaturacba.gob.ar/Publics/Actas.aspx?id=HDWF62FDAVA=;https://gld.legislaturacba.gob.ar/Publics/Actas.aspx?id=KR5xX2tYn4w=;https://gld.legislaturacba.gob.ar/Publics/Actas.aspx?id=V9L5SXdgjog=</t>
  </si>
  <si>
    <t>Declarando de utilidad pública y sujeto a expropiación, todos los bienes convenientes o necesarios para la ejecución de las obras que se encuentran comprendidas en la Red de Accesos a Córdoba (RAC), de acuerdo a la establecido en la Ley N° 6394.</t>
  </si>
  <si>
    <t>https://www.youtube.com/watch?v=jsae9ad_cY8</t>
  </si>
  <si>
    <t>NA;NA</t>
  </si>
  <si>
    <t>Modificando el Radio Municipal de Sampacho, Dpto. Rio Cuarto</t>
  </si>
  <si>
    <t>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</si>
  <si>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https://www.youtube.com/watch?v=oPz1VLQY_HY</t>
  </si>
  <si>
    <t>https://gld.legislaturacba.gob.ar/Publics/Actas.aspx?id=wzMmH5wG9FA=</t>
  </si>
  <si>
    <t>Modificando el radio Comunal de la localidad de Media Naranja, Dpto. Cruz del Eje</t>
  </si>
  <si>
    <t>Modificando el radio Comunal de  la localidad de  AtaHona, Dpto. Rio Primero</t>
  </si>
  <si>
    <t>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t>
  </si>
  <si>
    <t>https://www.youtube.com/watch?v=pRmlcIL_haE</t>
  </si>
  <si>
    <t>https://gld.legislaturacba.gob.ar/Publics/Actas.aspx?id=1qYqXjWrf3M=;https://gld.legislaturacba.gob.ar/Publics/Actas.aspx?id=M5KKACBVueM=;https://gld.legislaturacba.gob.ar/Publics/Actas.aspx?id=WH489q1hhDg=</t>
  </si>
  <si>
    <t>Solicitando al Poder Ejecutivo informe (Art. 102 C.P.) sobre diversos aspectos re-feridos al Programa Paicor</t>
  </si>
  <si>
    <t>https://www.youtube.com/watch?v=Fz_DxWVNEm0</t>
  </si>
  <si>
    <t>Solicitando al Poder Ejecutivo informe (Art. 102 C.P.) sobre diversos aspectos re-feridos a las medidas de control y sanción por el caso de viandas en mal estado provistas por el PAICor.</t>
  </si>
  <si>
    <t>Solicitando al Poder Ejecutivo informe (Art. 102 C.P.) sobre diversos aspectos re-feridos al funcionamiento del Programa de Asistencia Integral de Córdoba (P.A.I.Cor).</t>
  </si>
  <si>
    <t>Solicitando al Poder Ejecutivo informe (Art. 102 CP) sobre diversos aspectos refe-ridos al Programa PAICor para el año 2023, especificando cantidad de beneficia-rios en el interior y en la ciudad capital y detallando el sistema de reajustes de precios por inflación acordado con las empresas prestatarias del servicio</t>
  </si>
  <si>
    <t>Solicitando al Poder Ejecutivo informe (Art. 102 C.P.) sobre diversos aspectos re-feridos al funcionamiento del Programa PAICor y la presunta desvinculación del Programa de Auxiliares del PAICor.</t>
  </si>
  <si>
    <t>Solicitando al Poder Ejecutivo informe (Art. 102 C.P.) sobre diversos aspectos re-feridos al Programa PAICor en el Dpto. San Alberto</t>
  </si>
  <si>
    <t>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</si>
  <si>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https://www.youtube.com/watch?v=Dkk5syaQm7s</t>
  </si>
  <si>
    <t>https://gld.legislaturacba.gob.ar/Publics/Actas.aspx?id=JogCi8832KI=;https://gld.legislaturacba.gob.ar/Publics/Actas.aspx?id=GR2UAU6hhcM=;https://gld.legislaturacba.gob.ar/Publics/Actas.aspx?id=RHHlKix1G3Q=</t>
  </si>
  <si>
    <t>Situación de los trabajadores de la empresa BAGLEY Córdoba</t>
  </si>
  <si>
    <t>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t>
  </si>
  <si>
    <t>https://gld.legislaturacba.gob.ar/Publics/Actas.aspx?id=hTNrwCIyGW8=</t>
  </si>
  <si>
    <t xml:space="preserve">Visita a la Escuela de Tenis "Sin Límites" -tenis adaptado- del Córdoba Lawn Tenis Club (Concepción Arenal 299 - Parque Sarmiento). </t>
  </si>
  <si>
    <t>https://gld.legislaturacba.gob.ar/Publics/Actas.aspx?id=7qijYLHbHtk=;NA;https://gld.legislaturacba.gob.ar/Publics/Actas.aspx?id=LXI1h9zoY44=</t>
  </si>
  <si>
    <t>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</si>
  <si>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https://www.youtube.com/watch?v=cPfcQbDAMXQ</t>
  </si>
  <si>
    <t>https://gld.legislaturacba.gob.ar/Publics/Actas.aspx?id=4_2MUNai5ro=;https://gld.legislaturacba.gob.ar/Publics/Actas.aspx?id=DhhOQNr1ljM=;https://gld.legislaturacba.gob.ar/Publics/Actas.aspx?id=HsyMNzMnh7M=</t>
  </si>
  <si>
    <t>Modificando el radio comunal de la localidad de Pacheco de Melo, Dpto. Juá-rez Celman.</t>
  </si>
  <si>
    <t>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</si>
  <si>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https://www.youtube.com/watch?v=ZHvaRIWNx1A</t>
  </si>
  <si>
    <t>https://gld.legislaturacba.gob.ar/Publics/Actas.aspx?id=aqoyc-_D1kw=</t>
  </si>
  <si>
    <t>Modificando el radio municipal de la localidad de Las Tapias, Dpto. San Ja-vier.</t>
  </si>
  <si>
    <t>Jornada de Sensibilización sobre la Ley Provincial N° 10.728 “Córdoba Inclu-siva”.</t>
  </si>
  <si>
    <t>https://gld.legislaturacba.gob.ar/Publics/Actas.aspx?id=6mBtBdMW8F0=;NA</t>
  </si>
  <si>
    <t>Modificando el artículo 32 de la Ley Nº 8802, referido a las atribuciones del Gobernador en la remisión de pliegos de aspirantes a cargos de Magistrados y Funcionarios del Poder Judicial.</t>
  </si>
  <si>
    <t>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</si>
  <si>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https://www.youtube.com/watch?v=1SYL1SHERdo</t>
  </si>
  <si>
    <t>https://gld.legislaturacba.gob.ar/Publics/Actas.aspx?id=UqsHMMQwe0c=</t>
  </si>
  <si>
    <t>Modificando el radio municipal de la localidad de El Fortín, Dpto. San Justo.</t>
  </si>
  <si>
    <t>Modificando el radio municipal de la localidad de Sampacho, Dpto. Río Cuar-to.</t>
  </si>
  <si>
    <t>Modificando el radio comunal de la localidad de Media Naranja, Dpto. Cruz del Eje.</t>
  </si>
  <si>
    <t>Modificando el radio comunal de la localidad de Atahona, Dpto. Río Primero.</t>
  </si>
  <si>
    <t>Modificando el radio comunal de la localidad de Pacheco de Melo, Dpto. Juá-rez Celman</t>
  </si>
  <si>
    <t xml:space="preserve">Adhiriendo la provincia a la Ley Nacional N° 27674, Creación del Régimen de Protección Integral del Niño, Niña y Adolescente con Cáncer. </t>
  </si>
  <si>
    <t>https://www.youtube.com/watch?v=-ZPNsYFFtjc</t>
  </si>
  <si>
    <t>https://gld.legislaturacba.gob.ar/Publics/Actas.aspx?id=BIuBmm8Xvcc=</t>
  </si>
  <si>
    <t>Creando el Programa Provincial de Cuidado Integral de Niños, Niñas y Adolescen-tes con Cáncer</t>
  </si>
  <si>
    <t>Adhiriendo a la Ley Nacional N° 27674 de Creación del Régimen de Protección Integral del Niño, Niña y Adolescente con cáncer.</t>
  </si>
  <si>
    <t>Adhiriendo a la Ley Nacional N° 27674, de creación del Régimen de Protección Integral del Niño, Niña y Adolescente con Cáncer.</t>
  </si>
  <si>
    <t>Ratificando el Decreto N° 369, que aprueba el Convenio Ampliatorio al Con-venio Marco 2022, destinado a dar cumplimiento al Programa Anual de Es-tadística 2022, celebrado entre el Instituto Nacional de Estadísticas y Censos y el Gobierno de Córdoba.</t>
  </si>
  <si>
    <t>https://www.youtube.com/watch?v=7dBO7mX9ldk</t>
  </si>
  <si>
    <t>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</si>
  <si>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https://www.youtube.com/watch?v=lbGhKv-szg8</t>
  </si>
  <si>
    <t>https://gld.legislaturacba.gob.ar/Publics/Actas.aspx?id=2VCXbTtVbek=;https://gld.legislaturacba.gob.ar/Publics/Actas.aspx?id=jbz25Hj9nZ8=</t>
  </si>
  <si>
    <t>Ratificando el Decreto N° 462/23, que dispuso la creación del Fondo de Financiamiento Ambiental en el marco del Plan Provincial para la Gestión Integral de Residuos.</t>
  </si>
  <si>
    <t>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</si>
  <si>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https://www.youtube.com/watch?v=uYDcJ3nX-Lw</t>
  </si>
  <si>
    <t>https://gld.legislaturacba.gob.ar/Publics/Actas.aspx?id=z53Rrp7htu4=</t>
  </si>
  <si>
    <t>Brindar Respuesta a Pedidos de Informes en Comisión</t>
  </si>
  <si>
    <t>SALUD HUMANA;PROMOCIÓN Y DEFENSA DE LOS DERECHOS DE LA NIÑEZ, ADOLESCENCIA Y FAMILIA</t>
  </si>
  <si>
    <t>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</si>
  <si>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https://www.youtube.com/watch?v=2NndQ7Rs4_Q</t>
  </si>
  <si>
    <t>https://gld.legislaturacba.gob.ar/Publics/Actas.aspx?id=EUoaNV2S6XA=;https://gld.legislaturacba.gob.ar/Publics/Actas.aspx?id=IrjW9v0gpp8=</t>
  </si>
  <si>
    <t>Creando el programa Provincial de cuidado Integral de Niños, Niñas y Adolescen-tes con Cáncer</t>
  </si>
  <si>
    <t>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</si>
  <si>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https://www.youtube.com/watch?v=DhMRl6lnldc</t>
  </si>
  <si>
    <t>https://gld.legislaturacba.gob.ar/Publics/Actas.aspx?id=XaBPEz762kg=;https://gld.legislaturacba.gob.ar/Publics/Actas.aspx?id=86Dwn3jxFag=</t>
  </si>
  <si>
    <t>Creando el Programa Provincial de Cuidado Integral de Niños, Niñas y Adolescentes con Cáncer</t>
  </si>
  <si>
    <t>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</si>
  <si>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https://www.youtube.com/watch?v=KJ68Ku-0Zg8</t>
  </si>
  <si>
    <t>NA;https://gld.legislaturacba.gob.ar/Publics/Actas.aspx?id=86Dwn3jxFag=</t>
  </si>
  <si>
    <t>Creando un Juzgado de Primera Instancia con competencia Múltiple en lo Civil y Comercial, Cociliación, Familia y Quiebras en la Segunda Circunscripción Judicial con asiento en la ciudad  de La Carlota</t>
  </si>
  <si>
    <t>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</si>
  <si>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https://www.youtube.com/watch?v=_8yPdVPR2Wc</t>
  </si>
  <si>
    <t>https://gld.legislaturacba.gob.ar/Publics/Actas.aspx?id=KKt9FaC1DbY=;https://gld.legislaturacba.gob.ar/Publics/Actas.aspx?id=HWi34EiabZM=</t>
  </si>
  <si>
    <t>Actividades a realizarse en el marco de la  "Semana Provincial de la  Prevención del Consumo de Drogas" (Ley N° 10610)</t>
  </si>
  <si>
    <t>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</si>
  <si>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https://www.youtube.com/watch?v=LOCJvGd0Bsc</t>
  </si>
  <si>
    <t>https://gld.legislaturacba.gob.ar/Publics/Actas.aspx?id=2pyGhT8Y67Y=</t>
  </si>
  <si>
    <t>Declarando de utilidad pública y sujeto a expropiación para la regularización dominial y el saneamiento de títulos, los inmuebles comprendidos en el polígono determinado por calles José Cortez Funes, Aviador Valenti, Santa Ana y Curunao, ubicados en el asentamiento El Pueblito de la ciudad de Córdoba.</t>
  </si>
  <si>
    <t>https://www.youtube.com/watch?v=ZW4ZeuiWDgw</t>
  </si>
  <si>
    <t>https://www.youtube.com/watch?v=CW2mETQ4XhM</t>
  </si>
  <si>
    <t>Modificando el radio municipal de la  localidad de Sebastian Elcano, Dpto. Rio Seco</t>
  </si>
  <si>
    <t>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</si>
  <si>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https://www.youtube.com/watch?v=dw7tK5QFQes</t>
  </si>
  <si>
    <t>https://gld.legislaturacba.gob.ar/Publics/Actas.aspx?id=WUY20FbWsYA=</t>
  </si>
  <si>
    <t>Regulando el ejercicio profesional de Terapeutas y Terapistas Ocupacionales y Licenciados/as en Terapia Ocupacional, en la jurisdicción de la provincia.</t>
  </si>
  <si>
    <t>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</si>
  <si>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https://www.youtube.com/watch?v=7GRY1HLT-ic</t>
  </si>
  <si>
    <t>NA;https://gld.legislaturacba.gob.ar/Publics/Actas.aspx?id=dwij8UChx9w=</t>
  </si>
  <si>
    <t>Regulando la actividad profesional de terapista ocupacional en la provincia.</t>
  </si>
  <si>
    <t>Expresando beneplácito por el evento Campus de Coaching Deportivo Fede-rado, a desarrollarse el día 16 de agosto en la ciudad de Córdoba.</t>
  </si>
  <si>
    <t>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</si>
  <si>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https://www.youtube.com/watch?v=jGHmdHnE3qo</t>
  </si>
  <si>
    <t>https://gld.legislaturacba.gob.ar/Publics/Actas.aspx?id=ShIHVN8G-nE=</t>
  </si>
  <si>
    <t>Instituyendo el Programa Provincial Lideresas, con el objeto de promover y fortalecer la participación de las mujeres en condiciones de igualdad, en to-dos los ámbitos de la vida política</t>
  </si>
  <si>
    <t>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t>
  </si>
  <si>
    <t>https://gld.legislaturacba.gob.ar/Publics/Actas.aspx?id=HOuDYrZrxAU=</t>
  </si>
  <si>
    <t>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</si>
  <si>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https://www.youtube.com/watch?v=LmLzZ6mSmYA</t>
  </si>
  <si>
    <t>NA;https://gld.legislaturacba.gob.ar/Publics/Actas.aspx?id=EbF9oQdnlgU=</t>
  </si>
  <si>
    <t>Se propicia la creación de un Juzgado de Control y Faltas y cuatro Fiscalías de Instrucción en la Primera Circunscripción Judicial, con asiento en el Cen-tro Judicial Capital</t>
  </si>
  <si>
    <t>Faculta al Tribunal Superior de Justicia para asignar competencia excluyente para conocer en materia concursal y/o societaria dentro de toda la Provincia</t>
  </si>
  <si>
    <t>Modificando el radio comunal de la localidad de Las Palmas, Dpto. Pocho.</t>
  </si>
  <si>
    <t>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t>
  </si>
  <si>
    <t>https://www.youtube.com/watch?v=tZ_K77v7gzc</t>
  </si>
  <si>
    <t>https://gld.legislaturacba.gob.ar/Publics/Actas.aspx?id=zgCGuFulQeQ=</t>
  </si>
  <si>
    <t>Modificando el radio comunal de la localidad de Las Calles, Dpto. San Alber-to.</t>
  </si>
  <si>
    <t>Modificando el radio municipal de la localidad de Quebracho Herrado, Dpto. San Justo</t>
  </si>
  <si>
    <t>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</si>
  <si>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https://www.youtube.com/watch?v=QtYfChZuWww</t>
  </si>
  <si>
    <t>NA;https://gld.legislaturacba.gob.ar/Publics/Actas.aspx?id=9H7qdQk9OT0=</t>
  </si>
  <si>
    <t xml:space="preserve">Creando un Juzgado de Primera Instancia con competencia Múltiple en lo Civil y Comercial, Conciliación, Familia Y Quiebras en la Segunda Circunscripción Judicial, con asiento en el Centro Judicial Capital </t>
  </si>
  <si>
    <t>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</si>
  <si>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https://www.youtube.com/watch?v=rnmKGBS1A7Y</t>
  </si>
  <si>
    <t>NA;https://gld.legislaturacba.gob.ar/Publics/Actas.aspx?id=jd4hz1F-VBk=</t>
  </si>
  <si>
    <t>Sustituyendo la Sección 2° del Capítulo II -Beneficio de Litigar sin Gastos- y el artículo 140 de la Ley N° 8465, Código Procesal Civil y Comercial de la provincia, modificando el artículo 25 de la Ley N° 10543 y derogando las dis-posiciones que resulten incompatibles con las de la presente Ley, procurando simplificar las formas y garantizar una mayor economía procesal.</t>
  </si>
  <si>
    <t>Vulneración de derechos en Niños, Niñas y ADolescentes. abordaje con perspectiva en niñez, proyectos e Iniciativas</t>
  </si>
  <si>
    <t>COMPLETAR</t>
  </si>
  <si>
    <t>https://www.youtube.com/watch?v=gAqsZ8pDNrE</t>
  </si>
  <si>
    <t>Remitiendo la cuenta de Inversión del ejercicio financiero 2022</t>
  </si>
  <si>
    <t>https://www.youtube.com/watch?v=mxzmjGCbTCo</t>
  </si>
  <si>
    <t>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</si>
  <si>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https://www.youtube.com/watch?v=My8XfhDvm-8</t>
  </si>
  <si>
    <t>NA;https://gld.legislaturacba.gob.ar/Publics/Actas.aspx?id=jLKhDGdsAlw=</t>
  </si>
  <si>
    <t>Ratificando el Decreto N° 1589 de fecha 15 de diciembre de 2022, mediante el cual se aprueba el modelo de “Memorándum de Acuerdo entre el Gobierno de la República Argentina, el Ministerio de Coordinación del Gobierno de la Pro-vincia de Córdoba y la Oficina de las Naciones Unidas de Servicios para Pro-yectos (UNOPS)”.</t>
  </si>
  <si>
    <t>https://www.youtube.com/watch?v=opO--2cSNUo</t>
  </si>
  <si>
    <t>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</si>
  <si>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https://www.youtube.com/watch?v=eBGUoXIUGYU</t>
  </si>
  <si>
    <t>NA;https://gld.legislaturacba.gob.ar/Publics/Actas.aspx?id=SSJIUr0cpbw=</t>
  </si>
  <si>
    <t>Modificando el radio municipal de la localidad de Colonia San Bartolomé, Dpto. San Justo</t>
  </si>
  <si>
    <t>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</si>
  <si>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https://www.youtube.com/watch?v=QTcbsOFN3z0</t>
  </si>
  <si>
    <t>https://gld.legislaturacba.gob.ar/Publics/Actas.aspx?id=lIUfKXi9S1E=</t>
  </si>
  <si>
    <t>Modificando el radio municipal de la localidad de Quilino, Dpto. Ischilín.</t>
  </si>
  <si>
    <t>Solicitando al Poder Ejecutivo informe (Art. 102 C.P.) sobre diversos aspectos referidos a los casos de triquinosis en la provincia.</t>
  </si>
  <si>
    <t>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</si>
  <si>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https://www.youtube.com/watch?v=nTDdKyrIU34</t>
  </si>
  <si>
    <t>https://gld.legislaturacba.gob.ar/Publics/Actas.aspx?id=XrjdqrDNRLk=</t>
  </si>
  <si>
    <t>https://www.youtube.com/watch?v=_YtrhgTGiSU</t>
  </si>
  <si>
    <t>Solicitando acuerdo para el traslado del abogado Leonardo González Zamar, como Vocal a la Cámara Civil y Comercial de 5º nominación, perteneciente a la Primera Circunscripción Judicial con asiento en la ciudad de Córdoba.</t>
  </si>
  <si>
    <t>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t>
  </si>
  <si>
    <t>https://www.youtube.com/watch?v=5nkOG7vy1sI</t>
  </si>
  <si>
    <t>https://gld.legislaturacba.gob.ar/Publics/Actas.aspx?id=K8aIKiJ0wZw=</t>
  </si>
  <si>
    <t xml:space="preserve">Instituyendo el Programa Provincial Lideresas, con el objeto de promover y fortalecer la participación de las mujeres en condiciones de igualdad, en to-dos los ámbitos de la vida política. </t>
  </si>
  <si>
    <t>https://www.youtube.com/watch?v=aMhIlX3dwVU</t>
  </si>
  <si>
    <t>https://www.youtube.com/watch?v=uW5UAHZps6A</t>
  </si>
  <si>
    <t>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t>
  </si>
  <si>
    <t>https://www.youtube.com/watch?v=6jC6n3GJlf8</t>
  </si>
  <si>
    <t>nombre_apellido</t>
  </si>
  <si>
    <t>cargo</t>
  </si>
  <si>
    <t>institucion</t>
  </si>
  <si>
    <t>poder</t>
  </si>
  <si>
    <t>Juan Ferrer</t>
  </si>
  <si>
    <t>Docente e investigador de la Facultad de Ciencias Derecho de la UNC</t>
  </si>
  <si>
    <t>Sociedad Civil</t>
  </si>
  <si>
    <t>Maria Gabriela Barbas</t>
  </si>
  <si>
    <t>Secretaria de Prevención y Promoción de la Salud</t>
  </si>
  <si>
    <t>Ministerio de Salud</t>
  </si>
  <si>
    <t>Ejecutivo Provincial</t>
  </si>
  <si>
    <t>Lucía Fernanda Pautasso</t>
  </si>
  <si>
    <t>Subsecretaria de Promoción y Prevención de Salud</t>
  </si>
  <si>
    <t>Eugenio Ceccheto</t>
  </si>
  <si>
    <t>Director de Epidemiología.</t>
  </si>
  <si>
    <t>Sandra Belfiore</t>
  </si>
  <si>
    <t>Coordinadora de Vacunas.</t>
  </si>
  <si>
    <t>Laura López</t>
  </si>
  <si>
    <t>Jefa de Zoonosis</t>
  </si>
  <si>
    <t>Claudia Roxana Martínez</t>
  </si>
  <si>
    <t>Ministro</t>
  </si>
  <si>
    <t>Ministerio de la Mujer</t>
  </si>
  <si>
    <t>Calixto Angulo</t>
  </si>
  <si>
    <t>Secretario de Derechos Humanos</t>
  </si>
  <si>
    <t>Ministerio de Justicia y Derechos Humanos</t>
  </si>
  <si>
    <t>Juan Carlos Scotto</t>
  </si>
  <si>
    <t>Secretario de Ambiente</t>
  </si>
  <si>
    <t>Ministerio de Servicios Públicos</t>
  </si>
  <si>
    <t>Osvaldo Giordano</t>
  </si>
  <si>
    <t>Ministerio de Finanzas</t>
  </si>
  <si>
    <t>Walter Grahovac</t>
  </si>
  <si>
    <t>Ministerio de Educación</t>
  </si>
  <si>
    <t>Claudia Martínez</t>
  </si>
  <si>
    <t>Omar Sereno</t>
  </si>
  <si>
    <t>Ministerio de Trabajo</t>
  </si>
  <si>
    <t>Darío Gigena Parker</t>
  </si>
  <si>
    <t>Secretario de Prevención y Asistencia de las Adicciones</t>
  </si>
  <si>
    <t>Pablo Bonino</t>
  </si>
  <si>
    <t>Subsecretario de Prevención y Asistencia de las Adicciones</t>
  </si>
  <si>
    <t>Julio Comello</t>
  </si>
  <si>
    <t>Secretario</t>
  </si>
  <si>
    <t>Secretaría General de la Gobernación</t>
  </si>
  <si>
    <t>Sergio Busso</t>
  </si>
  <si>
    <t>Ministerio de Agricultura y Ganadería</t>
  </si>
  <si>
    <t>Daniel Pastorino</t>
  </si>
  <si>
    <t>Director General de Tecnología de Información y Comunicaciones</t>
  </si>
  <si>
    <t>Ministerio de Seguridad</t>
  </si>
  <si>
    <t>Mario Blanco</t>
  </si>
  <si>
    <t>Presidente</t>
  </si>
  <si>
    <t>Ente Regulador de Servicios Públicos. (ERSeP)</t>
  </si>
  <si>
    <t>Cristian Miotti</t>
  </si>
  <si>
    <t>Gerente de Energía Eléctrica</t>
  </si>
  <si>
    <t>Jorge Orellano</t>
  </si>
  <si>
    <t>Gerente de Transporte</t>
  </si>
  <si>
    <t>Esteban Avilés</t>
  </si>
  <si>
    <t>Agencia Córdoba Turismo</t>
  </si>
  <si>
    <t>Victoria Muccillo</t>
  </si>
  <si>
    <t>Subsecretaria de Ambiente</t>
  </si>
  <si>
    <t>Paula Mogni</t>
  </si>
  <si>
    <t>Directora de Jurisdicción de Recursos Naturales</t>
  </si>
  <si>
    <t>Silvana Zaninetti</t>
  </si>
  <si>
    <t>Directora de Jurisdicción de Desarrollo Sostenible y Cambio Climático</t>
  </si>
  <si>
    <t>Mónica Zornberg</t>
  </si>
  <si>
    <t>Secretaria de Administración Financiera</t>
  </si>
  <si>
    <t>Roque Spidalieri</t>
  </si>
  <si>
    <t>Secretario de Financiamiento</t>
  </si>
  <si>
    <t>Horacio Malbrán</t>
  </si>
  <si>
    <t>Responsable de Relaciones Institucionales</t>
  </si>
  <si>
    <t>Oscar Campana</t>
  </si>
  <si>
    <t>Agencia Córdoba Deportes</t>
  </si>
  <si>
    <t>Juan Carlos Massei</t>
  </si>
  <si>
    <t>Ministerio de Desarrollo Social</t>
  </si>
  <si>
    <t>Sebastián Serrano</t>
  </si>
  <si>
    <t>Secretario de Gestión Administrativa</t>
  </si>
  <si>
    <t>Marta Juliá</t>
  </si>
  <si>
    <t>Directora del Instituto de Derecho Ambiental</t>
  </si>
  <si>
    <t>Universidad Católica de Córdoba</t>
  </si>
  <si>
    <t>Aldo Novak</t>
  </si>
  <si>
    <t>Titular de la Cátedra de Derecho de la Recursos Naturales y Ambientales</t>
  </si>
  <si>
    <t>Nilda Gait</t>
  </si>
  <si>
    <t>Jefa del Departamento de Salud Ambiental</t>
  </si>
  <si>
    <t>Juan Ledesma</t>
  </si>
  <si>
    <t>Director del Centro de Operaciones de Emergencia (COE)</t>
  </si>
  <si>
    <t>Héctor Maisuls</t>
  </si>
  <si>
    <t>Subsecretario de Coordinación de Atención Médica, Calidad Hospitalaria y Seguridad del Paciente</t>
  </si>
  <si>
    <t>Gustavo Martínez</t>
  </si>
  <si>
    <t>Jefe de la División de Prevención, Vigilancia y Control de Infecciones Asociadas al Cuidado de la Salud</t>
  </si>
  <si>
    <t>Patricia Fernández</t>
  </si>
  <si>
    <t>Jefa de División de Gestión de Calidad en Servicios Hospitalarios</t>
  </si>
  <si>
    <t>Mónica Luceros</t>
  </si>
  <si>
    <t>Jefa de División Comunicación en Seguridad de Pacientes, Historia Clínica y Guías de Práctica Clínica</t>
  </si>
  <si>
    <t>Gerardo Daniel Beltramino</t>
  </si>
  <si>
    <t>Jefe de División Seguridad de Pacientes y Cultura Organizacional</t>
  </si>
  <si>
    <t>Federico Robledo</t>
  </si>
  <si>
    <t>Asesor del Centro de Operaciones de Emergencia (COE)</t>
  </si>
  <si>
    <t>Pablo Rivarola Padrós</t>
  </si>
  <si>
    <t>Director General del Centro Integral de Varones en Situación de Violencia</t>
  </si>
  <si>
    <t>Julián M. López</t>
  </si>
  <si>
    <t>Cecilia Lanzarott</t>
  </si>
  <si>
    <t>Secretaria de Organización y Gestión Penitenciaria</t>
  </si>
  <si>
    <t>Adrián Rinaudo</t>
  </si>
  <si>
    <t>Director de Policía Ambiental</t>
  </si>
  <si>
    <t>Laura Garutti</t>
  </si>
  <si>
    <t>Representante del del equipo de Policía Ambiental</t>
  </si>
  <si>
    <t>LEGISLACIÓN DEL TRABAJO, PREVISIÓN Y SEGURIDAD SOCIAL;PROMOCIÓN Y DESARROLLO DE LAS ECONOMÍAS REGIONALES Y PYMES;INDUSTRIA Y MINERÍA</t>
  </si>
  <si>
    <t>Héctor Morcillo</t>
  </si>
  <si>
    <t>Secretario General del Sindicato de Trabajadores de la Industria de la Alimentación de Córdoba (STIA) y Secretario General de la Federación de Trabajadores de la Industria de la Alimentación de la República Argentina (FTIA)</t>
  </si>
  <si>
    <t>Gremios y sindicatos</t>
  </si>
  <si>
    <t>María Inés Albergucci</t>
  </si>
  <si>
    <t>Subsecretaria de Calidad, Accesibilidad y Sustentabilidad del Turismo Nacional</t>
  </si>
  <si>
    <t>Ministerio de Deportes y Turismo de la Nación</t>
  </si>
  <si>
    <t>Ejecutivo Nacional</t>
  </si>
  <si>
    <t>Nahum Mirad</t>
  </si>
  <si>
    <t>Vocal del Directorio de Instituto Nacional de Asociativismo y Economía Social (INAES)</t>
  </si>
  <si>
    <t>Ministerio de Desarrollo Productivo</t>
  </si>
  <si>
    <t>Claudio Vignetta</t>
  </si>
  <si>
    <t>Secretario de Gestión de Riesgo Climático, Catástrofes y Protección Civil</t>
  </si>
  <si>
    <t>Alejandro Gauto</t>
  </si>
  <si>
    <t>Secretario de Coordinación</t>
  </si>
  <si>
    <t>Armando Andruet</t>
  </si>
  <si>
    <t>Presidente del Comité de Bioética</t>
  </si>
  <si>
    <t>Director General de Articulación Intersectorial</t>
  </si>
  <si>
    <t>Hugo Tangenti</t>
  </si>
  <si>
    <t>Miembro del Comité Externo, Medicamentos, Usos Compasivos</t>
  </si>
  <si>
    <t>PROMOCIÓN Y DESARROLLO DE LAS ECONOMÍAS REGIONALES Y PYMES;INDUSTRIA Y MINERÍA</t>
  </si>
  <si>
    <t>Eduardo Borri</t>
  </si>
  <si>
    <t>Presidente de la Cámara de Industriales, Metalúrgicos y de Componentes de Córdoba (CIMCC)</t>
  </si>
  <si>
    <t>Empresas y cámaras</t>
  </si>
  <si>
    <t>Gaston Utrera</t>
  </si>
  <si>
    <t>Presidente de la Consultora Economic Trends</t>
  </si>
  <si>
    <t>Ricardo Ruival</t>
  </si>
  <si>
    <t>Presidente de la Cámara de Industrias Informáticas, Electrónicas y de Comunicaciones del Cwentro de Argentina (CIIECCA)</t>
  </si>
  <si>
    <t>Mario Campise</t>
  </si>
  <si>
    <t>Vocal de de la Cámara de Ferreterías, Sanitarios, Hierros y Afines</t>
  </si>
  <si>
    <t>Nancy Lizzul</t>
  </si>
  <si>
    <t>Representante de la Cámara de Industriales, Metalúrgicos y de Componentes de Córdoba (CIMCC)</t>
  </si>
  <si>
    <t>Rinaldo Rusconi</t>
  </si>
  <si>
    <t>Presidente del Centro Industrial de Panaderos y Afines</t>
  </si>
  <si>
    <t>Federico Cena</t>
  </si>
  <si>
    <t>Representante de la Cámara Argentina de la Micro, Pequeña y Mediana Empresa</t>
  </si>
  <si>
    <t>José Giordano</t>
  </si>
  <si>
    <t>Vicepresidente de la Cámara de Empresarios, Repuestos, Automotores y Afines de Córdoba</t>
  </si>
  <si>
    <t>Francisco Vaccaro</t>
  </si>
  <si>
    <t>Representante de la Cámara de Comercio de Córdoba</t>
  </si>
  <si>
    <t>Carlos Zaffi</t>
  </si>
  <si>
    <t>Vocal de la Unión Industrial de Córdoba</t>
  </si>
  <si>
    <t>Juan Carlos Rousellot</t>
  </si>
  <si>
    <t>Secretario General de la Unión de Trabajadores del Turismo, Hoteleros y Gastronómicos de la República Argentina (UTHGRA) Córdoba</t>
  </si>
  <si>
    <t>Manuel Grahovac</t>
  </si>
  <si>
    <t>Secretario de Arquitectura</t>
  </si>
  <si>
    <t>Ministerio de Obras Públicas</t>
  </si>
  <si>
    <t>José Maiocco</t>
  </si>
  <si>
    <t>Director General de Obras de Arquitectura</t>
  </si>
  <si>
    <t>Francisco Iguerabide</t>
  </si>
  <si>
    <t>Director General del Programa Buenas Prácticas Agropecuarias</t>
  </si>
  <si>
    <t>Melina Masnatta</t>
  </si>
  <si>
    <t>Directora Ejecutiva y Co-Fundadora de la ONG “Chicas en Tecnología”</t>
  </si>
  <si>
    <t>Asociación civil</t>
  </si>
  <si>
    <t>Soledad Salas</t>
  </si>
  <si>
    <t>Representante de “Mujeres en Tecnología Córdoba" (MET)</t>
  </si>
  <si>
    <t>Liliana González</t>
  </si>
  <si>
    <t>Licenciada en Psicopedagogía, especialista en clínica de niñas, niños y adolescentes</t>
  </si>
  <si>
    <t>Augusto Parola</t>
  </si>
  <si>
    <t>Presidente de la Federación de Colegios de Abogados de Córdoba (FECACOR)</t>
  </si>
  <si>
    <t>Colegios profesionales</t>
  </si>
  <si>
    <t>Ignacio Segura</t>
  </si>
  <si>
    <t>Presidente del Colegio de Abogados de Córdoba</t>
  </si>
  <si>
    <t>Alejandra Ferrero</t>
  </si>
  <si>
    <t>Secretaria Legal del Colegio de Abogados de Córdoba</t>
  </si>
  <si>
    <t>Nora Vilches</t>
  </si>
  <si>
    <t>Presidenta de la Federación de Entidades Profesionales de Córdoba (FEPUC)</t>
  </si>
  <si>
    <t>Carlos Arrigoni</t>
  </si>
  <si>
    <t>Representante de la Federación de Entidades Profesionales de Córdoba (FEPUC)</t>
  </si>
  <si>
    <t>Lucas Ujaldon</t>
  </si>
  <si>
    <t>Raquel Krawchik</t>
  </si>
  <si>
    <t>Rectora Normalizadora</t>
  </si>
  <si>
    <t>Universidad Provincial de Córdoba</t>
  </si>
  <si>
    <t>Jonatán Andrés Gómez Kevorkian</t>
  </si>
  <si>
    <t>Representante de la Cooperativa “ReciclarCOOP”.</t>
  </si>
  <si>
    <t>Gonzalo Frontera</t>
  </si>
  <si>
    <t>Constanza Guerra</t>
  </si>
  <si>
    <t>Directora técnica</t>
  </si>
  <si>
    <t>Club Atlético Argentino Peñarol</t>
  </si>
  <si>
    <t>Daniela Díaz</t>
  </si>
  <si>
    <t>Club Atlético Belgrano</t>
  </si>
  <si>
    <t>Florencia Micocci</t>
  </si>
  <si>
    <t>Representante de Futboleras Organizadas</t>
  </si>
  <si>
    <t>Organización social (sin personería jurídica)</t>
  </si>
  <si>
    <t>Betina Ballari</t>
  </si>
  <si>
    <t>Representante de la Comisión Directiva</t>
  </si>
  <si>
    <t>Club Social y Deportivo Los Vaqueros</t>
  </si>
  <si>
    <t>Pablo Javier De Chiara</t>
  </si>
  <si>
    <t>Ministerio de Ciencia y Tecnología.</t>
  </si>
  <si>
    <t>Silvana Sánchez</t>
  </si>
  <si>
    <t>Miembro del Concejo Municipal de Ambiente de Villa Allende</t>
  </si>
  <si>
    <t>Joaquín Deon</t>
  </si>
  <si>
    <t>Emiliano Tulián</t>
  </si>
  <si>
    <t>María Esther Ponce</t>
  </si>
  <si>
    <t>Exfutbolista</t>
  </si>
  <si>
    <t>Amelia Lopez</t>
  </si>
  <si>
    <t>Defensora de Niños, Niñas y Adolescentes</t>
  </si>
  <si>
    <t>Nicolás Carvajal</t>
  </si>
  <si>
    <t>Administración Provincial de Seguro de Salud (APROSS)</t>
  </si>
  <si>
    <t>Emiliano Gramajo</t>
  </si>
  <si>
    <t>Secretario General de la Asociación Obrera de la Industria del Transporte Automotor (AOITA)</t>
  </si>
  <si>
    <t>Nicolás Russo</t>
  </si>
  <si>
    <t>Diputado Nacional y miembro del Comité Ejecutivo de AFA</t>
  </si>
  <si>
    <t>Congreso de la Nación</t>
  </si>
  <si>
    <t>Legislativo Nacional</t>
  </si>
  <si>
    <t>PROMOCIÓN Y DESARROLLO DE LAS ECONOMÍAS REGIONALES Y PYMES</t>
  </si>
  <si>
    <t>Pablo Gigy</t>
  </si>
  <si>
    <t>Presidente del Córdoba Technology Cluster</t>
  </si>
  <si>
    <t>Raúl Di Giovambattista</t>
  </si>
  <si>
    <t>Presidente del Clúster TIC Villa María</t>
  </si>
  <si>
    <t>David Vaisman</t>
  </si>
  <si>
    <t>Vicepresidente del Clúster Tecnológico de Río Cuarto</t>
  </si>
  <si>
    <t>Facundo Rocha</t>
  </si>
  <si>
    <t>Representante del Clúster Tecnológico de San Francisco.</t>
  </si>
  <si>
    <t>Miguel Magaldi</t>
  </si>
  <si>
    <t>Representante de la Cámara de Fabricantes de la Industria Electrónica e Informática de Telecomunicaciones de Córdoba (CIIECCA)</t>
  </si>
  <si>
    <t>Fernando Villagra</t>
  </si>
  <si>
    <t>Represenante del Colegio de Ciencias Informáticas de la Provincia de Córdoba</t>
  </si>
  <si>
    <t>José Ricardo Piñero</t>
  </si>
  <si>
    <t>Secretario de Niñez, Adolescencia y Familia</t>
  </si>
  <si>
    <t>Daniel Menéndez</t>
  </si>
  <si>
    <t>Subsecretario de Políticas de Integración y Formación</t>
  </si>
  <si>
    <t>Jorge Montoya</t>
  </si>
  <si>
    <t>Secretaría de Integración Regional</t>
  </si>
  <si>
    <t>Mariano Correa</t>
  </si>
  <si>
    <t>Juez de Niñez, Adolescencia y Violencia Familiar de 2º Nominación de Río Cuarto</t>
  </si>
  <si>
    <t>Juzgado</t>
  </si>
  <si>
    <t>Judicial Provincial</t>
  </si>
  <si>
    <t>Nélida Mariana Wallace</t>
  </si>
  <si>
    <t>Jueza de Niñez, Adolescencia, Violencia Familiar y Género de 4º Nominación de Córdoba.</t>
  </si>
  <si>
    <t>Inés Mariel</t>
  </si>
  <si>
    <t>Jueza de Niñez, Juventud, Violencia Familiar, Género y Penal Juvenil de Villa María</t>
  </si>
  <si>
    <t>Antonio Quintana</t>
  </si>
  <si>
    <t>Secretario General del Sindicato de Mecánicos y Afines del Transporte Automotor (SMATA)</t>
  </si>
  <si>
    <t>Federico Ricotini</t>
  </si>
  <si>
    <t>Presidente de la Asociación de Hoteles de la República Argentina</t>
  </si>
  <si>
    <t>Daniel Quinteros</t>
  </si>
  <si>
    <t>Presidente de Córdoba Bureau</t>
  </si>
  <si>
    <t>Sergio Navarro</t>
  </si>
  <si>
    <t>Presidente de Operadores Receptivos de Córdoba</t>
  </si>
  <si>
    <t>Gustavo Peralta</t>
  </si>
  <si>
    <t>Presidente de la Asociación Cordobesa de Agentes de Viaje</t>
  </si>
  <si>
    <t>José González</t>
  </si>
  <si>
    <t>Presidente de la Cámara de Turismo de Córdoba</t>
  </si>
  <si>
    <t>Leonardo González</t>
  </si>
  <si>
    <t>Presidente de la Asociación Empresaria Hotelera Gastronómica Afines y de Servicios Turísticos de Villa Carlos Paz</t>
  </si>
  <si>
    <t>Fernando Desbots</t>
  </si>
  <si>
    <t>Presidente de la Asociación Empresaria Hotelera Gastronómica de Córdoba</t>
  </si>
  <si>
    <t>Alejandro Seiffar</t>
  </si>
  <si>
    <t>Presidente de la Asociación Empresaria Hotelera Gastronómica de Calamuchita</t>
  </si>
  <si>
    <t>Ricardo Abdemur</t>
  </si>
  <si>
    <t>Presidente de la Asociación Serrana de Hoteles y Afines de La Falda</t>
  </si>
  <si>
    <t>Laura Rivera</t>
  </si>
  <si>
    <t>Presidenta de la Asociación Empresaria Hotelera Gastronómica de Río Cuarto</t>
  </si>
  <si>
    <t>Julio Camaño</t>
  </si>
  <si>
    <t>Presidente de la Cámara Argentina de Turismo Rural</t>
  </si>
  <si>
    <t>Alejandro Moroni</t>
  </si>
  <si>
    <t>Coordinador de la Región Centro de FEHGRA</t>
  </si>
  <si>
    <t>Alfredo Magallanes</t>
  </si>
  <si>
    <t>Subsecretario de Escrituras de Viviendas Sociales</t>
  </si>
  <si>
    <t>Ministerio de Promoción del Empleo y la Economía Familiar</t>
  </si>
  <si>
    <t>Cristian Heredia</t>
  </si>
  <si>
    <t>Director de Escrituración de Viviendas Sociales</t>
  </si>
  <si>
    <t>Marcelo Castillo</t>
  </si>
  <si>
    <t>Representante de la Red de Salas de Teatro Independiente</t>
  </si>
  <si>
    <t>Diego Hass</t>
  </si>
  <si>
    <t>Artemia Barrionuevo</t>
  </si>
  <si>
    <t>Germán Font</t>
  </si>
  <si>
    <t>Director General de Agencias Zonales y Desarrollo Territorial</t>
  </si>
  <si>
    <t>Laly Jaime</t>
  </si>
  <si>
    <t>Representante del Grupo de Adopción Rio Tercero - “Un gesto de amor”</t>
  </si>
  <si>
    <t>Luis Juliano</t>
  </si>
  <si>
    <t>Representante de Unidos Con Lazos de Amor (UCLA) - Grupo Adopción Córdoba</t>
  </si>
  <si>
    <t>Mónica Oven</t>
  </si>
  <si>
    <t>Gladys Moreno</t>
  </si>
  <si>
    <t>Fundadora de Unidos Con Lazos de Amor (UCLA) - Grupo Adopción Córdoba</t>
  </si>
  <si>
    <t>Paola Damiani</t>
  </si>
  <si>
    <t>Representante de la Fundación Adoptar Villa María</t>
  </si>
  <si>
    <t>Adrian Walker</t>
  </si>
  <si>
    <t>Intendente</t>
  </si>
  <si>
    <t>Municipalidad de Miramar</t>
  </si>
  <si>
    <t>Ejecutivo Municipal</t>
  </si>
  <si>
    <t>José Bría</t>
  </si>
  <si>
    <t>Municipalidad de Morteros</t>
  </si>
  <si>
    <t>Daniel Lopez</t>
  </si>
  <si>
    <t>Municipalidad de La Cumbrecita</t>
  </si>
  <si>
    <t>Pablo Bianco</t>
  </si>
  <si>
    <t>Director general de Turismo</t>
  </si>
  <si>
    <t>Municipalidad de Córdoba</t>
  </si>
  <si>
    <t>Camilo Vieyra</t>
  </si>
  <si>
    <t>Secretario de Gobierno</t>
  </si>
  <si>
    <t>Municipalidad de Río Cuarto</t>
  </si>
  <si>
    <t>Eduardo Baldassi</t>
  </si>
  <si>
    <t>Municipalidad de Rio Ceballos</t>
  </si>
  <si>
    <t>Gustavo Brandan</t>
  </si>
  <si>
    <t>Municipalidad de Colonia Caroya</t>
  </si>
  <si>
    <t>Claudio Manzanelli</t>
  </si>
  <si>
    <t>Municipalidad de Mina Clavero</t>
  </si>
  <si>
    <t>Roberto Altamirano</t>
  </si>
  <si>
    <t>Municipalidad de San Javier</t>
  </si>
  <si>
    <t>Leo Rodríguez</t>
  </si>
  <si>
    <t>Secretario de Turismo</t>
  </si>
  <si>
    <t>Dardo Zanotti</t>
  </si>
  <si>
    <t>Municipalidad de Santa María de Punilla</t>
  </si>
  <si>
    <t>Fabricio Diaz</t>
  </si>
  <si>
    <t>Municipalidad de Capilla del Monte</t>
  </si>
  <si>
    <t>Marcos Torres Lima</t>
  </si>
  <si>
    <t>Municipalidad de Alta Gracia</t>
  </si>
  <si>
    <t>Carlos Guzmán</t>
  </si>
  <si>
    <t>Presidente Comunal</t>
  </si>
  <si>
    <t>Comuna de La Serranita</t>
  </si>
  <si>
    <t>Gabriela Cachayu</t>
  </si>
  <si>
    <t>Secretaria de Turismo</t>
  </si>
  <si>
    <t>Municipalidad de Villa General Belgrano</t>
  </si>
  <si>
    <t>Ricardo Martín</t>
  </si>
  <si>
    <t>Municipalidad de Serrezuela</t>
  </si>
  <si>
    <t>Mabel Godoy</t>
  </si>
  <si>
    <t>Municipalidad de Quilino</t>
  </si>
  <si>
    <t>Manuel Echegaray</t>
  </si>
  <si>
    <t>Director de Cultura</t>
  </si>
  <si>
    <t>Municipalidad de Villa Cura Brochero</t>
  </si>
  <si>
    <t>Néstor Chavarría</t>
  </si>
  <si>
    <t>Secretario Delegación Córdoba de la Unión Obrera de la Construcción de la República Argentina</t>
  </si>
  <si>
    <t>Nancy Villarruel</t>
  </si>
  <si>
    <t>Representante de la Asociación Mujeres en Economía y Finanzas de Córdoba (Meyfin)</t>
  </si>
  <si>
    <t>Paula Martínez</t>
  </si>
  <si>
    <t>Romina Rosado</t>
  </si>
  <si>
    <t>Representante de dueños de jardines maternales o de infantes</t>
  </si>
  <si>
    <t>Sabrina Escudero</t>
  </si>
  <si>
    <t>Yanina Oviedo</t>
  </si>
  <si>
    <t>Vanesa Losa</t>
  </si>
  <si>
    <t>Ricardo Taier</t>
  </si>
  <si>
    <t>Gustavo Visintín</t>
  </si>
  <si>
    <t>Jefe de Departamento</t>
  </si>
  <si>
    <t>Sistema Provincial de Sangre</t>
  </si>
  <si>
    <t>Franco Hernán Mogetta Prevedello</t>
  </si>
  <si>
    <t>Secretario de Transporte</t>
  </si>
  <si>
    <t>Ministerio de Cóordinación</t>
  </si>
  <si>
    <t>Hernán Navarro</t>
  </si>
  <si>
    <t>Presidente de la ONG Grooming Argentina</t>
  </si>
  <si>
    <t>Graciela Barcos</t>
  </si>
  <si>
    <t>Secretaria Adjunta del Sindicato Único de Trabajadores del Espectáculos Públicos y Afines de la República Argentina (SUTEP).</t>
  </si>
  <si>
    <t>Gonzalo Aliaga</t>
  </si>
  <si>
    <t>Transportistas escolares</t>
  </si>
  <si>
    <t>Almendra Spilere</t>
  </si>
  <si>
    <t>José Díaz</t>
  </si>
  <si>
    <t>Fernanda Demaría</t>
  </si>
  <si>
    <t>Propietario de cantinas escolares</t>
  </si>
  <si>
    <t>José Ferrero</t>
  </si>
  <si>
    <t>Marcela Yaniszewski</t>
  </si>
  <si>
    <t>Sofía Lanfri</t>
  </si>
  <si>
    <t>Bióloga, magister en imágenes satelitales aplicadas al ambiente</t>
  </si>
  <si>
    <t>Gustavo González Albarracín</t>
  </si>
  <si>
    <t>Abogado</t>
  </si>
  <si>
    <t>Ángeles Ruiz Díaz</t>
  </si>
  <si>
    <t>Diplomada en desarrollo sostenible</t>
  </si>
  <si>
    <t>Alejandro Montbrun</t>
  </si>
  <si>
    <t>Licenciado en Ciencias Políticas</t>
  </si>
  <si>
    <t>INDUSTRIA Y MINERÍA;PROMOCIÓN Y DESARROLLO DE LAS ECONOMÍAS REGIONALES Y PYMES</t>
  </si>
  <si>
    <t>Mario Barra</t>
  </si>
  <si>
    <t>Director de la Fundación Mediterránea</t>
  </si>
  <si>
    <t>María Luz Álvarez</t>
  </si>
  <si>
    <t>Representante de Docentes Autoconvocadas Independientes de la Provincia de Córdoba</t>
  </si>
  <si>
    <t>Ana Laura Martín</t>
  </si>
  <si>
    <t>Maraina Sesín</t>
  </si>
  <si>
    <t>María Celeste Ferreyra</t>
  </si>
  <si>
    <t>Laura Vigna</t>
  </si>
  <si>
    <t>Luciana Echeverría</t>
  </si>
  <si>
    <t>Pate Palero</t>
  </si>
  <si>
    <t>Periodista, coordinadora de Comunicación en el Polo Integral de la Mujer</t>
  </si>
  <si>
    <t>David Albano</t>
  </si>
  <si>
    <t>Secretario General del Sindicato de Músicos de la Provincia de Córdoba</t>
  </si>
  <si>
    <t>Gabriela Richard</t>
  </si>
  <si>
    <t>Directora de la Fundación ProSalud</t>
  </si>
  <si>
    <t>María Pía Guidetti</t>
  </si>
  <si>
    <t>Directora General de Gestión Sanitaria</t>
  </si>
  <si>
    <t>Dr. José Daghero</t>
  </si>
  <si>
    <t>Abogado de la Secretaría de Salud Mental</t>
  </si>
  <si>
    <t>Claudia Simonini</t>
  </si>
  <si>
    <t>Directora del Hospital Neuropsiquiátrico</t>
  </si>
  <si>
    <t>Ricardo Pon</t>
  </si>
  <si>
    <t>Director del Hospital Santa María de Punilla</t>
  </si>
  <si>
    <t>Presidenta de la Federación de Entidades Profesionales Universitarias de Córdoba (FEPUC)</t>
  </si>
  <si>
    <t>Carolina Allende</t>
  </si>
  <si>
    <t>Secretaria de la Federación de Entidades Profesionales Universitarias de Córdoba (FEPUC)</t>
  </si>
  <si>
    <t>Asesor Legal de la Federación de Entidades Profesionales Universitarias de Córdoba (FEPUC)</t>
  </si>
  <si>
    <t>Horacio Ortiz Pellegrini</t>
  </si>
  <si>
    <t>Presidente del Colegio de Escribanos de Córdoba</t>
  </si>
  <si>
    <t>José Simonella</t>
  </si>
  <si>
    <t>Presidente del Concejo de Ciencias Económicas de Córdoba</t>
  </si>
  <si>
    <t>José Ermoli</t>
  </si>
  <si>
    <t>Presidente del Colegio Odontológico</t>
  </si>
  <si>
    <t>Silvia Zamory</t>
  </si>
  <si>
    <t>Presidenta del Colegio de Bioquimicos de Córdoba</t>
  </si>
  <si>
    <t>Adriana Buduy</t>
  </si>
  <si>
    <t>Representante de la Caja de Abogados</t>
  </si>
  <si>
    <t>Sergio Laiz Suárez</t>
  </si>
  <si>
    <t>Decano del Cuerpo Consular en Córdoba y Cónsul Honorario de India</t>
  </si>
  <si>
    <t>Diego Cardozo</t>
  </si>
  <si>
    <t>Juan Pablo Brarda</t>
  </si>
  <si>
    <t>Administración Provincial de Recursos Hídricos</t>
  </si>
  <si>
    <t>Antonio Eduardo Franco</t>
  </si>
  <si>
    <t>Subsecretario de Niños, Niñas y Adolescentes en conflicto con la Ley Penal</t>
  </si>
  <si>
    <t>Ely Domínguez</t>
  </si>
  <si>
    <t>Subdirectora de Prestaciones de Salud</t>
  </si>
  <si>
    <t>Marcos Makón</t>
  </si>
  <si>
    <t>Director de la Oficina de Presupuesto</t>
  </si>
  <si>
    <t>Mariana Wallace</t>
  </si>
  <si>
    <t>Juzgado de Niñez, Adolescencia, Violencia Familiar y de Género de Cuarta Nominación</t>
  </si>
  <si>
    <t>Poder Judicial Provincial</t>
  </si>
  <si>
    <t>Patricia García de Arce</t>
  </si>
  <si>
    <t>Jefa de Departamento de Servicio de Guarda y Adopción</t>
  </si>
  <si>
    <t>Registro Único de Adoptantes</t>
  </si>
  <si>
    <t>Laila Córdoba</t>
  </si>
  <si>
    <t>Juzgado de Niñez, Adolescencia y Familia y Violencia Familiar y de Género de Tercera Nominación</t>
  </si>
  <si>
    <t>Raquel Martínez</t>
  </si>
  <si>
    <t>Asesora de Niñez de Séptimo Turno</t>
  </si>
  <si>
    <t>Marcos Blanda</t>
  </si>
  <si>
    <t>Secretario de Agricultura</t>
  </si>
  <si>
    <t>Federico Javier García Aspitia</t>
  </si>
  <si>
    <t>Secretario de Gobiernos Locales</t>
  </si>
  <si>
    <t>Ministerio de Gobierno</t>
  </si>
  <si>
    <t>Jimena Massa</t>
  </si>
  <si>
    <t>Coordinadora del Programa Género y Diversidad de la Facultad de Ciencias de la Comunicación</t>
  </si>
  <si>
    <t>Universidad Nacional de Córdoba</t>
  </si>
  <si>
    <t>Mariela Parisi</t>
  </si>
  <si>
    <t>Decana de la Facultad de Ciencias de la Comunicación</t>
  </si>
  <si>
    <t>Federico Alessandri</t>
  </si>
  <si>
    <t>Vicepresidente</t>
  </si>
  <si>
    <t>Agencia Córdoba Tursimo</t>
  </si>
  <si>
    <t>Juan Pablo Simonian</t>
  </si>
  <si>
    <t>Presidente de la Asociación Cultural Armenia</t>
  </si>
  <si>
    <t>Darío Ranco</t>
  </si>
  <si>
    <t>Subsecretario de Cooperativas y Mutuales</t>
  </si>
  <si>
    <t>Ministerio de Industria, Comercio y Minería</t>
  </si>
  <si>
    <t>Instituto de Ambiente de la Universidad Católica de Córdoba</t>
  </si>
  <si>
    <t>María Laura Foradori</t>
  </si>
  <si>
    <t>Cátedra de Derecho Ambiental</t>
  </si>
  <si>
    <t>Jeremías Bauducco</t>
  </si>
  <si>
    <t>Representante de la Asociación Argentina de Guías de Montaña</t>
  </si>
  <si>
    <t>Diego Calabró</t>
  </si>
  <si>
    <t>Lucas Gómez</t>
  </si>
  <si>
    <t>Técnico Superior en Turismo y Hotelería</t>
  </si>
  <si>
    <t>Juan Martín Bustos</t>
  </si>
  <si>
    <t>Técnico Superior en Turismo y Hotelería, Técnico y Guía de Trekking</t>
  </si>
  <si>
    <t>Diego Caliari</t>
  </si>
  <si>
    <t>Guía de Turismo del Parque Nacional Quebrada del Condorito</t>
  </si>
  <si>
    <t>Alejandro Rossi</t>
  </si>
  <si>
    <t>Secretario General del Sindicato Argentino de Televisión, Telecomunicaciones, Servicios Audiovisuales, Interactivos y de Datos.</t>
  </si>
  <si>
    <t>Eduardo Accastello</t>
  </si>
  <si>
    <t>Fabián López</t>
  </si>
  <si>
    <t>Marité Teresa Puga</t>
  </si>
  <si>
    <t>Subsecretaria de Discapacidad, Rehabilitación e Inclusión de la Provincia de Córdoba.</t>
  </si>
  <si>
    <t>Luis Castillo</t>
  </si>
  <si>
    <t>Presidente de la Federación de Cooperativas Eléctricas y de Obras y Servicios Públicos de la Provincia de Córdoba (FECESCOR</t>
  </si>
  <si>
    <t>Raúl Castellino</t>
  </si>
  <si>
    <t>Vicepresidente de la Federación Argentina de Cooperativas de Electricidad (FACE)</t>
  </si>
  <si>
    <t>Guillermo Oviedo</t>
  </si>
  <si>
    <t>Representante de la Federación Argentina de Cooperativas de Electricidad (FACE)</t>
  </si>
  <si>
    <t>Rodolfo Sierz</t>
  </si>
  <si>
    <t>Germán Di Bella</t>
  </si>
  <si>
    <t>Director de BIO4</t>
  </si>
  <si>
    <t>Juan Molina</t>
  </si>
  <si>
    <t>Director Centro Regional Córdoba</t>
  </si>
  <si>
    <t>Instituto Nacional de Tecnología Agropecuaria</t>
  </si>
  <si>
    <t>Benjamín Buteler</t>
  </si>
  <si>
    <t>Coordinador General</t>
  </si>
  <si>
    <t>Concejo Asesor de Políticas Energéticas de la Provincia de Córdoba (CAPEC)</t>
  </si>
  <si>
    <t>Pablo Recabarren</t>
  </si>
  <si>
    <t>Decano de la Facultad de Ciencias Exactas, Físicas y Naturales</t>
  </si>
  <si>
    <t>Marcelo Cornero</t>
  </si>
  <si>
    <t>Decano de la Facultad de Ciencias Agropecuarias.</t>
  </si>
  <si>
    <t>Juan Carlos Martínez</t>
  </si>
  <si>
    <t>Representante de la Bolsa de Cereales de Córdoba</t>
  </si>
  <si>
    <t>Verónica Gesse</t>
  </si>
  <si>
    <t>Consultora en Energías, Sostenibilidad y Gobernanza</t>
  </si>
  <si>
    <t>Roberto Bisagn</t>
  </si>
  <si>
    <t>Docente e investigador de la Facultad de Ciencias Económicas de la UBA - CONICET</t>
  </si>
  <si>
    <t>Juan Carlos Giaccone</t>
  </si>
  <si>
    <t>Presidente de la Cámara de Agroalimentos y Bioenergías de Córdoba (CABIOCOR).</t>
  </si>
  <si>
    <t>Jerónimo Almagro</t>
  </si>
  <si>
    <t>Representante de la Cámara Argentina de Energías Renovables (CADER).</t>
  </si>
  <si>
    <t>Oscar Gentili</t>
  </si>
  <si>
    <t>Representante de la Cámara de Industriales Metalúrgicos.</t>
  </si>
  <si>
    <t>Leticia Elizabeth Luque</t>
  </si>
  <si>
    <t>Licenciada en Psicología y Doctora en Ciencias de la Salud</t>
  </si>
  <si>
    <t>Carlos Luna</t>
  </si>
  <si>
    <t>Presidente de la Caja de Previsión Social para los Profesionales de la Salud de la Provincia de Córdoba.</t>
  </si>
  <si>
    <t>Laura Jure</t>
  </si>
  <si>
    <t>Félix Páez</t>
  </si>
  <si>
    <t>Presidente de la Unión Cordobesa de Rugby</t>
  </si>
  <si>
    <t>Diego Eguia Feder</t>
  </si>
  <si>
    <t>Presidente Federación Cordobesa de Handball</t>
  </si>
  <si>
    <t>ECONOMÍA, PRESUPUESTO, GESTIÓN PÚBLICA E INNOVACIÓN;LEGISLACIÓN GENERAL;EDUCACIÓN, CULTURA, CIENCIA, TECNOLOGÍA E INFORMÁTICA;INDUSTRIA Y MINERÍA</t>
  </si>
  <si>
    <t>Heber Farfán</t>
  </si>
  <si>
    <t>Secretario de Ingresos Públicos</t>
  </si>
  <si>
    <t>Esteban Cruz Riveros</t>
  </si>
  <si>
    <t>Representante de la Comisión Directiva de la Federación de Empresarios del Transporte Automotor de Pasajeros (FETAP)</t>
  </si>
  <si>
    <t>Paola Martellono</t>
  </si>
  <si>
    <t>Asesora Técnica Económica de la Federación de Empresarios del Transporte Automotor de Pasajeros (FETAP)</t>
  </si>
  <si>
    <t>Horacio Galán</t>
  </si>
  <si>
    <t>Asesor Legal de la Federación de Empresarios del Transporte Automotor de Pasajeros (FETAP)</t>
  </si>
  <si>
    <t>Luis González</t>
  </si>
  <si>
    <t>Secretario General de la Unión de Trabajadores de la Industria del Calzado de la República Argentina (UTICRA), Seccional Córdoba.</t>
  </si>
  <si>
    <t>José Molina</t>
  </si>
  <si>
    <t>Secretario Adjunto de la Unión de Trabajadores de la Industria del Calzado de la República Argentina (UTICRA), Seccional Córdoba.</t>
  </si>
  <si>
    <t>Juan Alejandro Lovato</t>
  </si>
  <si>
    <t>Representante del Clúster Tecnológico Río Cuarto</t>
  </si>
  <si>
    <t>Pablo Rivarola</t>
  </si>
  <si>
    <t>Vicerrector de Asuntos Académicos</t>
  </si>
  <si>
    <t>Universidad Empresarial Siglo 21</t>
  </si>
  <si>
    <t>Javier Siman</t>
  </si>
  <si>
    <t>Presidente de la Cámara Argentina Aeronáutica y Espacial (CArAE)</t>
  </si>
  <si>
    <t>Mauricio José Navajas</t>
  </si>
  <si>
    <t>Presidente de la Asociación de Desarrolladores de Videojuegos de Argentina (ADVA)</t>
  </si>
  <si>
    <t>Daniel Fernández</t>
  </si>
  <si>
    <t>Presidente de la Liga Cordobesa de Fútbol</t>
  </si>
  <si>
    <t>Hugo Cepeda</t>
  </si>
  <si>
    <t>Secretario de la Liga Cordobesa de Fútbol</t>
  </si>
  <si>
    <t>Emeterio Farías</t>
  </si>
  <si>
    <t>Tesorero de la Liga Cordobesa de Fútbol</t>
  </si>
  <si>
    <t>Nicolás Martínez Dalke</t>
  </si>
  <si>
    <t>Concejal</t>
  </si>
  <si>
    <t>Concejo Deliberante de Mendiolaza</t>
  </si>
  <si>
    <t>Legislativo Municipal</t>
  </si>
  <si>
    <t>Alfonso Mosquera</t>
  </si>
  <si>
    <t>Diosnel Bouchet</t>
  </si>
  <si>
    <t>Director del Programa Provincial de VIH/SIDA y ETS.</t>
  </si>
  <si>
    <t>Ilda Bustos</t>
  </si>
  <si>
    <t>Secretaria General de la Unión Obrera Gráfica Cordobesa (UOGC)</t>
  </si>
  <si>
    <t>José Luis Di Benedetto</t>
  </si>
  <si>
    <t>Presidente de la Federación Cordobesa de Fútbol</t>
  </si>
  <si>
    <t>Néstor Beltrame</t>
  </si>
  <si>
    <t>Secretario General de la Federación Cordobesa de Fútbol</t>
  </si>
  <si>
    <t>Víctor Navello</t>
  </si>
  <si>
    <t>Presidente de la Liga Independiente de Fútbol</t>
  </si>
  <si>
    <t>Juan Pucheta</t>
  </si>
  <si>
    <t>Presidente de la Liga General Roca</t>
  </si>
  <si>
    <t>Federico Tosolini</t>
  </si>
  <si>
    <t>Presidente de la Liga de Río Cuarto</t>
  </si>
  <si>
    <t>Héctor Beneito</t>
  </si>
  <si>
    <t>Presidente de la Liga de Canals</t>
  </si>
  <si>
    <t>Sandro Aguilera</t>
  </si>
  <si>
    <t>Presidente de la Liga de Laboulaye</t>
  </si>
  <si>
    <t>Andrés Wañasky</t>
  </si>
  <si>
    <t>Presidente Círculo de Periodistas Deportivos de Córdoba</t>
  </si>
  <si>
    <t>Enrique Lobos</t>
  </si>
  <si>
    <t>Vicepresidente Círculo de Periodistas Deportivos de Córdoba</t>
  </si>
  <si>
    <t>Hugo Montivero</t>
  </si>
  <si>
    <t>Tesorero Círculo de Periodistas Deportivos de Córdoba</t>
  </si>
  <si>
    <t>Octavio Perez Gaudio</t>
  </si>
  <si>
    <t>Youtuber</t>
  </si>
  <si>
    <t>Paola Zuban</t>
  </si>
  <si>
    <t>Politóloga y Maestranda en Comunicación Política - “Comunicación y Género - La Violencia Política”.</t>
  </si>
  <si>
    <t>Miriam Londero</t>
  </si>
  <si>
    <t>Presidente de la Sala de Género del Colegio de Abogados de Córdoba</t>
  </si>
  <si>
    <t>Nicolas de Mori</t>
  </si>
  <si>
    <t>Subsecretario de Planeamiento, Evaluación y Modernización</t>
  </si>
  <si>
    <t>Delia Provinciali</t>
  </si>
  <si>
    <t>Secretaria de Educación</t>
  </si>
  <si>
    <t>Luciano Garavaglia</t>
  </si>
  <si>
    <t>María Alejandra Amuchástegui</t>
  </si>
  <si>
    <t>Miembro de la Comisión de "Unidos por nuestras Acequias"</t>
  </si>
  <si>
    <t>Marcelo Geremia</t>
  </si>
  <si>
    <t>Carlos González Quintana</t>
  </si>
  <si>
    <t>Edgar Castelló</t>
  </si>
  <si>
    <t>Secretario de Recursos Hidricos</t>
  </si>
  <si>
    <t>Gabriel Testagrossa</t>
  </si>
  <si>
    <t>Subsecretario de Coordinación y Administración</t>
  </si>
  <si>
    <t>Pablo Daniel Sanchez Latorre</t>
  </si>
  <si>
    <t>Ejercicio liberal de la abogacía</t>
  </si>
  <si>
    <t>Bioquim. Nora Vilches</t>
  </si>
  <si>
    <t>Presidenta Federación de Entidades Profesionales y Universitarias de Córdoba</t>
  </si>
  <si>
    <t>Carlos Arrigoni, asesor Legal</t>
  </si>
  <si>
    <t>Asesor Legal</t>
  </si>
  <si>
    <t>Federico Martin,</t>
  </si>
  <si>
    <t>Presidente Colegio de Ingenieros</t>
  </si>
  <si>
    <t>Fabiana Virginio</t>
  </si>
  <si>
    <t>Presidenta Asociación de Terapistas Ocupacionales</t>
  </si>
  <si>
    <t>Liliana Lucero</t>
  </si>
  <si>
    <t>Presidenta Asociación de Enfermería</t>
  </si>
  <si>
    <t>Presidenta Colegio Ciencias Informáticas</t>
  </si>
  <si>
    <t>Presidente Colegio de Odontólogos</t>
  </si>
  <si>
    <t>Daniel Cavallin</t>
  </si>
  <si>
    <t>Presidente Colegio de Ingenieros Agrónomos</t>
  </si>
  <si>
    <t>Pablo Ruiz</t>
  </si>
  <si>
    <t>Vicepresidente Federación de Entidades Profesionales y Universitarias de Córdoba</t>
  </si>
  <si>
    <t>Secretaria Mesa Ejecutiva de Federación de Entidades Profesionales y Universitarias de Córdoba</t>
  </si>
  <si>
    <t>Franco Hernán Mogetta</t>
  </si>
  <si>
    <t>Secretario de Trasporte</t>
  </si>
  <si>
    <t>Ministerio de Coordinación</t>
  </si>
  <si>
    <t>Eva Rosso</t>
  </si>
  <si>
    <t>Intendenta</t>
  </si>
  <si>
    <t>Municipalidad de Coronel Moldes</t>
  </si>
  <si>
    <t>Doris Agehmo</t>
  </si>
  <si>
    <t>Municipalidad de Elena</t>
  </si>
  <si>
    <t>Veronica Gazzoni</t>
  </si>
  <si>
    <t>Municipalidad de Monte Cristo</t>
  </si>
  <si>
    <t>Silbia Mansilla</t>
  </si>
  <si>
    <t>Municipalidad de Obispo Trejo</t>
  </si>
  <si>
    <t>Antonella Lamberti</t>
  </si>
  <si>
    <t>Municipalidad de Buchardo</t>
  </si>
  <si>
    <t>Ana Zanotto</t>
  </si>
  <si>
    <t>Municipalidad de Del Campillo</t>
  </si>
  <si>
    <t>María de los Angeles Giordano</t>
  </si>
  <si>
    <t>Municipalidad de Melo</t>
  </si>
  <si>
    <t>Carolina Basualdo</t>
  </si>
  <si>
    <t>Municipalidad de Despeñaderos</t>
  </si>
  <si>
    <t>Evangelina Vigna</t>
  </si>
  <si>
    <t>Municipalidad de Colonia Vignaud</t>
  </si>
  <si>
    <t>Fernanda Grimaldi</t>
  </si>
  <si>
    <t>Municipalidad de La Francia</t>
  </si>
  <si>
    <t>Celia Giorgis</t>
  </si>
  <si>
    <t>Municipalidad de Seeber</t>
  </si>
  <si>
    <t>Claudia Bordoni</t>
  </si>
  <si>
    <t>Municipalidad de La Tordilla</t>
  </si>
  <si>
    <t>Elisa Carrizo</t>
  </si>
  <si>
    <t>Municipalidad de Transito</t>
  </si>
  <si>
    <t>Jorgelina Soardo</t>
  </si>
  <si>
    <t>Presidenta Comunal</t>
  </si>
  <si>
    <t>Comuna de Malena</t>
  </si>
  <si>
    <t>Flavia Bonelli</t>
  </si>
  <si>
    <t>Comuna de Suco</t>
  </si>
  <si>
    <t>Daniela Andino</t>
  </si>
  <si>
    <t>Comuna de Km 658</t>
  </si>
  <si>
    <t>Irma Villareal</t>
  </si>
  <si>
    <t>Comuna La Posta</t>
  </si>
  <si>
    <t>Marisa Graham</t>
  </si>
  <si>
    <t>Ministerio Público de la Defensa</t>
  </si>
  <si>
    <t>Facundo Hernández</t>
  </si>
  <si>
    <t>Defensor adjunto</t>
  </si>
  <si>
    <t>Daniel Molina</t>
  </si>
  <si>
    <t>Coordinador Federal</t>
  </si>
  <si>
    <t>Sebastian Medina</t>
  </si>
  <si>
    <t>Jefe de Gabinete de la Defensoría Nacional</t>
  </si>
  <si>
    <t>Analia Colombo</t>
  </si>
  <si>
    <t>Defensoría del Pueblo de Santa Fe</t>
  </si>
  <si>
    <t>Juan Pablo Meaca</t>
  </si>
  <si>
    <t>Defensor de Niños, Niñas y Adolescentes</t>
  </si>
  <si>
    <t>Cámara de Diputados de La Pampa</t>
  </si>
  <si>
    <t>Luis Santucho</t>
  </si>
  <si>
    <t>Defensoría del Pueblo de Santiago del Estero</t>
  </si>
  <si>
    <t>Javier Siderides</t>
  </si>
  <si>
    <t>Presidente Comunidad Helenica De Córdoba</t>
  </si>
  <si>
    <t>Leandro Scandaliaris</t>
  </si>
  <si>
    <t>Vicepresidente Comunidad Helenica</t>
  </si>
  <si>
    <t>Dafne Afazani</t>
  </si>
  <si>
    <t>Vocal Comunidad Helenica</t>
  </si>
  <si>
    <t>Nicolás Kontos</t>
  </si>
  <si>
    <t>Socio Comunidad Helenica</t>
  </si>
  <si>
    <t>Elena Kuchimpós</t>
  </si>
  <si>
    <t>Socia Comunidad Helenica</t>
  </si>
  <si>
    <t>Gabriel Díaz</t>
  </si>
  <si>
    <t>Presbítero Rector de la Parroquia San Juan el Precursor del Patriarcado Ecuménico, Iglesia Ortodoxa Griega</t>
  </si>
  <si>
    <t>Martin Gutierrez</t>
  </si>
  <si>
    <t>Presidente de la Direccion Provincial de Vialidad</t>
  </si>
  <si>
    <t>Ministrerio de Finanzas</t>
  </si>
  <si>
    <t>Jaime Díaz Gavier</t>
  </si>
  <si>
    <t>Juez Federal de la Cámara Federal de Apelaciones de Córdoba</t>
  </si>
  <si>
    <t>Judicial Nacional</t>
  </si>
  <si>
    <t>Graciela López de Filoñuk</t>
  </si>
  <si>
    <t>Fiscal de la Fiscalía Federal N°3 de Córdoba</t>
  </si>
  <si>
    <t>Cristina María Eleonora</t>
  </si>
  <si>
    <t>Directora del Archivo Provincial de la Memoria</t>
  </si>
  <si>
    <t>Archivo Provincial de la Memoria</t>
  </si>
  <si>
    <t>Integrantes de la Comisión Provincial de la Memoria y representantes de las distintas organizaciones que la componen</t>
  </si>
  <si>
    <t>Esteban Ruffin</t>
  </si>
  <si>
    <t>Director General de Hospitales de Córdoba</t>
  </si>
  <si>
    <t>Marcela Yanover</t>
  </si>
  <si>
    <t>Directora de Jurisdicción de Maternidad e Infancia que incluye al Programa Maternidad y Paternidad Responsable</t>
  </si>
  <si>
    <t>Mariana Ines Figueroa</t>
  </si>
  <si>
    <t>Directora de Asuntos Legales</t>
  </si>
  <si>
    <t>Manuel Ron</t>
  </si>
  <si>
    <t>Director Bio4</t>
  </si>
  <si>
    <t>Patricia Richieri</t>
  </si>
  <si>
    <t>Director financiero externo Bio4</t>
  </si>
  <si>
    <t>Cámara de Bioetanol de Maiz</t>
  </si>
  <si>
    <t>Rebeca Bortoletto</t>
  </si>
  <si>
    <t>Periodista</t>
  </si>
  <si>
    <t>Yanina Soria</t>
  </si>
  <si>
    <t>Miembro de la redacción Diario Alfil, Conductora canal 10</t>
  </si>
  <si>
    <t>Maria Eugenia Pascuali,</t>
  </si>
  <si>
    <t>Periodista Cadena 3</t>
  </si>
  <si>
    <t>Karina Ortiz</t>
  </si>
  <si>
    <t>Periodista, Cronista Telefe Córdoba</t>
  </si>
  <si>
    <t>Ricardo Alfonsin</t>
  </si>
  <si>
    <t>Embajador de Argentina en España</t>
  </si>
  <si>
    <t>Ministerio de Relaciones Exteriores</t>
  </si>
  <si>
    <t>Jose Vicente Porta</t>
  </si>
  <si>
    <t>Representante de la Cámara de Industrializadores de Granos y Productores de Biocombustibles de Origen</t>
  </si>
  <si>
    <t>Miguel Angel Rizzotti</t>
  </si>
  <si>
    <t>Director General de Prevencion de Accidentes de Tránsito</t>
  </si>
  <si>
    <t>Juan Carlos Vega</t>
  </si>
  <si>
    <t>Abogado de las partes lesionadas en al caso “Valle Ambrosio y otro Vs Argentina”, Fundador y Presidente de la ONG Servicio Argentino de Derechos Humanos.</t>
  </si>
  <si>
    <t>Horacio Marcelo Frossasco</t>
  </si>
  <si>
    <t>Presidente del Concejo de Seguridad ( CO.SE.DE.PRO)</t>
  </si>
  <si>
    <t>Director del Hospital de Niños</t>
  </si>
  <si>
    <t>Veronica Petri</t>
  </si>
  <si>
    <t>Subdirectora Hospital de Niños</t>
  </si>
  <si>
    <t>Celina Castro</t>
  </si>
  <si>
    <t>Jefa de Sección de Oncología Pediátrica Hospital de Niños</t>
  </si>
  <si>
    <t>Carlos Hollman</t>
  </si>
  <si>
    <t>Jefe de Sección de Hematología Hospital de niños</t>
  </si>
  <si>
    <t>Laura Echenique</t>
  </si>
  <si>
    <t>Secretaria de Justicia</t>
  </si>
  <si>
    <t>Maria Marta Caceres de Bolatti</t>
  </si>
  <si>
    <t>Vocal Tribunal Superior de Justicia</t>
  </si>
  <si>
    <t>Tribunal Superior de Justicia</t>
  </si>
  <si>
    <t>Pablo Wierzbicki</t>
  </si>
  <si>
    <t>Presidente de la Administración Provincial de Recursos Hídricos</t>
  </si>
  <si>
    <t>Nicolas Guillén</t>
  </si>
  <si>
    <t>Representante de la Secretaría de Recursos Hídricos</t>
  </si>
  <si>
    <t>Juan Vallejos</t>
  </si>
  <si>
    <t>Director General de Operaciones</t>
  </si>
  <si>
    <t>Alicia Panero</t>
  </si>
  <si>
    <t>Historiadora, periodista, autora del libro "Mujeres Invisibles"</t>
  </si>
  <si>
    <t>Asesor Legal y Estratégico</t>
  </si>
  <si>
    <t>Ruben Borello</t>
  </si>
  <si>
    <t>Director General de Infraestructura</t>
  </si>
  <si>
    <t>Enrique Barello</t>
  </si>
  <si>
    <t>Gerente de Seguridad de Ecogas</t>
  </si>
  <si>
    <t>Jorge Vaz Torres.</t>
  </si>
  <si>
    <t>Gerente de Agua y Saneamiento del Ente Regulador de servicios publicos (ERSeP)</t>
  </si>
  <si>
    <t>Emanuel Gonzalez</t>
  </si>
  <si>
    <t>Representante del Área Calidad del ERSeP</t>
  </si>
  <si>
    <t>Diego Ansaldi</t>
  </si>
  <si>
    <t>Julio El Sukaria</t>
  </si>
  <si>
    <t>Sandra Rodríguez</t>
  </si>
  <si>
    <t>Susana Hernández Caffot</t>
  </si>
  <si>
    <t>Directora de Jurisdicción de Farmacia</t>
  </si>
  <si>
    <t>Cesar Brigueras</t>
  </si>
  <si>
    <t>Municipalidad de San Marcos Sieras</t>
  </si>
  <si>
    <t>Martin Garcia</t>
  </si>
  <si>
    <t>Valeria Salech</t>
  </si>
  <si>
    <t>Presidenta de Mamá Cultiva Argentina</t>
  </si>
  <si>
    <t>Sebastián Palermo</t>
  </si>
  <si>
    <t>Medico Cirujano con formación en psiquiatría y especializado en terapia cognitiva</t>
  </si>
  <si>
    <t>Daniel Landren</t>
  </si>
  <si>
    <t>Cofundador y vocero de la comunidad Cannabica Córdoba</t>
  </si>
  <si>
    <t>Maria Cecilia Diaz</t>
  </si>
  <si>
    <t>Doctora y Magíster en Antropología Social y Licenciada en Historia (CONICET)</t>
  </si>
  <si>
    <t>ECONOMÍA, PRESUPUESTO, GESTIÓN PÚBLICA E INNOVACIÓN;PROMOCIÓN Y DESARROLLO DE LAS ECONOMÍAS REGIONALES Y PYMES</t>
  </si>
  <si>
    <t>Nicolas Abrile</t>
  </si>
  <si>
    <t>Representante de la Asociacion de Futbol Amateur de Cordoba (As.FAC) - Torneos de Futbol.</t>
  </si>
  <si>
    <t>Luis Navarro</t>
  </si>
  <si>
    <t>Representante de la Cámara de Bares Nocturnos</t>
  </si>
  <si>
    <t>Maria Jose Oliva</t>
  </si>
  <si>
    <t>Representante de la Cámara Salones de Fiestas de Cordoba (CASAFIC).</t>
  </si>
  <si>
    <t>Luciana Franchini</t>
  </si>
  <si>
    <t>Representante de la Cámara Salones de Fiestas Infantiles de Cordoba (SAFIACO)</t>
  </si>
  <si>
    <t>Penelope Salgado</t>
  </si>
  <si>
    <t>Representante de Estudios de Danza</t>
  </si>
  <si>
    <t>Mario Dadone</t>
  </si>
  <si>
    <t>Representante de la Asociacion Empresaria Hotelera Gastronomica (AEHGRA)</t>
  </si>
  <si>
    <t>Guillermo Natali</t>
  </si>
  <si>
    <t>Guillermo Bini</t>
  </si>
  <si>
    <t>Representante de la Cámara Argentina de Proveedores de Técnica para Eventos y Espectáculos - (CAPTE)</t>
  </si>
  <si>
    <t>Alex Frutos</t>
  </si>
  <si>
    <t>Representante de la Camara de Estudios de Danza y Bailarines de la Provincia de Cordoba.</t>
  </si>
  <si>
    <t>Gustavo Gaveglio</t>
  </si>
  <si>
    <t>Jose Palazzo</t>
  </si>
  <si>
    <t>Representante de la Camara de la Industria del Entretenimiento (CIEYA).</t>
  </si>
  <si>
    <t>Jose Sosa</t>
  </si>
  <si>
    <t>Representante de la Cámara Cordobesa de Natatorios</t>
  </si>
  <si>
    <t>Marcos Aguade</t>
  </si>
  <si>
    <t>Representante de la Cámara Cordobes de Gimnasios.</t>
  </si>
  <si>
    <t>Noelia Minatto</t>
  </si>
  <si>
    <t>Jose Luis Collado</t>
  </si>
  <si>
    <t>Representante de la Camara de Discotecas de la Provincia de Cordoba. (CEDYAC)</t>
  </si>
  <si>
    <t>Marcos Gennaro</t>
  </si>
  <si>
    <t>Norberto Vidal</t>
  </si>
  <si>
    <t>Representante de Asociacion 18 de Octubre - Transportistas Autoconvocados</t>
  </si>
  <si>
    <t>Carolina Lucia Vidal</t>
  </si>
  <si>
    <t>Edgar Lucrecio</t>
  </si>
  <si>
    <t>Representante de la Cámara de Predios de Futbol.</t>
  </si>
  <si>
    <t>Eduardo Arnold</t>
  </si>
  <si>
    <t>Representante de Asociacion de Dependientes de Eventos Privasos y Afines (ADESPA)</t>
  </si>
  <si>
    <t>Maria Polanco</t>
  </si>
  <si>
    <t>Representante de Union de Musicalizadores</t>
  </si>
  <si>
    <t>Nora Bedano</t>
  </si>
  <si>
    <t>Presidenta de la Agencia Córdoba Cultura</t>
  </si>
  <si>
    <t>Agencia Córdoba Cultura</t>
  </si>
  <si>
    <t>Docente e investigador Facultad de Derecho Universidad Nacional de Córdoba</t>
  </si>
  <si>
    <t>Maria Laura Foradori</t>
  </si>
  <si>
    <t>Docente e investigadora</t>
  </si>
  <si>
    <t>Directora de Desarrollo Sostenible y Cambio Climático</t>
  </si>
  <si>
    <t>Marcela Rodriguez</t>
  </si>
  <si>
    <t>Representante de la Fundación Tierra y Vida</t>
  </si>
  <si>
    <t>Leonel Herrador</t>
  </si>
  <si>
    <t>Elisa Cortese</t>
  </si>
  <si>
    <t>Representante de la Red de Mujeres en Diálogo Ambiental</t>
  </si>
  <si>
    <t>Julia Giupponi</t>
  </si>
  <si>
    <t>Federico Racca</t>
  </si>
  <si>
    <t>Asesor médico en ANMAT, profesor de la UNC</t>
  </si>
  <si>
    <t>Raúl Gomez</t>
  </si>
  <si>
    <t>Vicedecano de la Facultad de Psicología, UNC.</t>
  </si>
  <si>
    <t>Gabriela M. Richard</t>
  </si>
  <si>
    <t>Directora de Fundación ProSalud</t>
  </si>
  <si>
    <t>Cesar Tapia</t>
  </si>
  <si>
    <t>Coordinador del Centro de Recuperación de Adictos Asociación Civil Nuestra Sra. del Luján</t>
  </si>
  <si>
    <t>Nicolás Costa Magna</t>
  </si>
  <si>
    <t>Representante Asociación Edith Moreno Cogollos Córdoba</t>
  </si>
  <si>
    <t>Sergio Moyano</t>
  </si>
  <si>
    <t>Representante de la Organización Cannábica Manuel Belgrano</t>
  </si>
  <si>
    <t>Leopoldo Daniel Grigioni</t>
  </si>
  <si>
    <t>Comisario Mayor (R), asesor de seguridad del Club Atletico Belgrano de Córdoba</t>
  </si>
  <si>
    <t>ECONOMÍA, PRESUPUESTO, GESTIÓN PÚBLICA E INNOVACIÓN;INDUSTRIA Y MINERÍA;PROMOCIÓN Y DESARROLLO DE LAS ECONOMÍAS REGIONALES Y PYMES</t>
  </si>
  <si>
    <t>Maria Consuelo Escribano Martinez</t>
  </si>
  <si>
    <t>Directora de Economía del Conocimiento</t>
  </si>
  <si>
    <t>Ministerio de Ciencia y Tecnología</t>
  </si>
  <si>
    <t>Directora de Desarrollo Sostenible y Cambio Climatico</t>
  </si>
  <si>
    <t>Maria Belén Aliciardi</t>
  </si>
  <si>
    <t>Directora de la Maestría en Política, Derecho y Gestión Ambiental</t>
  </si>
  <si>
    <t>Universidad Austral</t>
  </si>
  <si>
    <t>Rosana Rossi</t>
  </si>
  <si>
    <t>Coordinadora de la Licenciatura en Ambiente y Energías Renovables de la Universidad Nacional de Villa María</t>
  </si>
  <si>
    <t>Universidad Nacional de Villa María</t>
  </si>
  <si>
    <t>Nadia Lavroff</t>
  </si>
  <si>
    <t>Coordinadora General en Eco House Córdoba</t>
  </si>
  <si>
    <t>Representante de la Agenda Ambiental Córdoba</t>
  </si>
  <si>
    <t>Directora de Tercero en acción</t>
  </si>
  <si>
    <t>Marina Alabi</t>
  </si>
  <si>
    <t>Responsable de ProÉtica - ICDA</t>
  </si>
  <si>
    <t>Belén Yacuto</t>
  </si>
  <si>
    <t>Representante de la Fundación Ronda</t>
  </si>
  <si>
    <t>Patricia de la Colina</t>
  </si>
  <si>
    <t>Propietaria de agencia de viaje</t>
  </si>
  <si>
    <t>Silvia Ramallo</t>
  </si>
  <si>
    <t>Docente e investigadora en la Universidad Siglo 21 y Universidad Provincial de Cordoba</t>
  </si>
  <si>
    <t>Paula Masuh</t>
  </si>
  <si>
    <t>Representante del Sector Gastronomico</t>
  </si>
  <si>
    <t>Gabriela Turcatti</t>
  </si>
  <si>
    <t>Gerente Filial Cordoba - Asociación de Hoteles de Turismo de la República Argentina</t>
  </si>
  <si>
    <t>Paola Menossi</t>
  </si>
  <si>
    <t>Representante del Sector de Turismo de Reuniones</t>
  </si>
  <si>
    <t>Romina Leguizamón</t>
  </si>
  <si>
    <t>Representante del Sector de Turismo Rural y Sector Público</t>
  </si>
  <si>
    <t>Josefina Martorell</t>
  </si>
  <si>
    <t>Directora General de Médicos Sin Fronteras para America del Sur</t>
  </si>
  <si>
    <t>Presidente Colegio de Abogados de Córdoba</t>
  </si>
  <si>
    <t>Eugenia Asis</t>
  </si>
  <si>
    <t>Vicepresidente del Colegio de Abogados de Córdoba</t>
  </si>
  <si>
    <t>Presidente Comisión de Género del Colegio de Abogados de Córdoba</t>
  </si>
  <si>
    <t>Secretaria de Coordinación Legislativa del Colegio de Abogados de Córdoba</t>
  </si>
  <si>
    <t>David Urreta</t>
  </si>
  <si>
    <t>Subsecretario de Integración Regional y Relaciones Internacionales de la Provincia de Córdoba</t>
  </si>
  <si>
    <t>Secretaría de Integración Regional y Relaciones Internacionales de la Provincia de Córdoba</t>
  </si>
  <si>
    <t>Dario Gigena Parker</t>
  </si>
  <si>
    <t>Georgina Tavella</t>
  </si>
  <si>
    <t>Secretaria de Niñez, Adolescencia y Familia de la Provincia de Córdoba</t>
  </si>
  <si>
    <t>Victoria Martinez</t>
  </si>
  <si>
    <t>Subsecretaria de Protección de Derechos de Niños, Niñas y Adolescentes</t>
  </si>
  <si>
    <t>Antonio Franco</t>
  </si>
  <si>
    <t>Fernando Luque Mariño</t>
  </si>
  <si>
    <t>Director de la Sala de Derecho Procesal del Trabajo en el Colegio de Abogados de Córdoba</t>
  </si>
  <si>
    <t>Sebastian Perlati</t>
  </si>
  <si>
    <t>Director de la Asesoría Fiscal</t>
  </si>
  <si>
    <t>Luis Giovine</t>
  </si>
  <si>
    <t>Presidente de EPEC</t>
  </si>
  <si>
    <t>Eduardo Gauna</t>
  </si>
  <si>
    <t>Vicepresidente de EPEC</t>
  </si>
  <si>
    <t>Juan Grosso</t>
  </si>
  <si>
    <t>Vocal de Directorio EPEC</t>
  </si>
  <si>
    <t>Claudio Puertolas</t>
  </si>
  <si>
    <t>Gerente Gereral EPEC</t>
  </si>
  <si>
    <t>Pia Maria Guidetti</t>
  </si>
  <si>
    <t>Secretaria Salud Mental</t>
  </si>
  <si>
    <t>Alejandra Rossi</t>
  </si>
  <si>
    <t>Directora de la Casa del Joven y Coordinadora del Programa Provincial de Prevención y Asistencia a la Conducta Suicida</t>
  </si>
  <si>
    <t>Misael Moreno</t>
  </si>
  <si>
    <t>Representante del Equipo Coordinador del Programa Provincial de Prevención y Asistencia a la Conducta Suicida</t>
  </si>
  <si>
    <t>Marta Gaitan</t>
  </si>
  <si>
    <t>Presidenta de la Comisión de Género de COOPERAR Argentina</t>
  </si>
  <si>
    <t>Gisella Wild</t>
  </si>
  <si>
    <t>Vicepresidenta del Comité de Equidad de Género de COOPRAR por FAESS SALUD</t>
  </si>
  <si>
    <t>Alicia María Clerico</t>
  </si>
  <si>
    <t>Representante del Comité de Equidad de Género de COOPRAR por FAESS SALUD</t>
  </si>
  <si>
    <t>Sofía Irene Bauza</t>
  </si>
  <si>
    <t>Representante del Comité de Equidad de Género de COOPRAR por FECOFE</t>
  </si>
  <si>
    <t>Nora Landart</t>
  </si>
  <si>
    <t>Representante del Comité de Equidad de Género de COOPRAR y Coordinadora Territorial de las Comisiones de Equidad de Género de CAM</t>
  </si>
  <si>
    <t>Carla Moreno</t>
  </si>
  <si>
    <t>Representante del Comité de Equidad de Género de COOPRAR por la Subsecretaría de Cooperativas y Mutuales de la Provincia de Córdoba</t>
  </si>
  <si>
    <t>María De Los Ángeles Mendía</t>
  </si>
  <si>
    <t>Consejera Titular Cooperar por IMFC representando al Comité de Equidad de Género de COOPRAR</t>
  </si>
  <si>
    <t>Ariel Enrique Guarco</t>
  </si>
  <si>
    <t>Presidente de la Alianza Cooperativa Internacional – Presidente de COOPERAR Argentina</t>
  </si>
  <si>
    <t>Nora Vilchez</t>
  </si>
  <si>
    <t>Presidenta FEPUC</t>
  </si>
  <si>
    <t>Liliana Barbero</t>
  </si>
  <si>
    <t>Coordinadora del Observatorio de Profesionales de FEPUC</t>
  </si>
  <si>
    <t>Andrea Martinez Funes</t>
  </si>
  <si>
    <t>Directora Nacional de Gestión de Cursos de Gestión Deportiva del Comité Olímpico Internacional, Abogada especialista en Derecho Deportivo</t>
  </si>
  <si>
    <t>Subsecretaría de Planeamiento, Evaluación y Modernización</t>
  </si>
  <si>
    <t>Veronica Soiza</t>
  </si>
  <si>
    <t>Representante de la Dirección General de Asuntos Legales</t>
  </si>
  <si>
    <t>Carlos Giovannoni</t>
  </si>
  <si>
    <t>Representante de la Dirección General de Infraestructura Escolar</t>
  </si>
  <si>
    <t>Andrea Capaneto</t>
  </si>
  <si>
    <t>Jefa del Departamento del Sistema Provincial de Sangre del Ministerio de Salud.</t>
  </si>
  <si>
    <t>Ministerio Salud</t>
  </si>
  <si>
    <t>Daniela Feigelman</t>
  </si>
  <si>
    <t>Coordinador del Nodo Traslasierras de Moneda PAR</t>
  </si>
  <si>
    <t>Hernan Cortiñas</t>
  </si>
  <si>
    <t>Ariel Serman</t>
  </si>
  <si>
    <t>Facundo Grazzi</t>
  </si>
  <si>
    <t>Sergio Castro</t>
  </si>
  <si>
    <t>Director Nacional de Planificación y Desarrollo</t>
  </si>
  <si>
    <t>Ministerio de Turismo y Deportes</t>
  </si>
  <si>
    <t>Mónica Prato</t>
  </si>
  <si>
    <t>Directora General Córdoba con ellas</t>
  </si>
  <si>
    <t>Ariel Guarco</t>
  </si>
  <si>
    <t>Presidente de COOPERAR Argentina y de la Alianza Internacional de Cooperativas</t>
  </si>
  <si>
    <t>Directora Fundación ProSalud y del Posgrado Prevención y Tratamiento de Adicciones, UNC</t>
  </si>
  <si>
    <t>Sonia Uema</t>
  </si>
  <si>
    <t>Directora del Centro de Información de Medicamentos, Facultad de Ciencias Químicas</t>
  </si>
  <si>
    <t>Susana Nuñez Montoya</t>
  </si>
  <si>
    <t>Docente Facultad Ciencias Químicas, UNC e Investigadora Independiente de IMBIV – CONICET</t>
  </si>
  <si>
    <t>José Losano</t>
  </si>
  <si>
    <t>Especialista en Neurología, integrante del Centro de Estudios de Recursos en Salud del Concejo Médico de Córdoba</t>
  </si>
  <si>
    <t>Conrado Lagos</t>
  </si>
  <si>
    <t>Director Ejecutivo de OAJNU Córdoba</t>
  </si>
  <si>
    <t>Bahia Gatti</t>
  </si>
  <si>
    <t>Secretaria de impacto de OAJNU Córdoba</t>
  </si>
  <si>
    <t>Candela Derrico</t>
  </si>
  <si>
    <t>Coordinadora ONU Mujeres</t>
  </si>
  <si>
    <t>Lucia Justiniano</t>
  </si>
  <si>
    <t>Directora de Maternidad e Infancia</t>
  </si>
  <si>
    <t>Director General de Prevención de accidentes de Tránsito</t>
  </si>
  <si>
    <t>Secretario de Gestión de Riesgo Climático, Catastrofes y Protección Civil</t>
  </si>
  <si>
    <t>Raul Martinez</t>
  </si>
  <si>
    <t>Comuna de La Población</t>
  </si>
  <si>
    <t>Carlos Bornancini</t>
  </si>
  <si>
    <t>Docente Universidad Nacional de Córdoba</t>
  </si>
  <si>
    <t>Jhonatan Mira</t>
  </si>
  <si>
    <t>Guía de Astroturismo</t>
  </si>
  <si>
    <t>Gabriel Lerner</t>
  </si>
  <si>
    <t>Secretario De Niñez, Adolescencia y Familia</t>
  </si>
  <si>
    <t>Fabian Murano</t>
  </si>
  <si>
    <t>Presidente del Colegio Profesional de Producción de Bioimagenes de Córdoba</t>
  </si>
  <si>
    <t>Hernán Casañas</t>
  </si>
  <si>
    <t>Director de Aves Argentinas</t>
  </si>
  <si>
    <t>Ana Liz Flores</t>
  </si>
  <si>
    <t>Directora de Programa Argentina Fundación Wyss</t>
  </si>
  <si>
    <t>Sofia Fernandez Valdes</t>
  </si>
  <si>
    <t>Coordinadora Programa Tierras Córdoba</t>
  </si>
  <si>
    <t>Mónica Parada</t>
  </si>
  <si>
    <t>Dirección General de Catastro</t>
  </si>
  <si>
    <t>César Suaya</t>
  </si>
  <si>
    <t>Director de Planificación y Gestión Estratégica de los Recursos Hídricos en la Administración Provincial de Recursos Hídricos (APRHI)</t>
  </si>
  <si>
    <t>Leandro Ponzio</t>
  </si>
  <si>
    <t>Jorge Neme</t>
  </si>
  <si>
    <t>Secretario de Relaciones Económicas Internacionales</t>
  </si>
  <si>
    <t>Ministerio de Relaciones Exteriores, Comercio Internacional y Culto</t>
  </si>
  <si>
    <t>Representante de Adopción Sierras Chicas “En nuestras manos”</t>
  </si>
  <si>
    <t>Christian Diani</t>
  </si>
  <si>
    <t>Stella Marys Alfonso</t>
  </si>
  <si>
    <t>Representante de Adopción Corrientes “Amor y esperanza”, Curuzú Cuatiá</t>
  </si>
  <si>
    <t>Cintia Jellich</t>
  </si>
  <si>
    <t>Representante de Adoptar Necochea</t>
  </si>
  <si>
    <t>Claudia Calvete</t>
  </si>
  <si>
    <t>Representante de Grupo de padres adoptivos y en espera de Rosario</t>
  </si>
  <si>
    <t>Representante de Grupo de adopción Río Tercero “Un Gesto de Amor”</t>
  </si>
  <si>
    <t>Ruben Cáceres</t>
  </si>
  <si>
    <t>Presidente Asociación Cordobesa de la Danza Folklorica (A.Cor.Da.F)</t>
  </si>
  <si>
    <t>Carlos Sanabria</t>
  </si>
  <si>
    <t>Miembro de A.Cor.Da.F Departamento Unión</t>
  </si>
  <si>
    <t>Laura Cornejo</t>
  </si>
  <si>
    <t>Docente Universidad Provincial de Córdoba</t>
  </si>
  <si>
    <t>Ramón Cortez</t>
  </si>
  <si>
    <t>Escritor</t>
  </si>
  <si>
    <t>Gloria Longoni</t>
  </si>
  <si>
    <t>Secretaria Académica de la Escuela de Enfermería UNC</t>
  </si>
  <si>
    <t>Andrea Rocha</t>
  </si>
  <si>
    <t>Representante Asociación de Profesionales de Enfermería del sur de Cordoba</t>
  </si>
  <si>
    <t>Mauricio Pajón</t>
  </si>
  <si>
    <t>Municipalidad de Ausonia</t>
  </si>
  <si>
    <t>Manuel Merchán</t>
  </si>
  <si>
    <t>Director del Observatorio Astronómico de Córdoba</t>
  </si>
  <si>
    <t>Eugenia Diaz Gimenez</t>
  </si>
  <si>
    <t>Secretaria General del Observatorio Astronómico de Córdoba</t>
  </si>
  <si>
    <t>Gustavo Monti</t>
  </si>
  <si>
    <t>Vicedecano de la Facultad de Matemática, Astronomía, Física y Computación (FAMAF)</t>
  </si>
  <si>
    <t>Santiago Paolantolino</t>
  </si>
  <si>
    <t>Investigador</t>
  </si>
  <si>
    <t>Ricardo Villareal</t>
  </si>
  <si>
    <t>Prestador de Turismo Atronómico</t>
  </si>
  <si>
    <t>Leandro Perez</t>
  </si>
  <si>
    <t>Espacialista en fotografía astronómica</t>
  </si>
  <si>
    <t>Jorge Hernandez</t>
  </si>
  <si>
    <t>Licenciado en Economía de la Universidad Nacional de Río Cuarto, Magíster en Economía Aplicada por la Universidad Autónoma de Barcelona con orientación en Economía Urbana y Regional, investigador y docente de grado y posgrado</t>
  </si>
  <si>
    <t>Liliana Luna</t>
  </si>
  <si>
    <t>Presidenta de Formando Líderes en Enfermería, Coordinadora internacional de la red de enfermería en emergencias y desastres de las Américas,</t>
  </si>
  <si>
    <t>Fernanda montenegro</t>
  </si>
  <si>
    <t>Integrante Titular del Tribunal de Ética de la Asociación de Enfermería de Córdoba</t>
  </si>
  <si>
    <t>Hugo Duran</t>
  </si>
  <si>
    <t>Secretario General Adjunto de la Asociación Trabajadores del Estado (ATE)</t>
  </si>
  <si>
    <t>Liliana Bustos</t>
  </si>
  <si>
    <t>Prosecretaria de Hospitales Sindicato de Empleados Públicos (SEP)</t>
  </si>
  <si>
    <t>Ricardo Héctor López</t>
  </si>
  <si>
    <t>Secretario General de la Asociación de Trabajadores de la Sanidad Argentina (ATSA)</t>
  </si>
  <si>
    <t>AGRICULTURA, GANADERÍA Y RECURSOS RENOVABLES;PROMOCIÓN Y DESARROLLO DE LAS ECONOMÍAS REGIONALES Y PYMES</t>
  </si>
  <si>
    <t>Mariana Victoria Vigo</t>
  </si>
  <si>
    <t>Subsecretaria de Agricultura Familiar</t>
  </si>
  <si>
    <t>Andres Corral</t>
  </si>
  <si>
    <t>Director de la Subgerencia Centro de la Región Semiárida Instituto Nacional del Agua-CIRSA</t>
  </si>
  <si>
    <t>Andres Rodriguez</t>
  </si>
  <si>
    <t>Coordinador del Observatorio Hidrometeorológico de Córdoba</t>
  </si>
  <si>
    <t>INDUSTRIA Y MINERÍA;PROMOCIÓN Y DESARROLLO DE LAS COMUNIDADES REGIONALES;PROMOCIÓN Y DESARROLLO DE LAS ECONOMÍAS REGIONALES Y PYMES</t>
  </si>
  <si>
    <t>Mariet Espinal</t>
  </si>
  <si>
    <t>Docente en Relaciones Internacionales, Ceremonial de Estado, Etiqueta y Protocolo</t>
  </si>
  <si>
    <t>Claudia Serrot</t>
  </si>
  <si>
    <t>Docente especialista en desarrollo marcario y tutora de Trabajos Finales de la carrera de Diseño Gráfico en La Metro, Escuela de Diseño y Comunicación Audiovisual</t>
  </si>
  <si>
    <t>Irene Huck</t>
  </si>
  <si>
    <t>Docente especialista en desarrollo marcario y coordinadora de la carrera de Diseño Gráfico en La Metro, Escuela de Diseño y Comunicación Audiovisual</t>
  </si>
  <si>
    <t>Sandra Vilches</t>
  </si>
  <si>
    <t>Presidenta Fundación Lupus Córdoba</t>
  </si>
  <si>
    <t>Julieta Jemar</t>
  </si>
  <si>
    <t>Secretaria Fundación Lupus Córdoba</t>
  </si>
  <si>
    <t>Octavio Ibarra</t>
  </si>
  <si>
    <t>Municipalidad de Oliva</t>
  </si>
  <si>
    <t>Gabriel Fioni</t>
  </si>
  <si>
    <t>Director Museo Nacional de Malvinas de la ciudad de Oliva, Dpto. Tercero arriba</t>
  </si>
  <si>
    <t>Paola Duran</t>
  </si>
  <si>
    <t>Organizadora 1er. torneo Femenino de Futbol Regional de San Justo, DT. Club Sportivo Belgrano de San Francisico</t>
  </si>
  <si>
    <t>Nancy Marrone</t>
  </si>
  <si>
    <t>Representante del Concejo Muncipal de la Mujer de San Francisco</t>
  </si>
  <si>
    <t>Juan Iturburu</t>
  </si>
  <si>
    <t>Director de Deportes de la Municipalidad de San Francisco</t>
  </si>
  <si>
    <t>Matias Villagra</t>
  </si>
  <si>
    <t>Subcomisario Unidad Departamental Rio Cuarto</t>
  </si>
  <si>
    <t>Gustavo Cremonini</t>
  </si>
  <si>
    <t>Docente en la carrera de Diseño Grafico en la Facultad de Arte y Diseño UNC</t>
  </si>
  <si>
    <t>Carla Avedaño Manelli</t>
  </si>
  <si>
    <t>Secretaria de Investigación y Extensión</t>
  </si>
  <si>
    <t>Ivana Cavigliasso</t>
  </si>
  <si>
    <t>Presidenta Cámara del Mani</t>
  </si>
  <si>
    <t>Luis Masur</t>
  </si>
  <si>
    <t>Secretario de Biocombustibles y Energias Renovables</t>
  </si>
  <si>
    <t>Juan Pablo Inglese</t>
  </si>
  <si>
    <t>Secretario Comercio</t>
  </si>
  <si>
    <t>Roberto Rossotto</t>
  </si>
  <si>
    <t>Gerente</t>
  </si>
  <si>
    <t>Agencia ProCórdoba</t>
  </si>
  <si>
    <t>Gabriela Moreno</t>
  </si>
  <si>
    <t>Presidenta de la Cámara de Empresas de la Industria Alimenticia</t>
  </si>
  <si>
    <t>Sergio Favot</t>
  </si>
  <si>
    <t>Ex-intendente Villa Gral. Belgrano</t>
  </si>
  <si>
    <t>Omar Horta</t>
  </si>
  <si>
    <t>Concejo Deliberante de Villa General Belgrano</t>
  </si>
  <si>
    <t>Leonardo Ariel Chiodín</t>
  </si>
  <si>
    <t>Analista de sistemas</t>
  </si>
  <si>
    <t>Victor Vera</t>
  </si>
  <si>
    <t>Municipalidad de Tancacha</t>
  </si>
  <si>
    <t>Jose Maria Las Heras</t>
  </si>
  <si>
    <t>Director Asociación Argentina de Presupuesto - Cordoba</t>
  </si>
  <si>
    <t>Diego de Marco</t>
  </si>
  <si>
    <t>Director de Capacitación Asociación Argentina de Presupuesto - Cordoba</t>
  </si>
  <si>
    <t>Leila Andalle</t>
  </si>
  <si>
    <t>Docente e investigadora de la Escuela de Graduados de la Facultad de Ciencias Económicas</t>
  </si>
  <si>
    <t>Susana Hernandez Caffot</t>
  </si>
  <si>
    <t>Directora de Farmacias</t>
  </si>
  <si>
    <t>José Ahun Frau</t>
  </si>
  <si>
    <t>Director Legal y Técnico</t>
  </si>
  <si>
    <t>Exequiel Vergara</t>
  </si>
  <si>
    <t>Presidente Acción y Defensa del Consumidor e inquilinos (ADCOIN)</t>
  </si>
  <si>
    <t>Victoria Postiguillo</t>
  </si>
  <si>
    <t>Directora de la Sala de Derechos del Consumidor del Colegio de Abogados de Córdoba</t>
  </si>
  <si>
    <t>Ariel Juri</t>
  </si>
  <si>
    <t>Director de Dir. Gral de Defensa del Consumidor y Lealtad Comercial</t>
  </si>
  <si>
    <t>Santiago Álvarez</t>
  </si>
  <si>
    <t>Jefe de Área Legales de Dir. Gral de Defensa del Consumidor y Lealtad Comercial</t>
  </si>
  <si>
    <t>Maria José Belveder</t>
  </si>
  <si>
    <t>Coordinadora del Programa Córdoba Rosa</t>
  </si>
  <si>
    <t>Alicia Demarchi</t>
  </si>
  <si>
    <t>Representante de Voluntarias Lucha contra el Cancer (VOLCEC)</t>
  </si>
  <si>
    <t>Carina Jabase</t>
  </si>
  <si>
    <t>Representante de la Fundación Corazón de mujer</t>
  </si>
  <si>
    <t>Sara Burgos</t>
  </si>
  <si>
    <t>Representante de la Liga Argentina de Lucha contra el Cáncer (LALCEC)</t>
  </si>
  <si>
    <t>Silvi Oviedo</t>
  </si>
  <si>
    <t>Representante de la Fundacion Guapas</t>
  </si>
  <si>
    <t>Eliana Nemes</t>
  </si>
  <si>
    <t>Representante de la Fundacion Amazonas</t>
  </si>
  <si>
    <t>Martín Alonso</t>
  </si>
  <si>
    <t>Representante de la Fundación Oncologica Córdoba</t>
  </si>
  <si>
    <t>Daiana Ojeda</t>
  </si>
  <si>
    <t>Representante de la Fundación Vanesa Duran</t>
  </si>
  <si>
    <t>Jorge Bustamante</t>
  </si>
  <si>
    <t>Comuna de San Roque</t>
  </si>
  <si>
    <t>Leandro Balasini</t>
  </si>
  <si>
    <t>Subsecretario de Relaciones Institucionales</t>
  </si>
  <si>
    <t>Lisandro Perez</t>
  </si>
  <si>
    <t>Coordinador del Programa Previaje</t>
  </si>
  <si>
    <t>Eduardo Ingaramo</t>
  </si>
  <si>
    <t>Presidente de la Comisión de Organizaciones Sociales del Concejo Profesional de Ciencias Económicas de Córdoba</t>
  </si>
  <si>
    <t>Isaac Rahmane</t>
  </si>
  <si>
    <t>Vicepresidente Caminos de las Sierras</t>
  </si>
  <si>
    <t>Maria Zysman</t>
  </si>
  <si>
    <t>Presidenta del equipo "Libres de Bulling"</t>
  </si>
  <si>
    <t>Cristian Gervasini</t>
  </si>
  <si>
    <t>Subdirector de Conservación de la Dirección Provincial de Vialidad</t>
  </si>
  <si>
    <t>Veronica Soisa</t>
  </si>
  <si>
    <t>Ricardo Sosa</t>
  </si>
  <si>
    <t>AMBIENTE;ECONOMÍA, PRESUPUESTO, GESTIÓN PÚBLICA E INNOVACIÓN;INDUSTRIA Y MINERÍA;PROMOCIÓN Y DESARROLLO DE LAS ECONOMÍAS REGIONALES Y PYMES</t>
  </si>
  <si>
    <t>Marcelo Uribarren</t>
  </si>
  <si>
    <t>Presidente de la Unión Industrial de Córdoba (UIC)</t>
  </si>
  <si>
    <t>Daniel Urcia</t>
  </si>
  <si>
    <t>Vicepresidente de la UIC y Representante de la Asociación de Frigoríficos e Industriales de la Carne (AFIC)</t>
  </si>
  <si>
    <t>Leonardo Destefano</t>
  </si>
  <si>
    <t>Secretario de la UIC</t>
  </si>
  <si>
    <t>Hernan Soneyro</t>
  </si>
  <si>
    <t>Presidente de la Cámara Empresaria Minera de Córdoba (CEMINCOR)</t>
  </si>
  <si>
    <t>Juan Gallara</t>
  </si>
  <si>
    <t>Presidente de la Cámara de Premoldeados</t>
  </si>
  <si>
    <t>Alejandra Cesolari</t>
  </si>
  <si>
    <t>Vicepresidenta de la Cámara de la Industria Energética de Córdoba (CADIEC)</t>
  </si>
  <si>
    <t>Santiago de la Roza</t>
  </si>
  <si>
    <t>Secretario Legal y Técnica</t>
  </si>
  <si>
    <t>Julia Enriquez</t>
  </si>
  <si>
    <t>Jefa de Área Asesoría Legal de la Secretaría de Ingresos Públicos</t>
  </si>
  <si>
    <t>Lucia Fainboim</t>
  </si>
  <si>
    <t>Licenciada en Comunicación Social, especialista en ciudadanía digital y Directora de Educación de Faro Digital</t>
  </si>
  <si>
    <t>Irene Presti</t>
  </si>
  <si>
    <t>Vicepresidenta</t>
  </si>
  <si>
    <t>Agencia Conectividad Córdoba</t>
  </si>
  <si>
    <t>Melisa Gorondy Novax</t>
  </si>
  <si>
    <t>Responsable de Gestión Estratégica y Articulación en la Agencia Conectividad Córdoba</t>
  </si>
  <si>
    <t>Juan Monserrat</t>
  </si>
  <si>
    <t>Secretario General de la Unión de Educadores de la provincia de Córdoba</t>
  </si>
  <si>
    <t>Guillermo Barrera Buteler</t>
  </si>
  <si>
    <t>Decano de la Facultad de Derecho de la UNC</t>
  </si>
  <si>
    <t>Marcelo Nicolás Jaime</t>
  </si>
  <si>
    <t>Vócal de Cámara en lo Criminal y Correccional de Córdoba</t>
  </si>
  <si>
    <t>Subsecretario de Escrituración de Viviendas Sociales</t>
  </si>
  <si>
    <t>Cristián Heredia</t>
  </si>
  <si>
    <t>Pablo Carvajal</t>
  </si>
  <si>
    <t>Secretario de Salud</t>
  </si>
  <si>
    <t>Carlos Canovas</t>
  </si>
  <si>
    <t>Subsecretario de Salud</t>
  </si>
  <si>
    <t>Director General de Hospitales Capital</t>
  </si>
  <si>
    <t>Carlos Bernabé Negro</t>
  </si>
  <si>
    <t>Director General de Hospitales Interior</t>
  </si>
  <si>
    <t>Directora General de Maternidad e Infancia</t>
  </si>
  <si>
    <t>Maria Teresa Puga</t>
  </si>
  <si>
    <t>Subsecretaria de Discapacidad, Rehabilitación e Inclusión</t>
  </si>
  <si>
    <t>Lucila Pautasso</t>
  </si>
  <si>
    <t>Subsecretaria de Coordinación de Programas</t>
  </si>
  <si>
    <t>Diego Alonso</t>
  </si>
  <si>
    <t>Director General de Integración Sanitaria</t>
  </si>
  <si>
    <t>Laura Lopez</t>
  </si>
  <si>
    <t>Directora de Epidemiología</t>
  </si>
  <si>
    <t>Secretario de Coordinación y Gestión Administrativa</t>
  </si>
  <si>
    <t>Federico Amieva</t>
  </si>
  <si>
    <t>Director General de Gestión de Capital Humano</t>
  </si>
  <si>
    <t>Daiana Villegas</t>
  </si>
  <si>
    <t>Directora General de Infraestructura y Equipamiento Hospitalario</t>
  </si>
  <si>
    <t>Juan Gomez</t>
  </si>
  <si>
    <t>Director General de Sistemas de Gestión Hospitalaria</t>
  </si>
  <si>
    <t>Veronica Olivato</t>
  </si>
  <si>
    <t>Mesa de Comunidades Cerradas</t>
  </si>
  <si>
    <t>Maria Pía Guidetti</t>
  </si>
  <si>
    <t xml:space="preserve">Jefa Departamento de Salud Ambiental </t>
  </si>
  <si>
    <t>Secreataria de Educación</t>
  </si>
  <si>
    <t>Carlos Gionannoni</t>
  </si>
  <si>
    <t>Director de Infraestructura</t>
  </si>
  <si>
    <t>Jorge Jaimez</t>
  </si>
  <si>
    <t>Subsecretario de Planeamiento Evaluación y Modernización</t>
  </si>
  <si>
    <t>Fernando Leon</t>
  </si>
  <si>
    <t>Subdirector</t>
  </si>
  <si>
    <t>Eduardo Acastello</t>
  </si>
  <si>
    <t>Alejandra Barbero</t>
  </si>
  <si>
    <t>Secretaria de Parques Industriales</t>
  </si>
  <si>
    <t>Fernando Sibilla</t>
  </si>
  <si>
    <t>Secretario de Industria</t>
  </si>
  <si>
    <t>Secretario de Comercio</t>
  </si>
  <si>
    <t>Calixto Angulo Marquez</t>
  </si>
  <si>
    <t>Presidente Ente Regulador de los Servicios Públicos ( ERSeP)</t>
  </si>
  <si>
    <t>Enzo Moriconi</t>
  </si>
  <si>
    <t>Director de Promoción Cientifica</t>
  </si>
  <si>
    <t>Presidente del Directorio de Apross</t>
  </si>
  <si>
    <t>Analía Cudolá</t>
  </si>
  <si>
    <t>Vicepresidenta Apross</t>
  </si>
  <si>
    <t>Sebastián García Petrini</t>
  </si>
  <si>
    <t>Vocal Apross</t>
  </si>
  <si>
    <t>Guillermo Fornasari Vázquez</t>
  </si>
  <si>
    <t>Director General de Coordinación Operativa Apross</t>
  </si>
  <si>
    <t>Roberto Facundo Barrabino</t>
  </si>
  <si>
    <t>Director General de Prestaciones Asistenciales</t>
  </si>
  <si>
    <t>Juan Giordano</t>
  </si>
  <si>
    <t>Director general de Desarrollo Técnico</t>
  </si>
  <si>
    <t>Melisa Sosa</t>
  </si>
  <si>
    <t>Asesora Desarrollo Sostenible y Cambio Climatico</t>
  </si>
  <si>
    <t>Ximena Falcioni</t>
  </si>
  <si>
    <t>Carlos Brene</t>
  </si>
  <si>
    <t>Director General de Educación de Jóvenes y Adultos</t>
  </si>
  <si>
    <t>Genoveva Amuchastegui</t>
  </si>
  <si>
    <t>Presidenta de la Asociación Civil de Instrumentadores Quirúrgicos de la Provincia de Córdoba (ADIC), Coordinadora de quirófano del Hospital Tránsito Cáceres de Allende</t>
  </si>
  <si>
    <t>Celia Cristina Almaraz</t>
  </si>
  <si>
    <t>Vicepresidenta de ADIC, Coordinadora de la carrera de Instrumentación Quirúrgica de Cruz Roja</t>
  </si>
  <si>
    <t>Roxana López Belloni</t>
  </si>
  <si>
    <t>Tesorera de ADIC, Coordinadora de quirófano del Hospital Elpidio Torres</t>
  </si>
  <si>
    <t>Javier Fernandez</t>
  </si>
  <si>
    <t>Deportista, arquero de la Selección Argentina de Futsal para personas con Sindrome de Down</t>
  </si>
  <si>
    <t>German Laborda Soler</t>
  </si>
  <si>
    <t>Presidente de la Fundación Empate</t>
  </si>
  <si>
    <t>Silvia Torres</t>
  </si>
  <si>
    <t>Asesora Area Salud del SEP ( Sindicato de empleados Públicos de Córdoba</t>
  </si>
  <si>
    <t>Nora Soria</t>
  </si>
  <si>
    <t>Secretaria Adjunta ATSA ( Asociación de Trabajadores de la Sanidad Argentina</t>
  </si>
  <si>
    <t>Director del Hospital de Niños de la Santisima Trinidad</t>
  </si>
  <si>
    <t>Subdirectora Hospital de Niños de la Santisima Trinidad</t>
  </si>
  <si>
    <t>Mauricio Ayub</t>
  </si>
  <si>
    <t>Jefe de Infraestructura del Hospital de Niños de la Santisima Trinidad</t>
  </si>
  <si>
    <t>Juan Manuel Llamosas</t>
  </si>
  <si>
    <t>Intendente Río Cuarto</t>
  </si>
  <si>
    <t>Municipalidades</t>
  </si>
  <si>
    <t>Dario Fuentes</t>
  </si>
  <si>
    <t>Presidente del Concejo Deliberante de Río Cuarto</t>
  </si>
  <si>
    <t>Stefania Nora Bertoldi Falasconi</t>
  </si>
  <si>
    <t>Docente de la carrera Licenciatura en Instrumentación Quirúrgica, miembro del consejo de profesores de la Universidad Católica de Córdoba, miembro del Comité Institucional de Ética de la Investigación del niño y del adulto de la Provincia de Córdoba</t>
  </si>
  <si>
    <t>Luis Ariel Trocca</t>
  </si>
  <si>
    <t>Presidente de Cruz Roja Argentina</t>
  </si>
  <si>
    <t>Alejandra Maldonado</t>
  </si>
  <si>
    <t>Coordinadora de la carrera Técnico Superior en Instrumentación Quirúrgica, Instituto Cruz Roja Filial Córdoba</t>
  </si>
  <si>
    <t>Defensora de los Derechos de los Niños, Niñas y Adolescentes de la Provincia de Córdoba</t>
  </si>
  <si>
    <t>Adrian Rinaudo</t>
  </si>
  <si>
    <t>Secretario Policia Ambiental</t>
  </si>
  <si>
    <t>Secretario de la Secretaría General de la Gobernación</t>
  </si>
  <si>
    <t>Diosnel Siro Bouchet</t>
  </si>
  <si>
    <t>Jefe Programa Provincial VIH/SIDA , ITS y Hepatitis Virales</t>
  </si>
  <si>
    <t>Daniel Scioli</t>
  </si>
  <si>
    <t>Embajador de Argentina en Brasil</t>
  </si>
  <si>
    <t>Julian Lopez</t>
  </si>
  <si>
    <t>Secretaria de Niñez, Adolescencia y Familia</t>
  </si>
  <si>
    <t>Cecilia Lanzarotti</t>
  </si>
  <si>
    <t>Federico Martí</t>
  </si>
  <si>
    <t>Presidente del Colegio de Ingenieros de Córdoba</t>
  </si>
  <si>
    <t>María Elisa Martínez Otronello</t>
  </si>
  <si>
    <t>Área de Electrodependiente y Trato Adecuado</t>
  </si>
  <si>
    <t>Martín Chiapero</t>
  </si>
  <si>
    <t>Área Contable</t>
  </si>
  <si>
    <t>Wendy Carolina Agosti</t>
  </si>
  <si>
    <t>Área Legales</t>
  </si>
  <si>
    <t>Alberto Daniel Alberto Mousist</t>
  </si>
  <si>
    <t xml:space="preserve">Director General de Defensa del  Consumidor y Lealtad Comercial </t>
  </si>
  <si>
    <t xml:space="preserve">Funcionario de la Direccón  de Defensa del  Consumidor y Lealtad Comercial </t>
  </si>
  <si>
    <t>Eduardo Daniel Cervantes</t>
  </si>
  <si>
    <t>Deportista</t>
  </si>
  <si>
    <t>Marcos Mulhall Maldonado</t>
  </si>
  <si>
    <t>Cristian Sarmiento</t>
  </si>
  <si>
    <t>Kinesiologo</t>
  </si>
  <si>
    <t xml:space="preserve"> Alfredo Magallanes</t>
  </si>
  <si>
    <t>Sub Secretario de Escrituración de Viviendas Sociales</t>
  </si>
  <si>
    <t xml:space="preserve"> Cristian Heredia</t>
  </si>
  <si>
    <t>Enzo Cravero</t>
  </si>
  <si>
    <t>Presidente de BioCordoba</t>
  </si>
  <si>
    <t>Secretaría de Ambiente</t>
  </si>
  <si>
    <t>Agustín Cerda</t>
  </si>
  <si>
    <t>Representante de Jóvenes por el Clima Córdoba</t>
  </si>
  <si>
    <t>Juan Bautista López</t>
  </si>
  <si>
    <t>Fundación para el Desarrollo de Políticas Sustentables (FUNDEPS)</t>
  </si>
  <si>
    <t>Guillermo Diaz Cornejo</t>
  </si>
  <si>
    <t>Director del Instituto de Protección Ambiental (IPA)</t>
  </si>
  <si>
    <t>Elga Velásquez</t>
  </si>
  <si>
    <t>Fundación para el Desarrollo Sostenible</t>
  </si>
  <si>
    <t>Eco House Córdoba</t>
  </si>
  <si>
    <t>Lucia Villareal</t>
  </si>
  <si>
    <t>Consejo Provincial Indígena</t>
  </si>
  <si>
    <t>Guadalupe  Heredia</t>
  </si>
  <si>
    <t>Fundación Vicentina</t>
  </si>
  <si>
    <t>Federico Gauna</t>
  </si>
  <si>
    <t>Fundación EcoLink</t>
  </si>
  <si>
    <t>Agustín Filippi</t>
  </si>
  <si>
    <t>Movimiento Evita</t>
  </si>
  <si>
    <t>Roberto Gonzalez</t>
  </si>
  <si>
    <t>Director del Observatorio de Estudios sobre Convivencia y Seguridad Ciudadana</t>
  </si>
  <si>
    <t>Olga Camaño</t>
  </si>
  <si>
    <t>Facultad de Psicología UNC</t>
  </si>
  <si>
    <t>Universidades</t>
  </si>
  <si>
    <t>María Inés Stimolo</t>
  </si>
  <si>
    <t>Maestría en Estadística Aplicada UNC</t>
  </si>
  <si>
    <t>Pedro Soda</t>
  </si>
  <si>
    <t>Universidad Nacional de Villa Maria</t>
  </si>
  <si>
    <t>Matías Caro</t>
  </si>
  <si>
    <t>Universidad de Leeds Inglaterra</t>
  </si>
  <si>
    <t>María Eva Aparicio</t>
  </si>
  <si>
    <t>Observatorio de Estudios sobre Convivencia y Seguridad Ciudadana</t>
  </si>
  <si>
    <t>Maria Pia Guidetti</t>
  </si>
  <si>
    <t xml:space="preserve">Secretaria de Salud Mental </t>
  </si>
  <si>
    <t>Cristian Garcia Moreno</t>
  </si>
  <si>
    <t>Coordinador de Internaciones del Hospital Neuropsiquiatrico</t>
  </si>
  <si>
    <t>Fernando Elhall</t>
  </si>
  <si>
    <t>Subdirector Administrativo hospital Neuropsiquiatrico</t>
  </si>
  <si>
    <t>Claudio Ballini</t>
  </si>
  <si>
    <t>Mauricio Duveaux</t>
  </si>
  <si>
    <t xml:space="preserve">Director Centro de Rehabilitación Socio Laboral  </t>
  </si>
  <si>
    <t>Úrsula Martino</t>
  </si>
  <si>
    <t>Vicepresidenta Primera de la Federación de Colegios de Abogados de la provincia de Córdoba</t>
  </si>
  <si>
    <t>Mabel Soldano</t>
  </si>
  <si>
    <t>Secretaria de la Federación de Colegios de Abogados de la provincia de Córdoba</t>
  </si>
  <si>
    <t>Miram Londero</t>
  </si>
  <si>
    <t>Presidente Comisión de Género del Colegio de Abogados de Córdoba.</t>
  </si>
  <si>
    <t>Mariano Almada</t>
  </si>
  <si>
    <t>Secretario de Cultura de la Municipalidad de Córdoba</t>
  </si>
  <si>
    <t>José Lezcano</t>
  </si>
  <si>
    <t>Director de Industrias Culturales, Creativas e Innovación de la Municipalidad de Córdoba</t>
  </si>
  <si>
    <t>Jimena Garzón</t>
  </si>
  <si>
    <t>Directora General de Administración y Desarrollo Cultural Creativo de la Municipalidad de Córdoba</t>
  </si>
  <si>
    <t>José Ortega</t>
  </si>
  <si>
    <t>Asesor de la Secretaria de Cultura</t>
  </si>
  <si>
    <t>Soledad Ferraro</t>
  </si>
  <si>
    <t>Concejala, Presidenta de la comisión de Cultura, Educación y Turismo del Concejo Deliberante de la ciudad de Córdoba</t>
  </si>
  <si>
    <t>Agrupación de Victimas y Sobrevivientes del Terrorismo de Estado</t>
  </si>
  <si>
    <t>Representantes y miembros</t>
  </si>
  <si>
    <t xml:space="preserve">Ricardo Lopez </t>
  </si>
  <si>
    <t>Representante Asociación de Trabajadores de la Sanidad Argentina (ATSA)</t>
  </si>
  <si>
    <t>Cesar Godoy</t>
  </si>
  <si>
    <t>Representante Unión del Personal Civil de la Nación (UPCN)</t>
  </si>
  <si>
    <t>Domingo Ovando</t>
  </si>
  <si>
    <t xml:space="preserve">Representante Unión Personal Superior de la Administración Pública Provincial (UPS). </t>
  </si>
  <si>
    <t xml:space="preserve">Laila Córdoba </t>
  </si>
  <si>
    <t>Jueza de Niñez</t>
  </si>
  <si>
    <t>Maria Victoria Jalil</t>
  </si>
  <si>
    <t>Asesora Letrada de Niñez, Adolescencia, Violencia Familiar y Género</t>
  </si>
  <si>
    <t>Patricia Garcia</t>
  </si>
  <si>
    <t>Registro Unico de Adopción en Córdoba</t>
  </si>
  <si>
    <t>María Marta Cáceres de Bollati</t>
  </si>
  <si>
    <t>Vocal y Presidente de la Sala Civil y Comercial del Tribunal Superior de Justicia de Córdoba</t>
  </si>
  <si>
    <t>Mariano Andruet</t>
  </si>
  <si>
    <t>Secretario Legal y Técnico del Colegio de Abogados</t>
  </si>
  <si>
    <t>Dr. Cesar Avendaño</t>
  </si>
  <si>
    <t>Presidente de la Federación de Colegios de Abogados de  Córdoba (FECACOR)</t>
  </si>
  <si>
    <t>Matias Etrat</t>
  </si>
  <si>
    <t>Integrante de FECACOR  ( Presidente del Colegio de Abogados de Villa Dolores)</t>
  </si>
  <si>
    <t>Laura Gonzalez de Robledo</t>
  </si>
  <si>
    <t>Juez de Primera Instancia en lo Civil y Comercial de 15° Nominación</t>
  </si>
  <si>
    <t>Marcelo Prato</t>
  </si>
  <si>
    <t xml:space="preserve">Presidente del Colegio de Martilleros y Corredores Públicos </t>
  </si>
  <si>
    <t>Axel Smulovitz</t>
  </si>
  <si>
    <t>Tribunal de Disciplina del Colegio de MArtilleros y Corredores Públicos</t>
  </si>
  <si>
    <t>María Teresa Puga</t>
  </si>
  <si>
    <t>Marcelo Barilla</t>
  </si>
  <si>
    <t>Área Red de Centros de Rehabilitación</t>
  </si>
  <si>
    <t>Ana Ribbert</t>
  </si>
  <si>
    <t>Referente del Área de Prevención y Sensibilidad</t>
  </si>
  <si>
    <t>Analía Álvarez</t>
  </si>
  <si>
    <t>Técnica en actividades física y deportivas</t>
  </si>
  <si>
    <t>Claudio Fueyo</t>
  </si>
  <si>
    <t>Área de Comunicación</t>
  </si>
  <si>
    <t>Diego Brazzale</t>
  </si>
  <si>
    <t>Director de Proyectos Especiales Deportivos</t>
  </si>
  <si>
    <t>Mariel Avaca</t>
  </si>
  <si>
    <t>Integrante del Equipo de La Dirección de Proyectos Especiales Deportivos</t>
  </si>
  <si>
    <t xml:space="preserve">Ivana Tejada </t>
  </si>
  <si>
    <t>Centro de Rehabilitación del Hosp. Pediátrico</t>
  </si>
  <si>
    <t>Daniela Rodofi</t>
  </si>
  <si>
    <t>Contadora General</t>
  </si>
  <si>
    <t>Marina Villarreal Barroso</t>
  </si>
  <si>
    <t>Subsecretaria de Compras, Presupuesto e Inversiones Públicas</t>
  </si>
  <si>
    <t>Armando García</t>
  </si>
  <si>
    <t>Subsecretario de la Tesorería General y Crédito Público</t>
  </si>
  <si>
    <t>Eugenia Lasserre</t>
  </si>
  <si>
    <t>Directora General de Modernización de Procesos de la Tesorería</t>
  </si>
  <si>
    <t>Gimena Domenella</t>
  </si>
  <si>
    <t>Directora General de Compras y Contrataciones</t>
  </si>
  <si>
    <t>Dario Theiler</t>
  </si>
  <si>
    <t>Sub Contador General de Auditoría</t>
  </si>
  <si>
    <t>Bárbara Linares</t>
  </si>
  <si>
    <t>Directora de Jurisdicción de la Subsecretaría de Compras, Presupuesto e Inversiones Públicas</t>
  </si>
  <si>
    <t>Florencia Maiocco</t>
  </si>
  <si>
    <t>Subsecretaria de Prevención y Asisitencia de las Adicciones</t>
  </si>
  <si>
    <t>Santiago Dellarrosa</t>
  </si>
  <si>
    <t>Director General de Desarrollo Agropecuario Sostenible</t>
  </si>
  <si>
    <t>Direccion General de Asuntos Legales</t>
  </si>
  <si>
    <t>Natalia Bedoya</t>
  </si>
  <si>
    <t>Vicepresidente de Caminos de Las Sierras</t>
  </si>
  <si>
    <t>Úrsula Jimena Martino</t>
  </si>
  <si>
    <t>Vicepresidente de FECACOR</t>
  </si>
  <si>
    <t>Matías Oscar Etrat</t>
  </si>
  <si>
    <t xml:space="preserve">Secretaria Salud Mental </t>
  </si>
  <si>
    <t>Director General de Gestión Sanitaria</t>
  </si>
  <si>
    <t>Cecilia Ponce</t>
  </si>
  <si>
    <t>Dirección de Servicios de Salud Mental de Hospitales Generales</t>
  </si>
  <si>
    <t>Analia Arteaga</t>
  </si>
  <si>
    <t xml:space="preserve">Jefa del Servicio de Salud Mental del Hospital Pediátrico y de la Coordinación del Programa de Maltrato Infantil. </t>
  </si>
  <si>
    <t>Sebastian Lopez Peña</t>
  </si>
  <si>
    <t>Presidente del Tribunal Superior de Justicia de la Provincia de Córdoba</t>
  </si>
  <si>
    <t>Silvana Chiapero</t>
  </si>
  <si>
    <t>Presidenta de la Asociación de Magistrados y Funcionarios Judiciales de la Provincia de Córdoba</t>
  </si>
  <si>
    <t>Presidente del Colegio Abogados de Córdoba</t>
  </si>
  <si>
    <t>Federico Cortelletti</t>
  </si>
  <si>
    <t>Secretario General de la Asociación Gremial de Empleados del Poder Judicial de Córdoba (AGEPJ)</t>
  </si>
  <si>
    <t>Agostina Noccioli</t>
  </si>
  <si>
    <t xml:space="preserve">Secretaria Adjunta de AGEPJ. </t>
  </si>
  <si>
    <t>Teresa Nievas</t>
  </si>
  <si>
    <t>Maternidad Provincial</t>
  </si>
  <si>
    <t>Marta Leguizamon</t>
  </si>
  <si>
    <t>Jefa de la Sección Dolor y Medicina Paliativa del Hospital San Roque</t>
  </si>
  <si>
    <t>Julio Morales</t>
  </si>
  <si>
    <t>Médico especialista del Hospital San Roque</t>
  </si>
  <si>
    <t>Fernanda Marchetti</t>
  </si>
  <si>
    <t>Hospital de Niños</t>
  </si>
  <si>
    <t>Judith Serlim</t>
  </si>
  <si>
    <t>Bettina Croppi</t>
  </si>
  <si>
    <t>Fiscal General Adjunta</t>
  </si>
  <si>
    <t>Ministerio Público Fiscal</t>
  </si>
  <si>
    <t>Belén Sueldo</t>
  </si>
  <si>
    <t>Secretaria de Lucha Contra la Violencia a la Mujer y Trata de Personas</t>
  </si>
  <si>
    <t>Julia Reartes</t>
  </si>
  <si>
    <t>Directora General de Violencias</t>
  </si>
  <si>
    <t xml:space="preserve">Karen Marón </t>
  </si>
  <si>
    <t>Periodista Coresponsal de Guerra</t>
  </si>
  <si>
    <t>Claudio Vigneta</t>
  </si>
  <si>
    <t>Julio Escobar</t>
  </si>
  <si>
    <t>Secretario de Gobierno de Miramar</t>
  </si>
  <si>
    <t>Nuria Lopez</t>
  </si>
  <si>
    <t>Presidenta del Concejo  Deliberante de Miramar</t>
  </si>
  <si>
    <t>Miguel Zonnaaras</t>
  </si>
  <si>
    <t>Presidente de la Cámara de Cómercio Exterior de Cba.</t>
  </si>
  <si>
    <t>Fabian Maglione</t>
  </si>
  <si>
    <t>Vocal de la Cámara de Comercio Exterior de Cba.</t>
  </si>
  <si>
    <t xml:space="preserve">Daniela Pavón </t>
  </si>
  <si>
    <t xml:space="preserve">Gerente Operativo de la Cámara de Cómercio Exterior de  Cba. </t>
  </si>
  <si>
    <t>Emilio Martinez</t>
  </si>
  <si>
    <t xml:space="preserve">Director de Acción Social </t>
  </si>
  <si>
    <t>Aldo Narvaja</t>
  </si>
  <si>
    <t>Coordinador de la Unidad de Gestión Provincial de Córdoba de Incluir Salud</t>
  </si>
  <si>
    <t xml:space="preserve"> Martín Chiapero</t>
  </si>
  <si>
    <t>Area Contable</t>
  </si>
  <si>
    <t>Maia Elisa Martinez Ottonello</t>
  </si>
  <si>
    <t>Area Electrodependiente</t>
  </si>
  <si>
    <t>Presidente de la Bolsa de Cereales de Córdoba</t>
  </si>
  <si>
    <t>Juan Vigliano</t>
  </si>
  <si>
    <t>Gerente de la Bolsa de Cereales de Córdoba</t>
  </si>
  <si>
    <t>Gonzalo Agusto</t>
  </si>
  <si>
    <t>Economista Jefe de la Bolsa de Cereales de Córdoba</t>
  </si>
  <si>
    <t>Silvina Fiant</t>
  </si>
  <si>
    <t>Responsable Ejecutiva y Estratégica DIA de la Bolsa de Cereales de Córdoba</t>
  </si>
  <si>
    <t>María Pía Carnero</t>
  </si>
  <si>
    <t>Responsable Ejecutiva de Relaciones Institucionales de la Bolsa de Cereales de Córdoba</t>
  </si>
  <si>
    <t>Mariano Apaolaza</t>
  </si>
  <si>
    <t>Coordinador Ejecutivo de Relaciones Institucionales de la Bolsa de Cereales de Córdoba</t>
  </si>
  <si>
    <t>Juan Manuel Garzón</t>
  </si>
  <si>
    <t>Economista Jefe IERAL de Fundación Mediterránea</t>
  </si>
  <si>
    <t>Franco Pilnik</t>
  </si>
  <si>
    <t>Fiscal de Instrucción de la Fiscalía de Cibercrimen de Córdoba</t>
  </si>
  <si>
    <t>Presidente de la Administración Provincial de Recursos Hidricos (APRHI)</t>
  </si>
  <si>
    <t>Director General de Operaciones del Ministerio de Servicios Públicos</t>
  </si>
  <si>
    <t>Gabriel Testagrosa</t>
  </si>
  <si>
    <t xml:space="preserve">Subsecretario de Coordinación y Administración </t>
  </si>
  <si>
    <t>Horacio Herrero</t>
  </si>
  <si>
    <t>Vocal del APRHI a cargo del área de preservación y gestión de calidad de los Recursos Hídricos</t>
  </si>
  <si>
    <t>Victor Archilla</t>
  </si>
  <si>
    <t>Presidente Comunal de Las Playas</t>
  </si>
  <si>
    <t>José Viale</t>
  </si>
  <si>
    <t>Presidente de la Cámara de Comercio de Córdoba</t>
  </si>
  <si>
    <t>Héctor Fiorani</t>
  </si>
  <si>
    <t>Prosecretario Institucional de la Cámara de Comercio de Córdoba</t>
  </si>
  <si>
    <t>Agustina Freytes</t>
  </si>
  <si>
    <t>Revisora de Cuentas Titular de la Cámara de Comercio de Córdoba</t>
  </si>
  <si>
    <t>Nadia Villegas</t>
  </si>
  <si>
    <t>Directora General de la Cámara de Comercio de Córdoba</t>
  </si>
  <si>
    <t>David Boffa</t>
  </si>
  <si>
    <t>Presidente del Centro Vecinal de Barrio Centro</t>
  </si>
  <si>
    <t>Marina Santini</t>
  </si>
  <si>
    <t>Secretaria del Centro Vecinal de Barrio Centro</t>
  </si>
  <si>
    <t xml:space="preserve">Marcos Blanda        </t>
  </si>
  <si>
    <t>Bartolomé Heredia</t>
  </si>
  <si>
    <t>Director General de Planeamiento, Ejecución y Gerenciamiento de Obras</t>
  </si>
  <si>
    <t>Victor Biagioli</t>
  </si>
  <si>
    <t>Intendente de Villa Fontana</t>
  </si>
  <si>
    <t>Daniel Mercado</t>
  </si>
  <si>
    <t>Jefe de Servicio del Sistema de Evaluación, Registro y Fiscalización de las Investigaciones en Salud (SERFIS) y Coordinador del Consejo de Evaluación Ética de la Investigación en Salud (CoEIS)</t>
  </si>
  <si>
    <t>Adolfo Facello</t>
  </si>
  <si>
    <t>Subcoordinador del CoEIS</t>
  </si>
  <si>
    <t>Daniel David</t>
  </si>
  <si>
    <t>Infectologo integrante del CoEIS.</t>
  </si>
  <si>
    <t>Gastón Salort</t>
  </si>
  <si>
    <t>Abogado Magíster en "Derecho Digital", Co-Director de la "Sala de Derecho Digital y Empresas" del Colegio de Abogados de la ciudad de Córdoba</t>
  </si>
  <si>
    <t>Agustín Grimaut</t>
  </si>
  <si>
    <t>Abogado, Director Académico y docente de la Diplomatura en Derecho Digital de la Universidad Blas Pascal</t>
  </si>
  <si>
    <t>Pablo Pérez Paladino</t>
  </si>
  <si>
    <t xml:space="preserve">Politólogo Magister en políticas públicas, miembro fundador de la Asociación Argentina de Consultores Políticos (ASACOP), socio de la Asociación Latinoamericana de Consultores Políticos (ALACOP), ex Director de Comunicación del Ministerio del Interior, Obras Públicas y Vivienda de la República Argentina (2015-2019). </t>
  </si>
  <si>
    <t xml:space="preserve">Abogado Fundador y Presidente de la ONG Servicio Argentino de Derechos Humanos. </t>
  </si>
  <si>
    <t>Cesar Theaux</t>
  </si>
  <si>
    <t>Secretario de Formación de ATE y secretario de DDHH de CTA Provincial</t>
  </si>
  <si>
    <t>Flavia Dezzutto</t>
  </si>
  <si>
    <t>Decana de la Facultad de Filosofía y Humanidades - UNC</t>
  </si>
  <si>
    <t>Gaston Vacchiani</t>
  </si>
  <si>
    <t>Secretario General de la Unión de los Trabajadores de la Salud</t>
  </si>
  <si>
    <t>Javier Musso</t>
  </si>
  <si>
    <t>Dirigente del Pts FIT unidad</t>
  </si>
  <si>
    <t>Maximiliano Maita</t>
  </si>
  <si>
    <t>Del FOL( Frente de organizaciones en lucha)</t>
  </si>
  <si>
    <t>Marcos Barenbaum</t>
  </si>
  <si>
    <t xml:space="preserve">Vicepresidente primero de la Cámara Argentina de la Construcción Delegación Córdoba. </t>
  </si>
  <si>
    <t>Miguel Melano</t>
  </si>
  <si>
    <t>Intendente de Las Vertientes</t>
  </si>
  <si>
    <t>Jorge Alves</t>
  </si>
  <si>
    <t>Presidente Camino de las sierras</t>
  </si>
  <si>
    <t>Vicepresidente Camino de las sierras</t>
  </si>
  <si>
    <t>Martín Echaniz</t>
  </si>
  <si>
    <t>Intendente de la localidad de  Villa Rossi</t>
  </si>
  <si>
    <t>Vocal de EPEC</t>
  </si>
  <si>
    <t>Gerente General EPEC</t>
  </si>
  <si>
    <t>Juan Lozada</t>
  </si>
  <si>
    <t>Gerente General  de operaciones EPEC</t>
  </si>
  <si>
    <t>Sandra Martinez</t>
  </si>
  <si>
    <t>Sub Gerente General de Adminsitración EPEC</t>
  </si>
  <si>
    <t>Mariana Miseta</t>
  </si>
  <si>
    <t>Gerente Asesoría y Gestión legal</t>
  </si>
  <si>
    <t>Wenceslao Maislin</t>
  </si>
  <si>
    <t>Sub Gerente de  Generación EPEC</t>
  </si>
  <si>
    <t xml:space="preserve">Román Calandri </t>
  </si>
  <si>
    <t>Gerente de Finanzas y Abastecimiento EPEC</t>
  </si>
  <si>
    <t>Lucas Gumierato</t>
  </si>
  <si>
    <t>Gerente de Planificacipon Estrategica y Control de Gestión</t>
  </si>
  <si>
    <t>Marcos Fey</t>
  </si>
  <si>
    <t xml:space="preserve">Jefe de U.A Gestión Pública y Energia Digna </t>
  </si>
  <si>
    <t>Mónica Zomberg</t>
  </si>
  <si>
    <t>Directora General de Modernización de Procesos de Tesorería</t>
  </si>
  <si>
    <t>Daniela Rodolfi</t>
  </si>
  <si>
    <t>Contaduría Gral. de la Provincia</t>
  </si>
  <si>
    <t xml:space="preserve"> Subsecretario de Tesorería Gral. y Crédito Público</t>
  </si>
  <si>
    <t>Marina Villareal</t>
  </si>
  <si>
    <t>Laura Garcia</t>
  </si>
  <si>
    <t>Secretaria de Estudios y Prev. Social</t>
  </si>
  <si>
    <t>Sebastian Perlatti</t>
  </si>
  <si>
    <t>Director de As. Fiscal</t>
  </si>
  <si>
    <t>Sofia Soto</t>
  </si>
  <si>
    <t>Coordinación Hospitales Generales</t>
  </si>
  <si>
    <t>Directora Hospital Neuropsiquiatrico</t>
  </si>
  <si>
    <t xml:space="preserve">Subdirector Administrativo </t>
  </si>
  <si>
    <t>Ministra</t>
  </si>
  <si>
    <t>Leticia Aguirre</t>
  </si>
  <si>
    <t>Veronica Rapela</t>
  </si>
  <si>
    <t>Secretaria Civil y Comercial del T.S.J</t>
  </si>
  <si>
    <t>Verónica Soisa</t>
  </si>
  <si>
    <t>José Peralta</t>
  </si>
  <si>
    <t>Subdirector de Programas Descentralizados</t>
  </si>
  <si>
    <t>Fabián Lopez</t>
  </si>
  <si>
    <t>Edgar Castello</t>
  </si>
  <si>
    <t>Secretario de Recursos Hídricos</t>
  </si>
  <si>
    <t xml:space="preserve">Bresciano Alberto </t>
  </si>
  <si>
    <t>Secretario de Servicios Públicos</t>
  </si>
  <si>
    <t>Sergio Mansur</t>
  </si>
  <si>
    <t>Secretario de Biocombustibles y Energías Renovables</t>
  </si>
  <si>
    <t>Jose Torno</t>
  </si>
  <si>
    <t>Director de Asuntos Legales</t>
  </si>
  <si>
    <t>Luis Molinari</t>
  </si>
  <si>
    <t>Director General de Energías Renovables y Comunicación</t>
  </si>
  <si>
    <t>Vicente Heredia</t>
  </si>
  <si>
    <t>Director General de Gas</t>
  </si>
  <si>
    <t>Patricio Terrera</t>
  </si>
  <si>
    <t>Director General de Administración</t>
  </si>
  <si>
    <t>Clarisa Geminiani</t>
  </si>
  <si>
    <t>Directora General de Regulación de Servicios públicos</t>
  </si>
  <si>
    <t>Wierzbicki Pablo</t>
  </si>
  <si>
    <t>Presidente del APRHI</t>
  </si>
  <si>
    <t>Pablo Gabutti</t>
  </si>
  <si>
    <t>Gerente General del Ersep</t>
  </si>
  <si>
    <t>Jorge Vaz Torres</t>
  </si>
  <si>
    <t>Gerente de Agua y Saneamiento</t>
  </si>
  <si>
    <t>Gerente de Energía Eléctrica del Ersep</t>
  </si>
  <si>
    <t>Enrique Moiso</t>
  </si>
  <si>
    <t>Director de Gestión Institucional del IPLAM</t>
  </si>
  <si>
    <t>Augusto Bravo</t>
  </si>
  <si>
    <t>Director de Planificación del del IPLAM</t>
  </si>
  <si>
    <t>Catalina Boetto</t>
  </si>
  <si>
    <t>Secretaría de Ganadería</t>
  </si>
  <si>
    <t>Franco Mugnaini</t>
  </si>
  <si>
    <t>Subsecretario de Infraestructura Agropecuaria</t>
  </si>
  <si>
    <t>German Font</t>
  </si>
  <si>
    <t>Gustavo Balbi</t>
  </si>
  <si>
    <t>Director General de Fiscalización y Control</t>
  </si>
  <si>
    <t>Santiago Dellarossa</t>
  </si>
  <si>
    <t>Soledad Pagan</t>
  </si>
  <si>
    <t>Directora de Administración</t>
  </si>
  <si>
    <t>Carlos Massei</t>
  </si>
  <si>
    <t>Sebastian Serrano</t>
  </si>
  <si>
    <t>Secretario de Gestión Adminsitrativa</t>
  </si>
  <si>
    <t>Alejandro Francesconi</t>
  </si>
  <si>
    <t>Subsecretario de Administración y Recursos Humanos</t>
  </si>
  <si>
    <t>Martín Gutierrez</t>
  </si>
  <si>
    <t>Director de  Vialidad</t>
  </si>
  <si>
    <t>Raquel Pedano</t>
  </si>
  <si>
    <t>Directora General de  Coordinación</t>
  </si>
  <si>
    <t>Fernando Sibila</t>
  </si>
  <si>
    <t>Rodolfo Bergamasco</t>
  </si>
  <si>
    <t>Secretario de Minería</t>
  </si>
  <si>
    <t>Hugo Fernandez</t>
  </si>
  <si>
    <t>Subsecretario de Adminstración</t>
  </si>
  <si>
    <t>Angel Quaglia</t>
  </si>
  <si>
    <t>Subsecretario Pyme</t>
  </si>
  <si>
    <t>Daniel Mousist</t>
  </si>
  <si>
    <t>Director General de Defensa del Consumidor</t>
  </si>
  <si>
    <t>Ana Rovira</t>
  </si>
  <si>
    <t>Directora de  Administración</t>
  </si>
  <si>
    <t>Gerente de  Procordoba</t>
  </si>
  <si>
    <t>Veronia Gazzoni</t>
  </si>
  <si>
    <t>Intendenta de la localidad de Monte Cristo</t>
  </si>
  <si>
    <t>Claudia Acosta</t>
  </si>
  <si>
    <t>Intendenta de la localidad de Mi Granja</t>
  </si>
  <si>
    <t>Laura Etchenique</t>
  </si>
  <si>
    <t>Red de agentes culturales de Córdoba</t>
  </si>
  <si>
    <t>Fernando Sánchez</t>
  </si>
  <si>
    <t>Maria Lucía Lattanzi</t>
  </si>
  <si>
    <t>Organizadoras de la “Feria Bigger”.</t>
  </si>
  <si>
    <t>Maria Fernanda de la Mata</t>
  </si>
  <si>
    <t xml:space="preserve">Sergio Luis Mansur        </t>
  </si>
  <si>
    <t xml:space="preserve">Secretario de Biocombustibles y Energías Renovables </t>
  </si>
  <si>
    <t>Emiliano Ribodino</t>
  </si>
  <si>
    <t>Intendente de la localidad de Toro Pujio</t>
  </si>
  <si>
    <t>Angel Robustiano Luna</t>
  </si>
  <si>
    <t>Jefe Comunal de la localidad de  Chuña</t>
  </si>
  <si>
    <t>Roxana Montenegro</t>
  </si>
  <si>
    <t>Jefa comunal Charbonier</t>
  </si>
  <si>
    <t>Lorenzo Abel Gauto</t>
  </si>
  <si>
    <t xml:space="preserve">Presidente Comunal </t>
  </si>
  <si>
    <t>Luis Azar</t>
  </si>
  <si>
    <t>Eduardo Ramón Ale</t>
  </si>
  <si>
    <t xml:space="preserve">Intendente </t>
  </si>
  <si>
    <t>Miriam Signorile</t>
  </si>
  <si>
    <t>Marcelo Eslava</t>
  </si>
  <si>
    <t>José Chicala López</t>
  </si>
  <si>
    <t>Director de Operaciones y Mantenimiento</t>
  </si>
  <si>
    <t>Adriana Mooney</t>
  </si>
  <si>
    <t>Coordinadora legal de Unidad Ejecutora Biprovincial del Acueducto Interprovincial Danta Fe - Córdoba</t>
  </si>
  <si>
    <t>Melisa Oviedo</t>
  </si>
  <si>
    <t>Presidenta Comunal Villa de Pocho</t>
  </si>
  <si>
    <t>Daniel Garnero</t>
  </si>
  <si>
    <t>Intendente de Sacanta</t>
  </si>
  <si>
    <t>Pablo De Chiara</t>
  </si>
  <si>
    <t>Ana Gaitan</t>
  </si>
  <si>
    <t>Presidenta Comunal de Cuesta Blanca</t>
  </si>
  <si>
    <t>Gabriel Musso</t>
  </si>
  <si>
    <t>Intendente de Cosquín</t>
  </si>
  <si>
    <t>Secretario de Derechos Humanos de la Provincia de Córdoba</t>
  </si>
  <si>
    <t>Carlos Mario Gutierrez</t>
  </si>
  <si>
    <t>Diputado Nacional por Córdoba</t>
  </si>
  <si>
    <t>Cámara de Diputados de La Nación</t>
  </si>
  <si>
    <t>Luis Macario</t>
  </si>
  <si>
    <t>Presidente de la Unión Industrial de Córdoba; Marcelo Uribarren, Vicepresidente de la Unión Industrial de Córdoba</t>
  </si>
  <si>
    <t>Vicepresidente de la Unión Industrial de Córdoba</t>
  </si>
  <si>
    <t>Presidente del Cluster Tecnológico Córdoba</t>
  </si>
  <si>
    <t>José Gonzalez</t>
  </si>
  <si>
    <t>Presidente de la Cámara de Turismo</t>
  </si>
  <si>
    <t>Daniel Barraco Diaz</t>
  </si>
  <si>
    <t>Secretario de Ciencia y Tecnología de la U.N.C.</t>
  </si>
  <si>
    <t>Maria Eleonora Cristina</t>
  </si>
  <si>
    <t xml:space="preserve">Haydee Ponce </t>
  </si>
  <si>
    <t>Departamento de DD.HH del Sindicato de Empleados Públicos (SEP)</t>
  </si>
  <si>
    <t>Adriana Ochoa</t>
  </si>
  <si>
    <t>Representante del Sindicato de Empleados Legislativos de Córdoba (SELC)</t>
  </si>
  <si>
    <t>Secretaria Adjunta de la Asociación Gremial de Empleados del Poder Judicial (AGEPJ)</t>
  </si>
  <si>
    <t>Lucia Bonafe</t>
  </si>
  <si>
    <t>Secretaria de Relaciones Institucionales de AGEPJ</t>
  </si>
  <si>
    <t>Victor Molina</t>
  </si>
  <si>
    <t>Intendente de Cañada de Luque</t>
  </si>
  <si>
    <t>Gabriela Lanfranco</t>
  </si>
  <si>
    <t>Presidenta Comunal de Ranqueles</t>
  </si>
  <si>
    <t>Jorge Omar Jaimez</t>
  </si>
  <si>
    <t>José Lucio Paredes</t>
  </si>
  <si>
    <t>Presidente Comunal de Los Hornillos</t>
  </si>
  <si>
    <t>Victor Hugo Malano</t>
  </si>
  <si>
    <t>Presidente Comunal de Colonia Las Cuartro Esquinas</t>
  </si>
  <si>
    <t xml:space="preserve"> José Viale</t>
  </si>
  <si>
    <t>Presidente de la Cámara de Comercio</t>
  </si>
  <si>
    <t>Gastón Utrera</t>
  </si>
  <si>
    <t>Foro Económico de la Cámara de Comercio</t>
  </si>
  <si>
    <t>Florencia Margaría</t>
  </si>
  <si>
    <t>Directora del Comercio Electrónico de la Provincia</t>
  </si>
  <si>
    <t xml:space="preserve"> Javier Litrenta</t>
  </si>
  <si>
    <t>Director de Comercio de la Provincia de Córdoba</t>
  </si>
  <si>
    <t>Luis Picat</t>
  </si>
  <si>
    <t>Intendente de Jesus Maria</t>
  </si>
  <si>
    <t>Lilian Balian</t>
  </si>
  <si>
    <t>Presidenta Colectividad Armenia de Córdoba</t>
  </si>
  <si>
    <t>Elena Nalbandian</t>
  </si>
  <si>
    <t>Vicepresidenta Colectividad Armenia de Córdoba</t>
  </si>
  <si>
    <t>Ariel Vartanian</t>
  </si>
  <si>
    <t>Presidente Unión General Armenia de Beneficencia</t>
  </si>
  <si>
    <t>Sergio Vartanian</t>
  </si>
  <si>
    <t>Secretario de la Colectividad Armenia de Córdoba</t>
  </si>
  <si>
    <t>Claudia Torkomian</t>
  </si>
  <si>
    <t>Secretaria de Asuntos Académicos de la U.N.C</t>
  </si>
  <si>
    <t>Christian Metrebian</t>
  </si>
  <si>
    <t>Empresario</t>
  </si>
  <si>
    <t>Enrique Basmallian</t>
  </si>
  <si>
    <t>Comisión Directiva Colectividad Armenia de Córdoba</t>
  </si>
  <si>
    <t>Martin Liarte Keuchguerian</t>
  </si>
  <si>
    <t>Juan Carlos Merdinian</t>
  </si>
  <si>
    <t>Cónsul Honorario de Armenia</t>
  </si>
  <si>
    <t>Virginia Kademian</t>
  </si>
  <si>
    <t>Presidenta Asociación Civil Armenia de Beneficencia</t>
  </si>
  <si>
    <t>Alina Merdinian</t>
  </si>
  <si>
    <t>Asociación Civil Armenia de Beneficencia.</t>
  </si>
  <si>
    <t>Valeriana Keushkerian</t>
  </si>
  <si>
    <t>Dora Zakian</t>
  </si>
  <si>
    <t>RELACIONES INTERNACIONALES, MERCOSUR Y COMERCIO EXTERIOR;EQUIDAD Y LUCHA CONTRA LA VIOLENCIA DE GÉNERO</t>
  </si>
  <si>
    <t>Silbia Lorena Mansilla</t>
  </si>
  <si>
    <t>Intendenta de Obispo Trejo</t>
  </si>
  <si>
    <t>Maria Victoria Moncada</t>
  </si>
  <si>
    <t>Presidenta de la Sociedad Rural de Córdoba</t>
  </si>
  <si>
    <t>Subsecretaria de Agricultura Familiar del Ministerio de Agricultura y Ganadería</t>
  </si>
  <si>
    <t>Graciela Gasparetti</t>
  </si>
  <si>
    <t>INTA Delegación San Francisco</t>
  </si>
  <si>
    <t>Paola Bulacio</t>
  </si>
  <si>
    <t>Secretaría de Agricultura Familiar</t>
  </si>
  <si>
    <t>Perla Gonzalez</t>
  </si>
  <si>
    <t>Dirección Gral de Agencias Zonales</t>
  </si>
  <si>
    <t>Defensora de los Derechos de los Niños, Niñas y Adolescentes</t>
  </si>
  <si>
    <t>Defensoría de los Derechos de los Niños, Niñas y Adolescentes</t>
  </si>
  <si>
    <t>Melisa Robledo</t>
  </si>
  <si>
    <t>Área de coordinación y promoción de los derechos de N, N y A</t>
  </si>
  <si>
    <t>Fanny Massary</t>
  </si>
  <si>
    <t>Área de asistencia y mediación</t>
  </si>
  <si>
    <t>Milagros Lopez Jimenez</t>
  </si>
  <si>
    <t>Área de participación y promoción</t>
  </si>
  <si>
    <t>Juan Alejandro Burgos</t>
  </si>
  <si>
    <t>Área coordinador general de la Defensoría</t>
  </si>
  <si>
    <t>Celina Di Cola</t>
  </si>
  <si>
    <t>Coordinadora de cooperación interinstitucional e internacional</t>
  </si>
  <si>
    <t>Larisa Amaranto</t>
  </si>
  <si>
    <t>Coordinadora del área de prensa</t>
  </si>
  <si>
    <t>Isabel Noriega</t>
  </si>
  <si>
    <t xml:space="preserve">Coordinadora del área de administración y tesorería.  </t>
  </si>
  <si>
    <t>David Mauricio Urreta</t>
  </si>
  <si>
    <t>Subsecretario de Integración Regional y Relaciones Internacionales de la provincia de Córdoba</t>
  </si>
  <si>
    <t>Secretaría de Integración Regional y Relaciones Internacionales</t>
  </si>
  <si>
    <t>Alejandro Lastra</t>
  </si>
  <si>
    <t xml:space="preserve">Vocal del Directorio de la Agencia Córdoba Turismo, Director de Promoción y Marketing. </t>
  </si>
  <si>
    <t>Agencia Cordoba Turismo</t>
  </si>
  <si>
    <t>Gabriela Barbás</t>
  </si>
  <si>
    <t>Nicolas Zavaley</t>
  </si>
  <si>
    <t>Eduardo Figueroa</t>
  </si>
  <si>
    <t>Jefe de Despacho</t>
  </si>
  <si>
    <t>Carlos Negro</t>
  </si>
  <si>
    <t>Subsecretario de Gestión Hospitalaria</t>
  </si>
  <si>
    <t>Carlos Giordana</t>
  </si>
  <si>
    <t>Pablo Amodei</t>
  </si>
  <si>
    <t>Director General de Hospitales del Interior</t>
  </si>
  <si>
    <t>Ana Victoria Zucarias</t>
  </si>
  <si>
    <t>Directora General de Infraestructura y Equipamiento Médico</t>
  </si>
  <si>
    <t>Lucrecia Audisio</t>
  </si>
  <si>
    <t>Jefa de Prensa</t>
  </si>
  <si>
    <t>Maria Soledad Comes</t>
  </si>
  <si>
    <t>Secretaria</t>
  </si>
  <si>
    <t>Elio Antonioi Sanchez</t>
  </si>
  <si>
    <t>Intendente de la Localidad de El Fortín</t>
  </si>
  <si>
    <t>Gaston Vacciani</t>
  </si>
  <si>
    <t>Secretario General de la Unión de Tabajadores de la Salud U.T.S</t>
  </si>
  <si>
    <t>Estela Gimenez</t>
  </si>
  <si>
    <t>Secretaria Adjunta de Unión de Trabajadores de la Salus U.T.S</t>
  </si>
  <si>
    <t>Juan Pablo Viglione</t>
  </si>
  <si>
    <t>Coordinador Intrahospitalario</t>
  </si>
  <si>
    <t xml:space="preserve">Federico Giuliani </t>
  </si>
  <si>
    <t>ATE</t>
  </si>
  <si>
    <t>Jorge Chalup</t>
  </si>
  <si>
    <t>Milagros Sossy</t>
  </si>
  <si>
    <t>Diego Saurina</t>
  </si>
  <si>
    <t>Ricardo Lopez</t>
  </si>
  <si>
    <t>Secretario General ATSA</t>
  </si>
  <si>
    <t>Carlos Gonzalez</t>
  </si>
  <si>
    <t>Secretario de Prensa ATSA</t>
  </si>
  <si>
    <t>Oscar Chiarini</t>
  </si>
  <si>
    <t>Abogado ATSA</t>
  </si>
  <si>
    <t>Mario Molina</t>
  </si>
  <si>
    <t>Vocal ATSA</t>
  </si>
  <si>
    <t>José Casanova</t>
  </si>
  <si>
    <t>Cristina Fernandez</t>
  </si>
  <si>
    <t>Secretaria General ATSA Rio Cuarto</t>
  </si>
  <si>
    <t>Cecilia Miranda</t>
  </si>
  <si>
    <t>Fernando Aballay</t>
  </si>
  <si>
    <t>Jorge Alvez</t>
  </si>
  <si>
    <t>Presidente Camino de las Sierras</t>
  </si>
  <si>
    <t>Franco Suarez</t>
  </si>
  <si>
    <t>Intendente de Sampacho</t>
  </si>
  <si>
    <t>Jorge Carbelo</t>
  </si>
  <si>
    <t>Presidente Comunal de Media Naranja</t>
  </si>
  <si>
    <t>Elio Aguirre</t>
  </si>
  <si>
    <t>Presidente Comunal  Atahona</t>
  </si>
  <si>
    <t>Enrique Majul</t>
  </si>
  <si>
    <t>Decano de la Facultad de Medicina de la Universidad Católica de  Córdoba</t>
  </si>
  <si>
    <t>Hector Oviedo</t>
  </si>
  <si>
    <t>Presidente del Consejo de Médicos</t>
  </si>
  <si>
    <t>Jorge Mainguyague</t>
  </si>
  <si>
    <t>Secretario de la Junta Directiva del Consejo de  Médicos</t>
  </si>
  <si>
    <t xml:space="preserve">Secretario General de la Gobernación </t>
  </si>
  <si>
    <t>Presidenta Federación de Entidades Profesionales Universitarias de Córdoba (FEPUC)</t>
  </si>
  <si>
    <t>Asociación de Enfermería de Córdoba</t>
  </si>
  <si>
    <t>Maria José Verde</t>
  </si>
  <si>
    <t>Colegio Profesional de Kinesiólogos y Fisioterapeutas</t>
  </si>
  <si>
    <t>Maricel Bruno</t>
  </si>
  <si>
    <t>Colegio Profesional de producción de Bioimágenes</t>
  </si>
  <si>
    <t>Colegio Profesional de Odontólogos</t>
  </si>
  <si>
    <t>Asociación Civil de Terapistas Ocupacionales</t>
  </si>
  <si>
    <t>Pamela Lacombe</t>
  </si>
  <si>
    <t>Fonoaudiología</t>
  </si>
  <si>
    <t>Andrea Reched</t>
  </si>
  <si>
    <t>Carolina Carrizo</t>
  </si>
  <si>
    <t>Colegio Profesional en Servicio Social</t>
  </si>
  <si>
    <t>Federico Layun</t>
  </si>
  <si>
    <t>Colegio Veterinarios</t>
  </si>
  <si>
    <t>Silvia Ligorria</t>
  </si>
  <si>
    <t>Colegio de Bioquímicos</t>
  </si>
  <si>
    <t>Rosana Forcato</t>
  </si>
  <si>
    <t>Colegio de Nutricionistas</t>
  </si>
  <si>
    <t>Elizabeth Nahum</t>
  </si>
  <si>
    <t>Colegio de Psicólogos</t>
  </si>
  <si>
    <t>Ignacio Escuti</t>
  </si>
  <si>
    <t>Presidente de la Asociación de Clínicas, Sanatorios y Hospitales Privados de Córdoba (ACLISA)</t>
  </si>
  <si>
    <t>Zaida Charafedin</t>
  </si>
  <si>
    <t>Comisión Directiva SEP</t>
  </si>
  <si>
    <t>Oscar Doesserich</t>
  </si>
  <si>
    <t>Maria MArgarita Ferreyra</t>
  </si>
  <si>
    <t>Santiago Roco</t>
  </si>
  <si>
    <t>Representante de SEP</t>
  </si>
  <si>
    <t>Hector Morcillo</t>
  </si>
  <si>
    <t>Secretario General del Sindicato de Trabajadores de Industrias de la Alimen-tación (STIA).</t>
  </si>
  <si>
    <t>Rosana Fava</t>
  </si>
  <si>
    <t>Presidenta Comunal de Pacheco de Melo</t>
  </si>
  <si>
    <t>Elizabeth Diaz</t>
  </si>
  <si>
    <t>Intendenta de las Tapias</t>
  </si>
  <si>
    <t>Natalia De la Sota</t>
  </si>
  <si>
    <t>Diputada Nacional</t>
  </si>
  <si>
    <t>María Elisa Ottonello</t>
  </si>
  <si>
    <t>Sergio Metrebian</t>
  </si>
  <si>
    <t>Nicolas Zavalley</t>
  </si>
  <si>
    <t>Directora de Jurisdición de Epidemiología</t>
  </si>
  <si>
    <t>Elias Raboy</t>
  </si>
  <si>
    <t>Coordinador de Procesos y Mejora contínua de Epidemiología</t>
  </si>
  <si>
    <t>Eugenio Cecchetto</t>
  </si>
  <si>
    <t>Jefe de División Enfermedades Crónicas no Transmisibles</t>
  </si>
  <si>
    <t>Gonzalo Castro</t>
  </si>
  <si>
    <t>Laboratorio Central</t>
  </si>
  <si>
    <t>Tatiana Perez</t>
  </si>
  <si>
    <t>Coordinadora Red de Oncopediatría</t>
  </si>
  <si>
    <t>VeronicaPetri</t>
  </si>
  <si>
    <t>Directora Hospital de Niños de la Santísma Trindad</t>
  </si>
  <si>
    <t>Celina Castros</t>
  </si>
  <si>
    <t>Jefa de Servicio Hospital de Niños</t>
  </si>
  <si>
    <t>Oncólogo del Hospital de Niños de la Santísima Trinidad</t>
  </si>
  <si>
    <t>Juan Pablo Gaydou</t>
  </si>
  <si>
    <t>Director de Jurisdicción de Promoción y Articulacion de Programas</t>
  </si>
  <si>
    <t>Abril Trucchi</t>
  </si>
  <si>
    <t>Jefa de Auditorías Ambientales</t>
  </si>
  <si>
    <t xml:space="preserve">Secretario de Prevención y asistencia de las Adicciones </t>
  </si>
  <si>
    <t>Director de Escrituración de viviendas sociales</t>
  </si>
  <si>
    <t>Ministerio de Hábitad y Economía Familiar</t>
  </si>
  <si>
    <t>Juan Manuel Peralta</t>
  </si>
  <si>
    <t>Coordinador de Asuntos Legales</t>
  </si>
  <si>
    <t>Lucas Lerda</t>
  </si>
  <si>
    <t>Intendente de Sebastian Elcano</t>
  </si>
  <si>
    <t xml:space="preserve">Gabriela Parola </t>
  </si>
  <si>
    <t>Andres Wañasky</t>
  </si>
  <si>
    <t>Natalia Pedernera</t>
  </si>
  <si>
    <t>Senior Coach Ontológica Profesional</t>
  </si>
  <si>
    <t>Maria Fernanda Yrazola</t>
  </si>
  <si>
    <t>Presidenta Colegio de abogados de La Carlota</t>
  </si>
  <si>
    <t>Maria Ines Basiluk</t>
  </si>
  <si>
    <t xml:space="preserve">Secretaria </t>
  </si>
  <si>
    <t>Maria Claudia Viano</t>
  </si>
  <si>
    <t>Tesorera</t>
  </si>
  <si>
    <t>Carolina Ines Jung Massera</t>
  </si>
  <si>
    <t>Vocal Titular</t>
  </si>
  <si>
    <t>Mario Victor Irigo</t>
  </si>
  <si>
    <t>Ricardo Francisco Garello</t>
  </si>
  <si>
    <t>Maria Carla Belbuzzi</t>
  </si>
  <si>
    <t>Vocal Suplente</t>
  </si>
  <si>
    <t>Maria Silvina Segovia</t>
  </si>
  <si>
    <t>Diego Tejeda</t>
  </si>
  <si>
    <t>Presidente Comunal de la Localidad de Las Palmas</t>
  </si>
  <si>
    <t>Mauro Oviedo</t>
  </si>
  <si>
    <t>Presidente Comunal de la Localidad de Las Calles</t>
  </si>
  <si>
    <t>Horacio Salvai</t>
  </si>
  <si>
    <t>Intendente de la Localidad de Quebracho Herrado</t>
  </si>
  <si>
    <t>Presidenta de la Asociación Civil de Terapistas Ocupacionales (ACTOC)</t>
  </si>
  <si>
    <t>Sophie Carmagnac</t>
  </si>
  <si>
    <t>Secretaria de la Asociación Civil de Terapistas Ocupacionales (ACTOC)</t>
  </si>
  <si>
    <t>Laura Frutos</t>
  </si>
  <si>
    <t>Directora de la Carrera de Terapista Ocupacional de la Universidad Católica de Córdoba</t>
  </si>
  <si>
    <t>Damian Andrade</t>
  </si>
  <si>
    <t>Jefe de la Unidad de Quemados del Hospital Córdoba.</t>
  </si>
  <si>
    <t xml:space="preserve">Secretaria de Justicia </t>
  </si>
  <si>
    <t>Secretaria General del Tribunal Superior de Justicia</t>
  </si>
  <si>
    <t>Denise Lacoste</t>
  </si>
  <si>
    <t>Presidenta de la Fundación Dar Voz</t>
  </si>
  <si>
    <t>Guadalupe Varela</t>
  </si>
  <si>
    <t>Tesorera Fundación Dar Voz</t>
  </si>
  <si>
    <t>Soledad Lázaro</t>
  </si>
  <si>
    <t>Coordinadora del Area de Legales de la Fundación Dar Voz</t>
  </si>
  <si>
    <t>Norberto Magni</t>
  </si>
  <si>
    <t>Intendente de Colonia San Bartolomé</t>
  </si>
  <si>
    <t xml:space="preserve">Intendenta de Quilino </t>
  </si>
  <si>
    <t>Gustavo Zabaleta</t>
  </si>
  <si>
    <t>Director de SENASA Córdoba</t>
  </si>
  <si>
    <t>otros poderes</t>
  </si>
  <si>
    <t>Exequiel Ricci</t>
  </si>
  <si>
    <t>Jefe de Inspección de la Dirección de SENASA</t>
  </si>
  <si>
    <t>Rosario Raspa</t>
  </si>
  <si>
    <t>Área de Legales</t>
  </si>
  <si>
    <t xml:space="preserve">Director General de Fiscalización y Control </t>
  </si>
  <si>
    <t>Alejandro Boatti</t>
  </si>
  <si>
    <t>Director de Ganadería</t>
  </si>
  <si>
    <t>Decano de la Facultad de Ciencias de la Salud de la Universidad Católica de Córdoba</t>
  </si>
  <si>
    <t>Silvia Paredes</t>
  </si>
  <si>
    <t>Secretaria Académica del Instituto Académico Pedagógico de Ciencias Huma-nas de la Universidad Nacional de Villa María</t>
  </si>
  <si>
    <t>Presidenta de la Federación de Entidades Profesionales Universitarias de Córdoba (FEPUC).</t>
  </si>
  <si>
    <t>Intendente de lalocalidad de Miramar de Ansenuza</t>
  </si>
  <si>
    <t>apellido</t>
  </si>
  <si>
    <t>nombre</t>
  </si>
  <si>
    <t>masculino</t>
  </si>
  <si>
    <t>femenino</t>
  </si>
  <si>
    <t>dni</t>
  </si>
  <si>
    <t>bloque</t>
  </si>
  <si>
    <t>firma</t>
  </si>
  <si>
    <t>Giraldi</t>
  </si>
  <si>
    <t>Ramon Luis</t>
  </si>
  <si>
    <t>Hacemos por Córdoba</t>
  </si>
  <si>
    <t>Legislador Titular</t>
  </si>
  <si>
    <t>Carrillo</t>
  </si>
  <si>
    <t>Marisa Gladys</t>
  </si>
  <si>
    <t>Juntos - Unión Cívica Radical</t>
  </si>
  <si>
    <t>Piasco</t>
  </si>
  <si>
    <t>Alejandra Danila</t>
  </si>
  <si>
    <t>Carpintero</t>
  </si>
  <si>
    <t>Leandro Martín</t>
  </si>
  <si>
    <t>Castro</t>
  </si>
  <si>
    <t>Juan Carlos</t>
  </si>
  <si>
    <t>Legislador Suplente</t>
  </si>
  <si>
    <t>Agüero</t>
  </si>
  <si>
    <t>Noelia Beatriz</t>
  </si>
  <si>
    <t>Izquierda Socialista - FIT Unidad</t>
  </si>
  <si>
    <t>VOLUNTARIO</t>
  </si>
  <si>
    <t>NO FIRMA</t>
  </si>
  <si>
    <t>Villalba</t>
  </si>
  <si>
    <t>Laura Inés</t>
  </si>
  <si>
    <t>Salim</t>
  </si>
  <si>
    <t>Mónica Lorena</t>
  </si>
  <si>
    <t>Irazuzta</t>
  </si>
  <si>
    <t>Cecilia Cristina del Carmen</t>
  </si>
  <si>
    <t>Coalición Cívica ARI</t>
  </si>
  <si>
    <t>Pereyra</t>
  </si>
  <si>
    <t>Cristina Alicia</t>
  </si>
  <si>
    <t>Cid</t>
  </si>
  <si>
    <t>Juan Manuel</t>
  </si>
  <si>
    <t>Petrone</t>
  </si>
  <si>
    <t>María Andrea</t>
  </si>
  <si>
    <t>Grosso</t>
  </si>
  <si>
    <t>Gerardo José</t>
  </si>
  <si>
    <t>Encuentro Vecinal Córdoba</t>
  </si>
  <si>
    <t>Garade Panetta</t>
  </si>
  <si>
    <t>María Verónica</t>
  </si>
  <si>
    <t>Eslava</t>
  </si>
  <si>
    <t>María Emilia</t>
  </si>
  <si>
    <t>Gudiño</t>
  </si>
  <si>
    <t>Daniela Soledad</t>
  </si>
  <si>
    <t>Busso</t>
  </si>
  <si>
    <t>María Victoria</t>
  </si>
  <si>
    <t>Chamorro</t>
  </si>
  <si>
    <t>Matías Ezequiel</t>
  </si>
  <si>
    <t>Fortuna</t>
  </si>
  <si>
    <t>Francisco José</t>
  </si>
  <si>
    <t>Rinaldi</t>
  </si>
  <si>
    <t>Julieta</t>
  </si>
  <si>
    <t>Ambrosio</t>
  </si>
  <si>
    <t>Alberto Vicente</t>
  </si>
  <si>
    <t>Juntos por el Cambio</t>
  </si>
  <si>
    <t>Gustavo Alberto</t>
  </si>
  <si>
    <t>Viola</t>
  </si>
  <si>
    <t>Matías Marcelo</t>
  </si>
  <si>
    <t>Limia</t>
  </si>
  <si>
    <t>Luis Leonardo</t>
  </si>
  <si>
    <t>Scorza</t>
  </si>
  <si>
    <t>Adrián Rubén</t>
  </si>
  <si>
    <t>Marcone</t>
  </si>
  <si>
    <t>María Rosa</t>
  </si>
  <si>
    <t>De Ferrari Rueda</t>
  </si>
  <si>
    <t>Patricia</t>
  </si>
  <si>
    <t>Zorrilla</t>
  </si>
  <si>
    <t>Ricardo Alberto</t>
  </si>
  <si>
    <t>Blangino</t>
  </si>
  <si>
    <t>Juan José</t>
  </si>
  <si>
    <t>Kyshakevych</t>
  </si>
  <si>
    <t>Tania Anabel</t>
  </si>
  <si>
    <t>Mansilla</t>
  </si>
  <si>
    <t>Doris Fatima</t>
  </si>
  <si>
    <t>Ramallo</t>
  </si>
  <si>
    <t>Walter Andres</t>
  </si>
  <si>
    <t>Paleo</t>
  </si>
  <si>
    <t>Silvia Gabriela</t>
  </si>
  <si>
    <t>Ruíz</t>
  </si>
  <si>
    <t>Alejandro Antonio</t>
  </si>
  <si>
    <t>Abraham</t>
  </si>
  <si>
    <t>Liliana Noldy</t>
  </si>
  <si>
    <t>Guirardelli</t>
  </si>
  <si>
    <t>María Adela</t>
  </si>
  <si>
    <t>Fernández</t>
  </si>
  <si>
    <t>Nadia Vanesa</t>
  </si>
  <si>
    <t>Suárez</t>
  </si>
  <si>
    <t>Carmen Esther</t>
  </si>
  <si>
    <t>García</t>
  </si>
  <si>
    <t>Sara del Carmen</t>
  </si>
  <si>
    <t>Rossi</t>
  </si>
  <si>
    <t>Dante Valentín</t>
  </si>
  <si>
    <t>Majul</t>
  </si>
  <si>
    <t>Miguel Ángel</t>
  </si>
  <si>
    <t>Lencinas</t>
  </si>
  <si>
    <t>Luis Carlos</t>
  </si>
  <si>
    <t>Hak</t>
  </si>
  <si>
    <t>Diego Pablo</t>
  </si>
  <si>
    <t>Caffaratti</t>
  </si>
  <si>
    <t>María Elisa</t>
  </si>
  <si>
    <t>Echevarría</t>
  </si>
  <si>
    <t>Luciana Gabriela</t>
  </si>
  <si>
    <t>MST - Nueva Izquierda</t>
  </si>
  <si>
    <t>Serrano</t>
  </si>
  <si>
    <t>Patricio Eduardo</t>
  </si>
  <si>
    <t>Bañuelos</t>
  </si>
  <si>
    <t>Julio Alberto</t>
  </si>
  <si>
    <t>Caserio</t>
  </si>
  <si>
    <t>Mariana Alicia</t>
  </si>
  <si>
    <t>Identidad Peronista</t>
  </si>
  <si>
    <t>Martínez</t>
  </si>
  <si>
    <t>Herminia Natalia</t>
  </si>
  <si>
    <t>Lorenzo</t>
  </si>
  <si>
    <t>Carlos Mariano</t>
  </si>
  <si>
    <t>Cossar</t>
  </si>
  <si>
    <t>Marcelo Arnolfo</t>
  </si>
  <si>
    <t>Latimori</t>
  </si>
  <si>
    <t>Raúl Horacio</t>
  </si>
  <si>
    <t>Argañarás</t>
  </si>
  <si>
    <t>Iohana Carolina del Lujan</t>
  </si>
  <si>
    <t>Saieg</t>
  </si>
  <si>
    <t>Walter Eduardo</t>
  </si>
  <si>
    <t>Miranda</t>
  </si>
  <si>
    <t>Franco Diego</t>
  </si>
  <si>
    <t>Actas</t>
  </si>
  <si>
    <t>ACTAS FALTANTES</t>
  </si>
  <si>
    <t>VIDEOS FALTANTES</t>
  </si>
  <si>
    <t>TAQ FALTANTES</t>
  </si>
  <si>
    <t>Videos</t>
  </si>
  <si>
    <t>Taquigráficas</t>
  </si>
  <si>
    <t>acta</t>
  </si>
  <si>
    <t>comas</t>
  </si>
  <si>
    <t>COMISIÓN</t>
  </si>
  <si>
    <t>CANTIDAD DE LEYES TRATADAS (UNICAS)</t>
  </si>
  <si>
    <t>AÑO</t>
  </si>
  <si>
    <t>MODALIDAD</t>
  </si>
  <si>
    <t>FECHA</t>
  </si>
  <si>
    <t>CONJUNTA</t>
  </si>
  <si>
    <t>COMISIONES</t>
  </si>
  <si>
    <t>SEGUIMIENTO DE LA EMISIÓN DE TÍTULOS DE DEUDA</t>
  </si>
  <si>
    <t>Yessica Nadina Lincon</t>
  </si>
  <si>
    <t>Secretaria en la Cámara Civil y Comercial de 20° Nominación de la Ciudad de Córdoba</t>
  </si>
  <si>
    <t>Nadia Walther</t>
  </si>
  <si>
    <t>Prosecretaria y relatora en la Cámara Civil y Comercial de 8° Nominación de la Ciudad de Córdoba</t>
  </si>
  <si>
    <t>Nicolás Maina</t>
  </si>
  <si>
    <t>Secretario en la Cámara Civil y Comercial de 8° Nominación de la Ciudad de Córdoba</t>
  </si>
  <si>
    <t>Miguel Ángel Martínez Conti</t>
  </si>
  <si>
    <t>Juan Carlos Bertazzi</t>
  </si>
  <si>
    <t>Aquiles Julio Villalba</t>
  </si>
  <si>
    <t>Secretario de Juzgado en lo Civil y Comercial de la 1° Nominación</t>
  </si>
  <si>
    <t>Raúl Enrique Sánchez del Bianco</t>
  </si>
  <si>
    <t>Claudia  Bordoni</t>
  </si>
  <si>
    <t>Martin  Gutierrez</t>
  </si>
  <si>
    <t>Marcelo Nicolas Jaime</t>
  </si>
  <si>
    <t>Vocal de Cámara en la Cámara en lo Criminal y Correccional de 8°</t>
  </si>
  <si>
    <t>Juan Manuel Delgado</t>
  </si>
  <si>
    <t>Procurador del Tesoro de la Provincia de Córdoba</t>
  </si>
  <si>
    <t>Fiscalía de estado</t>
  </si>
  <si>
    <t>Fabian Lopez</t>
  </si>
  <si>
    <t>Representante de la Cámara de Industrializadores  de Granos y Productores de Biocombustibles de Origen</t>
  </si>
  <si>
    <t>Director de Escrituración  de Viviendas Sociales</t>
  </si>
  <si>
    <t>Erasmo Norberto María Almará</t>
  </si>
  <si>
    <t>Subdirector de Cooperadoras Escolares</t>
  </si>
  <si>
    <t>Juan Alejandro Burgos Martinez</t>
  </si>
  <si>
    <t>Coordinador General de la Defensoría de los Derechos de Niñas, Niños y Adolescentes</t>
  </si>
  <si>
    <t>Presidente del Consejo de Seguridad ( CO.SE.DE.PRO)</t>
  </si>
  <si>
    <t>Valeria Cecilia Guiguet</t>
  </si>
  <si>
    <t>Secretaria del Juzgado de 2° Nominación de la ciudad de Bell Ville</t>
  </si>
  <si>
    <t>Lucas Ramiro Funes</t>
  </si>
  <si>
    <t>Prosecretario en la Segunda Circunscripción Judicial en la ciudad de Huinca Renancó</t>
  </si>
  <si>
    <t>María Laura Luque Videla</t>
  </si>
  <si>
    <t>Secretaria en la Segunda Circunscripción Judicial en la ciudad de Río Cuarto</t>
  </si>
  <si>
    <t>Gerardo Sebastián Romero</t>
  </si>
  <si>
    <t>Fiscal de instrucción en Fiscalía de Lucha contra el Narcotráfico Turno 2</t>
  </si>
  <si>
    <t>Alfredo Fernando Villegas</t>
  </si>
  <si>
    <t>Fiscal en la Fiscalía del Distrito 2 Turno 5</t>
  </si>
  <si>
    <t>Nicolás Antonio Rins</t>
  </si>
  <si>
    <t>Director de la Sala de Derecho Procesal Pena del Colegio de Abogados de Río Cuarto</t>
  </si>
  <si>
    <t>Doctora y Magíster en Antropología Social y Licenciada en Historia  (CONICET)</t>
  </si>
  <si>
    <t>Representante de Asociacion 18 de Octubre -  Transportistas Autoconvocados</t>
  </si>
  <si>
    <t>Luis Edgard Belitzky</t>
  </si>
  <si>
    <t>Secretario de la Fiscalía de Cámaras de Familia</t>
  </si>
  <si>
    <t>Silvana del Carmen Asnal</t>
  </si>
  <si>
    <t>Secretaria de Cámara de la 2° Nominación de la 10°Circunscripción Judicial en la ciudad de Río Tercero</t>
  </si>
  <si>
    <t>Claudio Javier García Tomas</t>
  </si>
  <si>
    <t>Prosecretario en el Centro Judicial de Mediación de Río Cuarto</t>
  </si>
  <si>
    <t>Directora General de Médicos Sin Fronteras  para America del Sur</t>
  </si>
  <si>
    <t>Julio Markoni</t>
  </si>
  <si>
    <t>David  Urreta</t>
  </si>
  <si>
    <t>Director de la Sala de Derecho Procesal  del Trabajo en el Colegio de Abogados de Córdoba</t>
  </si>
  <si>
    <t>Directora de la Casa del Joven y Coordinadora del Programa Provincial de Prevención  y Asistencia a la Conducta Suicida</t>
  </si>
  <si>
    <t>Vicepresidenta del Comité de Equidad de Género de COOPERAR por FAESS SALUD</t>
  </si>
  <si>
    <t>Representante del Comité de Equidad de Género de COOPERAR por FAESS SALUD</t>
  </si>
  <si>
    <t>Representante del Comité de Equidad de Género de COOPERAR por FECOFE</t>
  </si>
  <si>
    <t>Representante del Comité de Equidad de Género de COOPERAR y Coordinadora Territorial de las Comisiones de Equidad de Género de CAM</t>
  </si>
  <si>
    <t>Representante del Comité de Equidad de Género de COOPERAR por la Subsecretaría de Cooperativas y Mutuales de la Provincia de Córdoba</t>
  </si>
  <si>
    <t>Consejera Titular Cooperar por IMFC representando al Comité de Equidad de Género de COOPERAR</t>
  </si>
  <si>
    <t>Liliana  Barbero</t>
  </si>
  <si>
    <t>Julio Comelo</t>
  </si>
  <si>
    <t>Santiago Hernán Moreno Douglas Price</t>
  </si>
  <si>
    <t>Juez Reemplazante del Juzgado de Conciliación de 5° Nominación,</t>
  </si>
  <si>
    <t>Pablo Martin Pecchio</t>
  </si>
  <si>
    <t>Secretario de Cámara en la Relatoría de la Sala Laboral</t>
  </si>
  <si>
    <t>Mario José Miranda</t>
  </si>
  <si>
    <t>Juez Reemplazante del Juzgado de Conciliación de 3° Nominación</t>
  </si>
  <si>
    <t>Ezequiel Rueda</t>
  </si>
  <si>
    <t>Abogado de Prevención</t>
  </si>
  <si>
    <t>Aseguradora de Riesgos de Trabajo</t>
  </si>
  <si>
    <t>Ileana Vanesa Benedito</t>
  </si>
  <si>
    <t>Secretaria del Juzgado Penal Juvenil de 3° Nominación</t>
  </si>
  <si>
    <t>Daniela Elizabeth Bianciotti</t>
  </si>
  <si>
    <t>Secretaria del Juzgado Penal Juvenil de 4° Nominación</t>
  </si>
  <si>
    <t>Hernán Lisandro Franco Papa</t>
  </si>
  <si>
    <t>Prosecretario de la Cámara de Acusación</t>
  </si>
  <si>
    <t>Mauricio Valentín Sanz</t>
  </si>
  <si>
    <t>Juez Reemplazante del Juzgado Penal Juvenil de 6° Nominación</t>
  </si>
  <si>
    <t>Presidente de COOPERAR Argentina y de la Alianza Internacional de  Cooperativas</t>
  </si>
  <si>
    <t>Juan Carlos Rodríguez</t>
  </si>
  <si>
    <t>Secretario de la Fiscalía de Instrucción de Río Segundo</t>
  </si>
  <si>
    <t>Verónica Marcela Beas</t>
  </si>
  <si>
    <t>Secretaria del Juzgado de Control, Niñez y Juventud, Penal, Juvenil y Faltas de Jesús María</t>
  </si>
  <si>
    <t>Lucas Dracich Loza</t>
  </si>
  <si>
    <t>Secretario del Juzgado del Fuero Concursal</t>
  </si>
  <si>
    <t>Andrea Belmaña Llorente</t>
  </si>
  <si>
    <t>Prosecretaria en el Fuero Societario y Concursal</t>
  </si>
  <si>
    <t>Mgtr. Gabriela Richard</t>
  </si>
  <si>
    <t>Especialista en Neurología, integrante del Centro de Estudios de Recursos en Salud del Consejo Médico de Córdoba</t>
  </si>
  <si>
    <t>Secretaria de impacto de OAJNU  Córdoba</t>
  </si>
  <si>
    <t>Representante Asociación de Profesionales de  Enfermería del sur de Cordoba</t>
  </si>
  <si>
    <t>Juan Pablo Díaz Bialet</t>
  </si>
  <si>
    <t>Patricia Marina Ledesma de Fuster</t>
  </si>
  <si>
    <t>Vocal de la Cámara del Trabajo, Sala 9°</t>
  </si>
  <si>
    <t>Gisela María Cafure</t>
  </si>
  <si>
    <t>Secretaria en el Juzgado de 31ª Nominación</t>
  </si>
  <si>
    <t>Griselda Esther Martínez</t>
  </si>
  <si>
    <t>Prosecretaria en el Juzgado Penal Juvenil</t>
  </si>
  <si>
    <t>María Mercedes Rodrigo</t>
  </si>
  <si>
    <t>Secretaria en el Juzgado Penal Juvenil</t>
  </si>
  <si>
    <t>Organizadora 1er. torneo Femenino de Futbol Regional de San Justo, DT. Club Sportivo Belgrano de  San Francisico</t>
  </si>
  <si>
    <t>Representante del Consejo Muncipal de la Mujer de San Francisco</t>
  </si>
  <si>
    <t>Director de Deportes de la Municipalidad de  San Francisco</t>
  </si>
  <si>
    <t>María Alejandra Noemí Sánchez Alfaro Ocampo</t>
  </si>
  <si>
    <t>Secretaria en el Juzgado Civil y Comercial 38° Nominación</t>
  </si>
  <si>
    <t>Alejandro Marcelo Fenoll</t>
  </si>
  <si>
    <t>Fiscal de Instrucción en la Fiscalía del Distrito 3 Turno 1</t>
  </si>
  <si>
    <t>María de los Milagros Gorgas</t>
  </si>
  <si>
    <t>Fiscal de Instrucción en la Fiscalía del Distrito 2 Turno 1</t>
  </si>
  <si>
    <t>Omar  Horta</t>
  </si>
  <si>
    <t>Consejo Deliberante de Villa General Belgrano</t>
  </si>
  <si>
    <t>Gustavo Alfredo Dalma</t>
  </si>
  <si>
    <t>Fiscal de Instrucción de la Fiscalía del Distrito 1 Turno 5</t>
  </si>
  <si>
    <t>María Lurdes de la Puerta</t>
  </si>
  <si>
    <t>Jueza Reemplazante de Control y Ninez en Deán Funes</t>
  </si>
  <si>
    <t>María Victoria Cavagnaro</t>
  </si>
  <si>
    <t>Coordinadora del Centro Judicial de Mediación de Río Cuarto</t>
  </si>
  <si>
    <t>Docente e investigadora de la Escuela de Graduados de la Facultad de  Ciencias Económicas</t>
  </si>
  <si>
    <t>Teresa Gamero</t>
  </si>
  <si>
    <t>Secretaria del Juzgado de Violencia</t>
  </si>
  <si>
    <t>Noelia Azcona</t>
  </si>
  <si>
    <t>Funcionaria de la Asesoría Letrada N°1</t>
  </si>
  <si>
    <t>Maria Belen Vidal</t>
  </si>
  <si>
    <t>Secretaria del Juzgado de Niñez, Juventud y Violencia Familiar y Penal Juvenil de Villa Dolores</t>
  </si>
  <si>
    <t>Presidente de la Comisión de Organizaciones Sociales del Consejo Profesional de Ciencias Económicas de Córdoba</t>
  </si>
  <si>
    <t>Heber Farfan</t>
  </si>
  <si>
    <t>Cristian  Gervasini</t>
  </si>
  <si>
    <t>Fabían Lopez</t>
  </si>
  <si>
    <t>Fernando López Villagra</t>
  </si>
  <si>
    <t>Fiscal de Instrucción en la Fiscalía de Instrucción Distrito 3 Turno 3</t>
  </si>
  <si>
    <t>Lourdes Rafaela Quagliatti</t>
  </si>
  <si>
    <t>Prosecretaria en la Fiscalía de Instrucción Distrito Dos, Turno 1</t>
  </si>
  <si>
    <t>Gastón Marra</t>
  </si>
  <si>
    <t>Representante del Movimiento Ciudadano FichaLlimpia</t>
  </si>
  <si>
    <t>Cristina Girotti</t>
  </si>
  <si>
    <t>Docente e investigadora en la Universidad de Buenos Aires</t>
  </si>
  <si>
    <t>Andrés Rubén Godoy</t>
  </si>
  <si>
    <t>Fiscal de Instrucción en la Fiscalia deInstrucción Subrrogante</t>
  </si>
  <si>
    <t>María Celeste Blasco</t>
  </si>
  <si>
    <t>Secretaria de la Fiscalía General</t>
  </si>
  <si>
    <t>María Florencia Espósito</t>
  </si>
  <si>
    <t>Ayudante Fiscal en Fiscalía adjunta - Fiscalía General</t>
  </si>
  <si>
    <t>Daniela Karina Maluf</t>
  </si>
  <si>
    <t>Prosecretaria en Fiscalía adjunta - Fiscalía General</t>
  </si>
  <si>
    <t>María Silvana Fernández</t>
  </si>
  <si>
    <t>Secretaria de Juzgado de Primera Instancia, Dirección de sumarios y asuntos judiciales</t>
  </si>
  <si>
    <t xml:space="preserve">Dirección General del Poder Judicial </t>
  </si>
  <si>
    <t>Paulina Lingua</t>
  </si>
  <si>
    <t>Ayudante Fiscal, Unidad Judicial Lucha contra el Narcotráfico</t>
  </si>
  <si>
    <t>Presidente de la Cámara de Industrias Informáticas, Electrónicas y de Comunicaciones del Centro de Argentina (CIIECCA)</t>
  </si>
  <si>
    <t>Franco Daniel de Jesús Pilnik Erramouspe</t>
  </si>
  <si>
    <t>Fiscal de Instrucción Reemplazante de la Fiscalía de Instrucción especializada en Cibercrimen</t>
  </si>
  <si>
    <t>Luis Fernando Micheli</t>
  </si>
  <si>
    <t>Director de Investigación Operativa de Policia Judicial</t>
  </si>
  <si>
    <t>Virginia Liendo</t>
  </si>
  <si>
    <t>Prosecretaria Letrada en la Oficina de Penados y Medidas de Seguridad</t>
  </si>
  <si>
    <t>Diego Ortiz</t>
  </si>
  <si>
    <t>Asesor Letrado Penal de 16° Turno</t>
  </si>
  <si>
    <t>Bruno Javier Bonafina</t>
  </si>
  <si>
    <t>Secretario Letrado en la Fiscalía 1 en Villa Dolores</t>
  </si>
  <si>
    <t>Sebastián Ignacio Moro</t>
  </si>
  <si>
    <t>Secretario de la Cámara del Crimen en Laboulaye</t>
  </si>
  <si>
    <t>Sergio Ariel Ponce</t>
  </si>
  <si>
    <t>Juez de Control y Faltas reemplazante en el Juzgado de Control, perteneciente a la Sexta Circunscripción Judicial</t>
  </si>
  <si>
    <t>Ramiro José Núñez</t>
  </si>
  <si>
    <t>Asesor Letrado de Niñez, Juventud y Violencia Familiar y Género 4° Turno</t>
  </si>
  <si>
    <t>Fabricio Girardi</t>
  </si>
  <si>
    <t>Secretario en el Juzgado de Control, perteneciente a la Quinta Circunscripción Judicial</t>
  </si>
  <si>
    <t>Joaquín Gómez Miralles</t>
  </si>
  <si>
    <t>Prosecretario de Ejecución Penal</t>
  </si>
  <si>
    <t>Carlos Enrique Palacio Laje</t>
  </si>
  <si>
    <t xml:space="preserve">Asesor Letrado Penal de 17° Turno </t>
  </si>
  <si>
    <t>María Gabriela Rojas Moresi</t>
  </si>
  <si>
    <t>Fiscal reemplazante en la Fiscalia de Cámara en lo Criminal y Correccional de 5° Nominación</t>
  </si>
  <si>
    <t>Juan Fernando Ávila Echenique</t>
  </si>
  <si>
    <t>Asesor Letrado en la Subsecretaría de Gobierno de la Municipalidad de Córdoba</t>
  </si>
  <si>
    <t>Secretaría de Gobierno de la Municipalidad de Córdoba</t>
  </si>
  <si>
    <t>Sofía Andrea Keselman Procúpez</t>
  </si>
  <si>
    <t>Jueza de Conciliación de Primera Nominación de la Primera Circunscripción Judicial en la ciudad de Córdoba</t>
  </si>
  <si>
    <t>Juan Facundo Quiroga Contreras</t>
  </si>
  <si>
    <t>Juez de Conciliación de Segunda Nominación de la Primera Circunscripción Judicial en la ciudad de Córdoba</t>
  </si>
  <si>
    <t>Gustavo Daniel Toledo</t>
  </si>
  <si>
    <t>Juez de Conciliación de Novena Nominación de la Primera Circunscripción Judicial en la ciudad de Córdoba</t>
  </si>
  <si>
    <t>Leonardo Oscar L’Argentiere</t>
  </si>
  <si>
    <t>María Carolina Adela Fathala Trossero</t>
  </si>
  <si>
    <t>Secretaria de Juzgado de Sala 1, Cámara del Trabajo</t>
  </si>
  <si>
    <t>María Cecilia Busleiman</t>
  </si>
  <si>
    <t>Secretaria de Juzgado de Sala 6, Cámara del Trabajo</t>
  </si>
  <si>
    <t>Ricardo León Chercoles</t>
  </si>
  <si>
    <t>Dr. Alfredo Magallanes</t>
  </si>
  <si>
    <t>Dr. Cristian Heredia</t>
  </si>
  <si>
    <t>https://gld.legislaturacba.gob.ar/_cdd/api/Documento/descargar?guid=a32b74b2-9568-4bf5-aaa3-6eb7355557f9&amp;token=7qy3vtSWKzk9vccMtvmng4rDWeucAYQfsnTDFc80Xfe6DJf8H7yatt-fY3lqr33ULl881iW5pm0Ysb75jIq-qaL-BUGfkbyp-gUDVF7TrhtqSyrgRbVt65bdSq28itObybcl7yiRHUlrjCjwN5K7m_zrf4wI6g4-ELX3YQmRQfTO0jSZvsmcpzC9s8-jptCqWn79RpQVDmO3Ao3TnPuliJt92-TjU4LlWn3cQtTwo0w_o6ZWsSlWcwyaTO_AEtjF</t>
  </si>
  <si>
    <t>https://gld.legislaturacba.gob.ar/Publics/Actas.aspx?id=t3jwDPVNWPw=</t>
  </si>
  <si>
    <t>https://gld.legislaturacba.gob.ar/Publics/Actas.aspx?id=Bd-6M0lAFxs=; https://gld.legislaturacba.gob.ar/Publics/Actas.aspx?id=wP8ZME6dJq4=</t>
  </si>
  <si>
    <t>https://gld.legislaturacba.gob.ar/Publics/Actas.aspx?id=0HcFrWV60V8=;https://gld.legislaturacba.gob.ar/Publics/Actas.aspx?id=G85LIR8nKfE=</t>
  </si>
  <si>
    <t>https://gld.legislaturacba.gob.ar/Publics/Actas.aspx?id=AZdOa1F8qoE=</t>
  </si>
  <si>
    <t>https://gld.legislaturacba.gob.ar/Publics/Actas.aspx?id=hdvyaDILPRk=</t>
  </si>
  <si>
    <t>https://gld.legislaturacba.gob.ar/Publics/Actas.aspx?id=ilSFuWzr54c=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</si>
</sst>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quot;/&quot;mm&quot;/&quot;yyyy"/>
  </numFmts>
  <fonts count="30">
    <font>
      <sz val="10"/>
      <color rgb="FF000000"/>
      <name val="Arial"/>
      <scheme val="minor"/>
    </font>
    <font>
      <sz val="10"/>
      <color theme="1"/>
      <name val="Arial"/>
    </font>
    <font>
      <sz val="10"/>
      <color theme="1"/>
      <name val="Arial"/>
      <scheme val="minor"/>
    </font>
    <font>
      <sz val="10"/>
      <color rgb="FF000000"/>
      <name val="Arial"/>
    </font>
    <font>
      <sz val="10"/>
      <color rgb="FF000000"/>
      <name val="Arial"/>
      <scheme val="minor"/>
    </font>
    <font>
      <u/>
      <sz val="10"/>
      <color rgb="FF0000FF"/>
      <name val="Arial"/>
    </font>
    <font>
      <u/>
      <sz val="10"/>
      <color rgb="FF0000FF"/>
      <name val="Arial"/>
    </font>
    <font>
      <u/>
      <sz val="10"/>
      <color rgb="FF0000FF"/>
      <name val="Arial"/>
    </font>
    <font>
      <u/>
      <sz val="10"/>
      <color rgb="FF0000FF"/>
      <name val="Arial"/>
    </font>
    <font>
      <sz val="10"/>
      <name val="Arial"/>
    </font>
    <font>
      <sz val="10"/>
      <color rgb="FF000000"/>
      <name val="Roboto"/>
    </font>
    <font>
      <u/>
      <sz val="10"/>
      <color rgb="FF0000FF"/>
      <name val="Arial"/>
    </font>
    <font>
      <sz val="10"/>
      <color rgb="FF0000FF"/>
      <name val="Arial"/>
    </font>
    <font>
      <u/>
      <sz val="10"/>
      <color rgb="FF1155CC"/>
      <name val="Arial"/>
    </font>
    <font>
      <u/>
      <sz val="10"/>
      <color rgb="FF1155CC"/>
      <name val="Arial"/>
    </font>
    <font>
      <u/>
      <sz val="10"/>
      <color rgb="FF0000FF"/>
      <name val="Arial"/>
    </font>
    <font>
      <sz val="10"/>
      <color rgb="FF000000"/>
      <name val="Arial"/>
    </font>
    <font>
      <u/>
      <sz val="10"/>
      <color rgb="FF1155CC"/>
      <name val="Arial"/>
    </font>
    <font>
      <u/>
      <sz val="10"/>
      <color rgb="FF1155CC"/>
      <name val="Arial"/>
      <scheme val="minor"/>
    </font>
    <font>
      <u/>
      <sz val="10"/>
      <color rgb="FF1155CC"/>
      <name val="Arial"/>
      <scheme val="minor"/>
    </font>
    <font>
      <u/>
      <sz val="10"/>
      <color rgb="FF0000FF"/>
      <name val="Arial"/>
    </font>
    <font>
      <u/>
      <sz val="10"/>
      <color rgb="FF0000FF"/>
      <name val="Arial"/>
    </font>
    <font>
      <u/>
      <sz val="10"/>
      <color rgb="FF1155CC"/>
      <name val="Arial"/>
    </font>
    <font>
      <sz val="10"/>
      <color theme="1"/>
      <name val="Arial"/>
    </font>
    <font>
      <sz val="10"/>
      <color rgb="FF000000"/>
      <name val="Arial"/>
    </font>
    <font>
      <sz val="10"/>
      <color theme="1"/>
      <name val="Roboto"/>
    </font>
    <font>
      <sz val="11"/>
      <color theme="1"/>
      <name val="Calibri"/>
    </font>
    <font>
      <u/>
      <sz val="10"/>
      <color rgb="FF0000FF"/>
      <name val="Arial"/>
    </font>
    <font>
      <u/>
      <sz val="10"/>
      <color rgb="FF0000FF"/>
      <name val="Arial"/>
    </font>
    <font>
      <u/>
      <sz val="10"/>
      <color theme="10"/>
      <name val="Arial"/>
      <scheme val="minor"/>
    </font>
  </fonts>
  <fills count="8">
    <fill>
      <patternFill patternType="none"/>
    </fill>
    <fill>
      <patternFill patternType="gray125"/>
    </fill>
    <fill>
      <patternFill patternType="solid">
        <fgColor rgb="FFFFFFFF"/>
        <bgColor rgb="FFFFFFFF"/>
      </patternFill>
    </fill>
    <fill>
      <patternFill patternType="solid">
        <fgColor rgb="FFF7CB4D"/>
        <bgColor rgb="FFF7CB4D"/>
      </patternFill>
    </fill>
    <fill>
      <patternFill patternType="solid">
        <fgColor rgb="FFFEF8E3"/>
        <bgColor rgb="FFFEF8E3"/>
      </patternFill>
    </fill>
    <fill>
      <patternFill patternType="solid">
        <fgColor rgb="FFFF9900"/>
        <bgColor rgb="FFFF9900"/>
      </patternFill>
    </fill>
    <fill>
      <patternFill patternType="solid">
        <fgColor rgb="FFFF0000"/>
        <bgColor rgb="FFFF0000"/>
      </patternFill>
    </fill>
    <fill>
      <patternFill patternType="solid">
        <fgColor rgb="FFFFF2CC"/>
        <bgColor rgb="FFFFF2CC"/>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29" fillId="0" borderId="0" applyNumberFormat="0" applyFill="0" applyBorder="0" applyAlignment="0" applyProtection="0"/>
  </cellStyleXfs>
  <cellXfs count="151">
    <xf numFmtId="0" fontId="0" fillId="0" borderId="0" xfId="0" applyFont="1" applyAlignment="1"/>
    <xf numFmtId="0" fontId="1" fillId="0" borderId="0" xfId="0" applyFont="1" applyAlignment="1"/>
    <xf numFmtId="14" fontId="1" fillId="0" borderId="0" xfId="0" applyNumberFormat="1" applyFont="1" applyAlignment="1"/>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horizontal="left"/>
    </xf>
    <xf numFmtId="0" fontId="1" fillId="0" borderId="0" xfId="0" applyFont="1" applyAlignment="1"/>
    <xf numFmtId="0" fontId="2" fillId="0" borderId="0" xfId="0" applyFont="1"/>
    <xf numFmtId="0" fontId="2"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14"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left"/>
    </xf>
    <xf numFmtId="0" fontId="1"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0" fontId="2" fillId="0" borderId="0" xfId="0" applyFont="1"/>
    <xf numFmtId="0" fontId="2" fillId="0" borderId="0" xfId="0" applyFont="1" applyAlignment="1"/>
    <xf numFmtId="0" fontId="1" fillId="0" borderId="0" xfId="0" applyFont="1" applyAlignment="1">
      <alignment horizontal="left"/>
    </xf>
    <xf numFmtId="0" fontId="3" fillId="0" borderId="0" xfId="0" applyFont="1" applyAlignment="1"/>
    <xf numFmtId="0" fontId="2" fillId="0" borderId="0" xfId="0" applyFont="1" applyAlignment="1"/>
    <xf numFmtId="0" fontId="1" fillId="0" borderId="0" xfId="0" applyFont="1" applyAlignment="1">
      <alignment horizontal="left"/>
    </xf>
    <xf numFmtId="0" fontId="4" fillId="0" borderId="0" xfId="0" applyFont="1" applyAlignment="1"/>
    <xf numFmtId="0" fontId="1" fillId="0" borderId="0" xfId="0" applyFont="1" applyAlignment="1"/>
    <xf numFmtId="0" fontId="5" fillId="0" borderId="0" xfId="0" applyFont="1"/>
    <xf numFmtId="0" fontId="6" fillId="0" borderId="0" xfId="0" applyFont="1" applyAlignment="1"/>
    <xf numFmtId="0" fontId="3" fillId="0" borderId="0" xfId="0" applyFont="1" applyAlignment="1"/>
    <xf numFmtId="0" fontId="1" fillId="0" borderId="0" xfId="0" applyFont="1" applyAlignment="1">
      <alignment horizontal="left"/>
    </xf>
    <xf numFmtId="0" fontId="7" fillId="0" borderId="0" xfId="0" applyFont="1" applyAlignment="1"/>
    <xf numFmtId="0" fontId="8" fillId="0" borderId="0" xfId="0" applyFont="1" applyAlignment="1">
      <alignment horizontal="left"/>
    </xf>
    <xf numFmtId="0" fontId="9" fillId="0" borderId="0" xfId="0" applyFont="1" applyAlignment="1"/>
    <xf numFmtId="0" fontId="10" fillId="2" borderId="0" xfId="0" applyFont="1" applyFill="1" applyAlignment="1"/>
    <xf numFmtId="0" fontId="2" fillId="0" borderId="0" xfId="0" applyFont="1" applyAlignment="1">
      <alignment horizontal="left"/>
    </xf>
    <xf numFmtId="0" fontId="2" fillId="0" borderId="0" xfId="0" applyFont="1" applyAlignment="1">
      <alignment horizontal="left"/>
    </xf>
    <xf numFmtId="0" fontId="11" fillId="0" borderId="0" xfId="0" applyFont="1" applyAlignment="1"/>
    <xf numFmtId="0" fontId="12" fillId="0" borderId="0" xfId="0" applyFont="1" applyAlignment="1"/>
    <xf numFmtId="0" fontId="2" fillId="0" borderId="0" xfId="0" applyFont="1" applyAlignment="1">
      <alignment horizontal="left"/>
    </xf>
    <xf numFmtId="0" fontId="1" fillId="0" borderId="0" xfId="0" applyFont="1" applyAlignment="1">
      <alignment horizontal="right"/>
    </xf>
    <xf numFmtId="14" fontId="1" fillId="0" borderId="0" xfId="0" applyNumberFormat="1" applyFont="1" applyAlignment="1">
      <alignment horizontal="right"/>
    </xf>
    <xf numFmtId="0" fontId="13" fillId="0" borderId="0" xfId="0" applyFont="1" applyAlignment="1"/>
    <xf numFmtId="0" fontId="14" fillId="0" borderId="0" xfId="0" applyFont="1" applyAlignment="1"/>
    <xf numFmtId="0" fontId="2" fillId="0" borderId="0" xfId="0" applyFont="1" applyAlignment="1"/>
    <xf numFmtId="49" fontId="2" fillId="0" borderId="0" xfId="0" applyNumberFormat="1" applyFont="1" applyAlignment="1">
      <alignment horizontal="left"/>
    </xf>
    <xf numFmtId="0" fontId="15" fillId="0" borderId="0" xfId="0" applyFont="1" applyAlignment="1"/>
    <xf numFmtId="164" fontId="1" fillId="0" borderId="0" xfId="0" applyNumberFormat="1" applyFont="1" applyAlignment="1">
      <alignment horizontal="right"/>
    </xf>
    <xf numFmtId="0" fontId="4"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xf numFmtId="0" fontId="2" fillId="0" borderId="0" xfId="0" applyFont="1" applyAlignment="1"/>
    <xf numFmtId="0" fontId="4" fillId="0" borderId="0" xfId="0" applyFont="1" applyAlignment="1"/>
    <xf numFmtId="0" fontId="20" fillId="0" borderId="0" xfId="0" applyFont="1" applyAlignment="1"/>
    <xf numFmtId="0" fontId="21" fillId="0" borderId="0" xfId="0" applyFont="1" applyAlignment="1"/>
    <xf numFmtId="0" fontId="3" fillId="0" borderId="0" xfId="0" applyFont="1" applyAlignment="1"/>
    <xf numFmtId="14" fontId="1" fillId="0" borderId="0" xfId="0" applyNumberFormat="1" applyFont="1" applyAlignment="1">
      <alignment horizontal="right"/>
    </xf>
    <xf numFmtId="0" fontId="4" fillId="0" borderId="0" xfId="0" applyFont="1" applyAlignment="1"/>
    <xf numFmtId="0" fontId="4" fillId="0" borderId="0" xfId="0" applyFont="1" applyAlignment="1"/>
    <xf numFmtId="0" fontId="2" fillId="2" borderId="0" xfId="0" applyFont="1" applyFill="1" applyAlignment="1"/>
    <xf numFmtId="0" fontId="22" fillId="0" borderId="0" xfId="0" applyFont="1" applyAlignment="1">
      <alignment horizontal="left"/>
    </xf>
    <xf numFmtId="0" fontId="2" fillId="0" borderId="0" xfId="0" applyFont="1" applyAlignment="1">
      <alignment horizontal="right" vertical="center" wrapText="1"/>
    </xf>
    <xf numFmtId="0" fontId="2" fillId="0" borderId="0" xfId="0" applyFont="1" applyAlignment="1">
      <alignment horizontal="left" vertical="center"/>
    </xf>
    <xf numFmtId="165"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right"/>
    </xf>
    <xf numFmtId="164" fontId="1" fillId="0" borderId="0" xfId="0" applyNumberFormat="1" applyFont="1" applyAlignment="1">
      <alignment horizontal="left"/>
    </xf>
    <xf numFmtId="165" fontId="1" fillId="0" borderId="0" xfId="0" applyNumberFormat="1" applyFont="1" applyAlignment="1">
      <alignment horizontal="right"/>
    </xf>
    <xf numFmtId="0" fontId="1" fillId="0" borderId="0" xfId="0" applyFont="1" applyAlignment="1"/>
    <xf numFmtId="0" fontId="16" fillId="0" borderId="0" xfId="0" applyFont="1" applyAlignment="1">
      <alignment horizontal="left"/>
    </xf>
    <xf numFmtId="0" fontId="1" fillId="0" borderId="0" xfId="0" applyFont="1" applyAlignment="1"/>
    <xf numFmtId="0" fontId="1" fillId="0" borderId="0" xfId="0" applyFont="1" applyAlignment="1"/>
    <xf numFmtId="0" fontId="1" fillId="0" borderId="0" xfId="0" applyFont="1"/>
    <xf numFmtId="164" fontId="1" fillId="0" borderId="0" xfId="0" applyNumberFormat="1" applyFont="1" applyAlignment="1">
      <alignment horizontal="left"/>
    </xf>
    <xf numFmtId="0" fontId="1" fillId="0" borderId="0" xfId="0" applyFont="1" applyAlignment="1">
      <alignment horizontal="right"/>
    </xf>
    <xf numFmtId="0" fontId="10" fillId="0" borderId="0" xfId="0" applyFont="1" applyAlignment="1"/>
    <xf numFmtId="165" fontId="1" fillId="0" borderId="0" xfId="0" applyNumberFormat="1" applyFont="1" applyAlignment="1">
      <alignment horizontal="right"/>
    </xf>
    <xf numFmtId="0" fontId="23" fillId="0" borderId="0" xfId="0" applyFont="1" applyAlignment="1">
      <alignment horizontal="right"/>
    </xf>
    <xf numFmtId="0" fontId="23" fillId="0" borderId="0" xfId="0" applyFont="1" applyAlignment="1">
      <alignment horizontal="right"/>
    </xf>
    <xf numFmtId="164" fontId="23" fillId="0" borderId="0" xfId="0" applyNumberFormat="1" applyFont="1" applyAlignment="1">
      <alignment horizontal="left"/>
    </xf>
    <xf numFmtId="165" fontId="23" fillId="0" borderId="0" xfId="0" applyNumberFormat="1" applyFont="1" applyAlignment="1">
      <alignment horizontal="right"/>
    </xf>
    <xf numFmtId="0" fontId="24" fillId="0" borderId="0" xfId="0" applyFont="1" applyAlignment="1"/>
    <xf numFmtId="0" fontId="23" fillId="0" borderId="0" xfId="0" applyFont="1" applyAlignment="1"/>
    <xf numFmtId="0" fontId="1" fillId="0" borderId="0" xfId="0" applyFont="1" applyAlignment="1">
      <alignment horizontal="left"/>
    </xf>
    <xf numFmtId="0" fontId="1" fillId="0" borderId="0" xfId="0" applyFont="1" applyAlignment="1">
      <alignment horizontal="left"/>
    </xf>
    <xf numFmtId="165" fontId="1" fillId="0" borderId="0" xfId="0" applyNumberFormat="1" applyFont="1" applyAlignment="1">
      <alignment horizontal="right"/>
    </xf>
    <xf numFmtId="0" fontId="25" fillId="0" borderId="0" xfId="0" applyFont="1" applyAlignment="1"/>
    <xf numFmtId="0" fontId="25" fillId="0" borderId="0" xfId="0" applyFont="1" applyAlignment="1"/>
    <xf numFmtId="0" fontId="1" fillId="0" borderId="0" xfId="0" applyFont="1" applyAlignment="1">
      <alignment horizontal="right"/>
    </xf>
    <xf numFmtId="0" fontId="26" fillId="0" borderId="0" xfId="0" applyFont="1" applyAlignment="1"/>
    <xf numFmtId="0" fontId="26" fillId="0" borderId="0" xfId="0" applyFont="1" applyAlignment="1">
      <alignment horizontal="center"/>
    </xf>
    <xf numFmtId="165" fontId="1" fillId="0" borderId="0" xfId="0" applyNumberFormat="1" applyFont="1" applyAlignment="1">
      <alignment horizontal="right"/>
    </xf>
    <xf numFmtId="14" fontId="2" fillId="0" borderId="0" xfId="0" applyNumberFormat="1" applyFont="1"/>
    <xf numFmtId="0" fontId="2" fillId="0" borderId="0" xfId="0" applyFont="1" applyAlignment="1"/>
    <xf numFmtId="0" fontId="2" fillId="0" borderId="0" xfId="0" applyFont="1" applyAlignment="1"/>
    <xf numFmtId="3" fontId="2" fillId="0" borderId="0" xfId="0" applyNumberFormat="1" applyFont="1"/>
    <xf numFmtId="0" fontId="2" fillId="0" borderId="1" xfId="0" applyFont="1" applyBorder="1" applyAlignment="1"/>
    <xf numFmtId="0" fontId="2" fillId="0" borderId="2" xfId="0" applyFont="1" applyBorder="1"/>
    <xf numFmtId="0" fontId="2" fillId="0" borderId="2" xfId="0" applyFont="1" applyBorder="1" applyAlignment="1"/>
    <xf numFmtId="0" fontId="2" fillId="0" borderId="3" xfId="0" applyFont="1" applyBorder="1" applyAlignment="1"/>
    <xf numFmtId="0" fontId="2" fillId="0" borderId="4" xfId="0" applyFont="1" applyBorder="1"/>
    <xf numFmtId="0" fontId="2" fillId="0" borderId="5" xfId="0" applyFont="1" applyBorder="1" applyAlignment="1"/>
    <xf numFmtId="164" fontId="2" fillId="0" borderId="0" xfId="0" applyNumberFormat="1" applyFont="1"/>
    <xf numFmtId="0" fontId="27" fillId="0" borderId="0" xfId="0" applyFont="1" applyAlignment="1"/>
    <xf numFmtId="14" fontId="2" fillId="0" borderId="0" xfId="0" applyNumberFormat="1" applyFont="1"/>
    <xf numFmtId="0" fontId="2" fillId="0" borderId="6" xfId="0" applyFont="1" applyBorder="1"/>
    <xf numFmtId="0" fontId="2" fillId="0" borderId="7" xfId="0" applyFont="1" applyBorder="1"/>
    <xf numFmtId="0" fontId="2" fillId="0" borderId="7" xfId="0" applyFont="1" applyBorder="1" applyAlignment="1"/>
    <xf numFmtId="0" fontId="2" fillId="0" borderId="8" xfId="0" applyFont="1" applyBorder="1" applyAlignment="1"/>
    <xf numFmtId="0" fontId="28" fillId="0" borderId="0" xfId="0" applyFont="1"/>
    <xf numFmtId="49" fontId="2" fillId="0" borderId="0" xfId="0" applyNumberFormat="1" applyFont="1"/>
    <xf numFmtId="0" fontId="2" fillId="3" borderId="9" xfId="0" applyFont="1" applyFill="1" applyBorder="1" applyAlignment="1"/>
    <xf numFmtId="0" fontId="2" fillId="3" borderId="10" xfId="0" applyFont="1" applyFill="1" applyBorder="1" applyAlignment="1">
      <alignment horizontal="center"/>
    </xf>
    <xf numFmtId="0" fontId="2" fillId="2" borderId="0" xfId="0" applyFont="1" applyFill="1"/>
    <xf numFmtId="0" fontId="2" fillId="2" borderId="0" xfId="0" applyFont="1" applyFill="1" applyAlignment="1">
      <alignment horizontal="center"/>
    </xf>
    <xf numFmtId="14" fontId="2" fillId="2" borderId="0" xfId="0" applyNumberFormat="1" applyFont="1" applyFill="1" applyAlignment="1">
      <alignment horizontal="center"/>
    </xf>
    <xf numFmtId="0" fontId="2" fillId="2" borderId="0" xfId="0" applyFont="1" applyFill="1" applyAlignment="1">
      <alignment horizontal="left"/>
    </xf>
    <xf numFmtId="0" fontId="2" fillId="4" borderId="0" xfId="0" applyFont="1" applyFill="1"/>
    <xf numFmtId="0" fontId="2" fillId="4" borderId="0" xfId="0" applyFont="1" applyFill="1" applyAlignment="1">
      <alignment horizontal="center"/>
    </xf>
    <xf numFmtId="14" fontId="2" fillId="4" borderId="0" xfId="0" applyNumberFormat="1" applyFont="1" applyFill="1" applyAlignment="1">
      <alignment horizontal="center"/>
    </xf>
    <xf numFmtId="0" fontId="2" fillId="4" borderId="0" xfId="0" applyFont="1" applyFill="1" applyAlignment="1">
      <alignment horizontal="left"/>
    </xf>
    <xf numFmtId="14" fontId="2" fillId="2" borderId="0" xfId="0" applyNumberFormat="1" applyFont="1" applyFill="1" applyAlignment="1">
      <alignment horizontal="center"/>
    </xf>
    <xf numFmtId="14" fontId="2" fillId="5" borderId="0" xfId="0" applyNumberFormat="1" applyFont="1" applyFill="1" applyAlignment="1">
      <alignment horizontal="center"/>
    </xf>
    <xf numFmtId="0" fontId="2" fillId="6" borderId="0" xfId="0" applyFont="1" applyFill="1"/>
    <xf numFmtId="0" fontId="2" fillId="6" borderId="0" xfId="0" applyFont="1" applyFill="1" applyAlignment="1">
      <alignment horizontal="center"/>
    </xf>
    <xf numFmtId="14" fontId="2" fillId="6" borderId="0" xfId="0" applyNumberFormat="1" applyFont="1" applyFill="1" applyAlignment="1">
      <alignment horizontal="center"/>
    </xf>
    <xf numFmtId="0" fontId="2" fillId="6" borderId="0" xfId="0" applyFont="1" applyFill="1" applyAlignment="1">
      <alignment horizontal="left"/>
    </xf>
    <xf numFmtId="0" fontId="2" fillId="0" borderId="0" xfId="0" applyFont="1" applyAlignment="1">
      <alignment horizontal="right" vertical="center"/>
    </xf>
    <xf numFmtId="0" fontId="2" fillId="0" borderId="0" xfId="0" applyFont="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left" vertical="center"/>
    </xf>
    <xf numFmtId="0" fontId="2" fillId="7" borderId="0" xfId="0" applyFont="1" applyFill="1" applyAlignment="1">
      <alignment horizontal="left" vertical="center"/>
    </xf>
    <xf numFmtId="0" fontId="26" fillId="0" borderId="0" xfId="0" applyFont="1" applyAlignment="1">
      <alignment horizontal="left" vertical="center"/>
    </xf>
    <xf numFmtId="164" fontId="2" fillId="0" borderId="0" xfId="0" applyNumberFormat="1" applyFont="1" applyAlignment="1">
      <alignment horizontal="right" vertical="center"/>
    </xf>
    <xf numFmtId="0" fontId="2" fillId="2" borderId="0" xfId="0" applyFont="1" applyFill="1" applyAlignment="1">
      <alignment horizontal="right" vertical="center"/>
    </xf>
    <xf numFmtId="164" fontId="2" fillId="2" borderId="0" xfId="0" applyNumberFormat="1" applyFont="1" applyFill="1" applyAlignment="1">
      <alignment horizontal="right" vertical="center"/>
    </xf>
    <xf numFmtId="0" fontId="2" fillId="2" borderId="0" xfId="0" applyFont="1" applyFill="1" applyAlignment="1">
      <alignment horizontal="left" vertical="center"/>
    </xf>
    <xf numFmtId="14" fontId="2" fillId="0" borderId="0" xfId="0" applyNumberFormat="1" applyFont="1" applyAlignment="1">
      <alignment horizontal="right" vertical="center"/>
    </xf>
    <xf numFmtId="0" fontId="1" fillId="7" borderId="0" xfId="0" applyFont="1" applyFill="1" applyAlignment="1">
      <alignment horizontal="left"/>
    </xf>
    <xf numFmtId="0" fontId="25" fillId="2" borderId="0" xfId="0" applyFont="1" applyFill="1" applyAlignment="1">
      <alignment horizontal="left"/>
    </xf>
    <xf numFmtId="164" fontId="2" fillId="0" borderId="0" xfId="0" applyNumberFormat="1" applyFont="1" applyAlignment="1"/>
    <xf numFmtId="0" fontId="26" fillId="0" borderId="0" xfId="0" applyFont="1" applyAlignment="1"/>
    <xf numFmtId="0" fontId="26" fillId="0" borderId="0" xfId="0" applyFont="1" applyAlignment="1">
      <alignment horizontal="center"/>
    </xf>
    <xf numFmtId="0" fontId="2" fillId="3" borderId="10" xfId="0" applyFont="1" applyFill="1" applyBorder="1" applyAlignment="1">
      <alignment horizontal="center"/>
    </xf>
    <xf numFmtId="0" fontId="9" fillId="3" borderId="10" xfId="0" applyFont="1" applyFill="1" applyBorder="1"/>
    <xf numFmtId="0" fontId="9" fillId="3" borderId="11" xfId="0" applyFont="1" applyFill="1" applyBorder="1"/>
    <xf numFmtId="0" fontId="29" fillId="0" borderId="0" xfId="1" applyAlignment="1"/>
  </cellXfs>
  <cellStyles count="2">
    <cellStyle name="Hipervínculo" xfId="1" builtinId="8"/>
    <cellStyle name="Normal" xfId="0" builtinId="0"/>
  </cellStyles>
  <dxfs count="12">
    <dxf>
      <fill>
        <patternFill patternType="solid">
          <fgColor rgb="FFFFF2CC"/>
          <bgColor rgb="FFFFF2CC"/>
        </patternFill>
      </fill>
    </dxf>
    <dxf>
      <fill>
        <patternFill patternType="solid">
          <fgColor rgb="FFF4CCCC"/>
          <bgColor rgb="FFF4CCCC"/>
        </patternFill>
      </fill>
    </dxf>
    <dxf>
      <fill>
        <patternFill patternType="solid">
          <fgColor rgb="FFB6D7A8"/>
          <bgColor rgb="FFB6D7A8"/>
        </patternFill>
      </fill>
    </dxf>
    <dxf>
      <fill>
        <patternFill patternType="solid">
          <fgColor rgb="FFEA9999"/>
          <bgColor rgb="FFEA9999"/>
        </patternFill>
      </fill>
    </dxf>
    <dxf>
      <fill>
        <patternFill patternType="solid">
          <fgColor rgb="FFFFF2CC"/>
          <bgColor rgb="FFFFF2CC"/>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0">
                <a:solidFill>
                  <a:srgbClr val="757575"/>
                </a:solidFill>
                <a:latin typeface="+mn-lt"/>
              </a:defRPr>
            </a:pPr>
            <a:r>
              <a:rPr b="0">
                <a:solidFill>
                  <a:srgbClr val="757575"/>
                </a:solidFill>
                <a:latin typeface="+mn-lt"/>
              </a:rPr>
              <a:t>CANTIDAD DE LEYES TRATADAS (UNICAS)</a:t>
            </a:r>
          </a:p>
        </c:rich>
      </c:tx>
      <c:overlay val="0"/>
    </c:title>
    <c:autoTitleDeleted val="0"/>
    <c:plotArea>
      <c:layout/>
      <c:barChart>
        <c:barDir val="bar"/>
        <c:grouping val="clustered"/>
        <c:varyColors val="1"/>
        <c:ser>
          <c:idx val="0"/>
          <c:order val="0"/>
          <c:tx>
            <c:strRef>
              <c:f>'Leyes Tratadas x Comision'!$B$1</c:f>
              <c:strCache>
                <c:ptCount val="1"/>
                <c:pt idx="0">
                  <c:v>CANTIDAD DE LEYES TRATADAS (UNICAS)</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'Leyes Tratadas x Comision'!$A$2:$A$23</c:f>
              <c:strCache>
                <c:ptCount val="22"/>
                <c:pt idx="0">
                  <c:v>LEGISLACIÓN GENERAL</c:v>
                </c:pt>
                <c:pt idx="1">
                  <c:v>ASUNTOS CONSTITUCIONALES, JUSTICIA Y ACUERDOS</c:v>
                </c:pt>
                <c:pt idx="2">
                  <c:v>ASUNTOS INSTITUCIONALES, MUNICIPALES Y COMUNALES</c:v>
                </c:pt>
                <c:pt idx="3">
                  <c:v>EDUCACIÓN, CULTURA, CIENCIA, TECNOLOGÍA E INFORMÁTICA</c:v>
                </c:pt>
                <c:pt idx="4">
                  <c:v>LEGISLACIÓN DEL TRABAJO, PREVISIÓN Y SEGURIDAD SOCIAL</c:v>
                </c:pt>
                <c:pt idx="5">
                  <c:v>ECONOMÍA SOCIAL, COOPERATIVAS Y MUTUALES</c:v>
                </c:pt>
                <c:pt idx="6">
                  <c:v>SALUD HUMANA</c:v>
                </c:pt>
                <c:pt idx="7">
                  <c:v>AMBIENTE</c:v>
                </c:pt>
                <c:pt idx="8">
                  <c:v>ECONOMÍA, PRESUPUESTO, GESTIÓN PÚBLICA E INNOVACIÓN</c:v>
                </c:pt>
                <c:pt idx="9">
                  <c:v>OBRAS PÚBLICAS, VIVIENDA Y COMUNICACIONES</c:v>
                </c:pt>
                <c:pt idx="10">
                  <c:v>SERVICIOS PÚBLICOS</c:v>
                </c:pt>
                <c:pt idx="11">
                  <c:v>AGRICULTURA, GANADERÍA Y RECURSOS RENOVABLES</c:v>
                </c:pt>
                <c:pt idx="12">
                  <c:v>INDUSTRIA Y MINERÍA</c:v>
                </c:pt>
                <c:pt idx="13">
                  <c:v>TURISMO Y SU RELACIÓN CON EL DESARROLLO REGIONAL</c:v>
                </c:pt>
                <c:pt idx="14">
                  <c:v>DERECHOS HUMANOS Y DESARROLLO SOCIAL</c:v>
                </c:pt>
                <c:pt idx="15">
                  <c:v>DEPORTES Y RECREACIÓN</c:v>
                </c:pt>
                <c:pt idx="16">
                  <c:v>PREVENCIÓN, TRATAMIENTO Y CONTROL DE LAS ADICCIONES</c:v>
                </c:pt>
                <c:pt idx="17">
                  <c:v>RELACIONES INTERNACIONALES, MERCOSUR Y COMERCIO EXTERIOR</c:v>
                </c:pt>
                <c:pt idx="18">
                  <c:v>EQUIDAD Y LUCHA CONTRA LA VIOLENCIA DE GÉNERO</c:v>
                </c:pt>
                <c:pt idx="19">
                  <c:v>PROMOCIÓN Y DESARROLLO DE ECONOMÍAS REGIONALES Y PYMES</c:v>
                </c:pt>
                <c:pt idx="20">
                  <c:v>PROMOCIÓN Y DEFENSA DE LOS DERECHOS DE LA NIÑEZ, ADOLESCENCIA Y FAMILIA</c:v>
                </c:pt>
                <c:pt idx="21">
                  <c:v>PROMOCIÓN Y DESARROLLO DE LAS COMUNIDADES REGIONALES</c:v>
                </c:pt>
              </c:strCache>
            </c:strRef>
          </c:cat>
          <c:val>
            <c:numRef>
              <c:f>'Leyes Tratadas x Comision'!$B$2:$B$23</c:f>
              <c:numCache>
                <c:formatCode>General</c:formatCode>
                <c:ptCount val="22"/>
                <c:pt idx="0">
                  <c:v>42</c:v>
                </c:pt>
                <c:pt idx="1">
                  <c:v>10</c:v>
                </c:pt>
                <c:pt idx="2">
                  <c:v>26</c:v>
                </c:pt>
                <c:pt idx="3">
                  <c:v>3</c:v>
                </c:pt>
                <c:pt idx="4">
                  <c:v>4</c:v>
                </c:pt>
                <c:pt idx="5">
                  <c:v>1</c:v>
                </c:pt>
                <c:pt idx="6">
                  <c:v>12</c:v>
                </c:pt>
                <c:pt idx="7">
                  <c:v>2</c:v>
                </c:pt>
                <c:pt idx="8">
                  <c:v>7</c:v>
                </c:pt>
                <c:pt idx="9">
                  <c:v>2</c:v>
                </c:pt>
                <c:pt idx="10">
                  <c:v>1</c:v>
                </c:pt>
                <c:pt idx="11">
                  <c:v>1</c:v>
                </c:pt>
                <c:pt idx="12">
                  <c:v>1</c:v>
                </c:pt>
                <c:pt idx="13">
                  <c:v>1</c:v>
                </c:pt>
                <c:pt idx="14">
                  <c:v>2</c:v>
                </c:pt>
                <c:pt idx="15">
                  <c:v>1</c:v>
                </c:pt>
                <c:pt idx="16">
                  <c:v>1</c:v>
                </c:pt>
                <c:pt idx="17">
                  <c:v>2</c:v>
                </c:pt>
                <c:pt idx="18">
                  <c:v>1</c:v>
                </c:pt>
                <c:pt idx="19">
                  <c:v>1</c:v>
                </c:pt>
                <c:pt idx="20">
                  <c:v>9</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7BA-42E4-8471-D19A101D1BB4}"/>
            </c:ext>
          </c:extLst>
        </c:ser>
        <c:dLbls>
          <c:showLegendKey val="0"/>
          <c:showVal val="0"/>
          <c:showCatName val="0"/>
          <c:showSerName val="0"/>
          <c:showPercent val="0"/>
          <c:showBubbleSize val="0"/>
        </c:dLbls>
        <c:gapWidth val="150"/>
        <c:axId val="526704837"/>
        <c:axId val="653095682"/>
      </c:barChart>
      <c:catAx>
        <c:axId val="526704837"/>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a:solidFill>
                  <a:srgbClr val="000000"/>
                </a:solidFill>
                <a:latin typeface="+mn-lt"/>
              </a:defRPr>
            </a:pPr>
            <a:endParaRPr lang="es-AR"/>
          </a:p>
        </c:txPr>
        <c:crossAx val="653095682"/>
        <c:crosses val="autoZero"/>
        <c:auto val="1"/>
        <c:lblAlgn val="ctr"/>
        <c:lblOffset val="100"/>
        <c:noMultiLvlLbl val="1"/>
      </c:catAx>
      <c:valAx>
        <c:axId val="65309568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CANTIDAD DE LEYES TRATADAS (UNICAS)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AR"/>
          </a:p>
        </c:txPr>
        <c:crossAx val="526704837"/>
        <c:crosses val="max"/>
        <c:crossBetween val="between"/>
      </c:valAx>
    </c:plotArea>
    <c:legend>
      <c:legendPos val="r"/>
      <c:overlay val="0"/>
      <c:txPr>
        <a:bodyPr/>
        <a:lstStyle/>
        <a:p>
          <a:pPr lvl="0">
            <a:defRPr b="0">
              <a:solidFill>
                <a:srgbClr val="1A1A1A"/>
              </a:solidFill>
              <a:latin typeface="+mn-lt"/>
            </a:defRPr>
          </a:pPr>
          <a:endParaRPr lang="es-AR"/>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9525</xdr:colOff>
      <xdr:row>0</xdr:row>
      <xdr:rowOff>152400</xdr:rowOff>
    </xdr:from>
    <xdr:ext cx="7477125" cy="44481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www.youtube.com/watch?v=AhB6yRqsRLM" TargetMode="External"/><Relationship Id="rId170" Type="http://schemas.openxmlformats.org/officeDocument/2006/relationships/hyperlink" Target="https://www.youtube.com/watch?v=QB7BthKNc6M" TargetMode="External"/><Relationship Id="rId268" Type="http://schemas.openxmlformats.org/officeDocument/2006/relationships/hyperlink" Target="https://www.youtube.com/watch?v=SA2qevq-HfY" TargetMode="External"/><Relationship Id="rId475" Type="http://schemas.openxmlformats.org/officeDocument/2006/relationships/hyperlink" Targe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2" Type="http://schemas.openxmlformats.org/officeDocument/2006/relationships/hyperlink" Targe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 Type="http://schemas.openxmlformats.org/officeDocument/2006/relationships/hyperlink" Target="https://www.youtube.com/watch?v=061txvY0N9Q" TargetMode="External"/><Relationship Id="rId335" Type="http://schemas.openxmlformats.org/officeDocument/2006/relationships/hyperlink" Target="https://gld.legislaturacba.gob.ar/Publics/Actas.aspx?id=20d95av1oMY=;https://gld.legislaturacba.gob.ar/Publics/Actas.aspx?id=UlSC81XjTOM=" TargetMode="External"/><Relationship Id="rId542" Type="http://schemas.openxmlformats.org/officeDocument/2006/relationships/hyperlink" Target="https://www.youtube.com/watch?v=78hWTluA1AM" TargetMode="External"/><Relationship Id="rId987" Type="http://schemas.openxmlformats.org/officeDocument/2006/relationships/hyperlink" Target="https://www.youtube.com/watch?v=lmUSzXF2a1Q" TargetMode="External"/><Relationship Id="rId1172" Type="http://schemas.openxmlformats.org/officeDocument/2006/relationships/hyperlink" Target="https://gld.legislaturacba.gob.ar/Publics/Actas.aspx?id=V-u35MzYZ3g=" TargetMode="External"/><Relationship Id="rId402" Type="http://schemas.openxmlformats.org/officeDocument/2006/relationships/hyperlink" Targe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7" Type="http://schemas.openxmlformats.org/officeDocument/2006/relationships/hyperlink" Target="https://www.youtube.com/watch?v=OfcwC_9ek5o" TargetMode="External"/><Relationship Id="rId1032" Type="http://schemas.openxmlformats.org/officeDocument/2006/relationships/hyperlink" Target="https://www.youtube.com/watch?v=Iv7DMUMy-a8" TargetMode="External"/><Relationship Id="rId707" Type="http://schemas.openxmlformats.org/officeDocument/2006/relationships/hyperlink" Target="https://www.youtube.com/watch?v=I4VOVNuLxO0" TargetMode="External"/><Relationship Id="rId914" Type="http://schemas.openxmlformats.org/officeDocument/2006/relationships/hyperlink" Target="https://www.youtube.com/watch?v=QlasozFmDPU" TargetMode="External"/><Relationship Id="rId1337" Type="http://schemas.openxmlformats.org/officeDocument/2006/relationships/hyperlink" Target="https://www.youtube.com/watch?v=_8yPdVPR2Wc" TargetMode="External"/><Relationship Id="rId43" Type="http://schemas.openxmlformats.org/officeDocument/2006/relationships/hyperlink" Targe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2" Type="http://schemas.openxmlformats.org/officeDocument/2006/relationships/hyperlink" Target="https://www.youtube.com/watch?v=mhktJQOgiIc" TargetMode="External"/><Relationship Id="rId497" Type="http://schemas.openxmlformats.org/officeDocument/2006/relationships/hyperlink" Target="https://www.youtube.com/watch?v=TVjYbXhXzW0" TargetMode="External"/><Relationship Id="rId357" Type="http://schemas.openxmlformats.org/officeDocument/2006/relationships/hyperlink" Target="https://www.youtube.com/watch?v=yymQxblY6rk" TargetMode="External"/><Relationship Id="rId1194" Type="http://schemas.openxmlformats.org/officeDocument/2006/relationships/hyperlink" Target="https://www.youtube.com/watch?v=UAvt1047MTk" TargetMode="External"/><Relationship Id="rId217" Type="http://schemas.openxmlformats.org/officeDocument/2006/relationships/hyperlink" Target="https://www.youtube.com/watch?v=TJ5qA2OA-sk" TargetMode="External"/><Relationship Id="rId564" Type="http://schemas.openxmlformats.org/officeDocument/2006/relationships/hyperlink" Target="https://www.youtube.com/watch?v=YEnc-B_sUzY" TargetMode="External"/><Relationship Id="rId771" Type="http://schemas.openxmlformats.org/officeDocument/2006/relationships/hyperlink" Target="https://www.youtube.com/watch?v=VW5CsmIfhec" TargetMode="External"/><Relationship Id="rId869" Type="http://schemas.openxmlformats.org/officeDocument/2006/relationships/hyperlink" Target="https://www.youtube.com/watch?v=2ztWGDKp-vM" TargetMode="External"/><Relationship Id="rId424" Type="http://schemas.openxmlformats.org/officeDocument/2006/relationships/hyperlink" Target="https://www.youtube.com/watch?v=Sq5gsP4iYQ8" TargetMode="External"/><Relationship Id="rId631" Type="http://schemas.openxmlformats.org/officeDocument/2006/relationships/hyperlink" Targe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9" Type="http://schemas.openxmlformats.org/officeDocument/2006/relationships/hyperlink" Target="https://www.youtube.com/watch?v=hGBmHhdqVyo" TargetMode="External"/><Relationship Id="rId1054" Type="http://schemas.openxmlformats.org/officeDocument/2006/relationships/hyperlink" Target="https://gld.legislaturacba.gob.ar/Publics/Actas.aspx?id=VeylO_3KBTE=" TargetMode="External"/><Relationship Id="rId1261" Type="http://schemas.openxmlformats.org/officeDocument/2006/relationships/hyperlink" Target="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359" Type="http://schemas.openxmlformats.org/officeDocument/2006/relationships/hyperlink" Target="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36" Type="http://schemas.openxmlformats.org/officeDocument/2006/relationships/hyperlink" Target="https://www.youtube.com/watch?v=IyJ6SrOKckI" TargetMode="External"/><Relationship Id="rId1121" Type="http://schemas.openxmlformats.org/officeDocument/2006/relationships/hyperlink" Target="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19" Type="http://schemas.openxmlformats.org/officeDocument/2006/relationships/hyperlink" Target="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65" Type="http://schemas.openxmlformats.org/officeDocument/2006/relationships/hyperlink" Targe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1" Type="http://schemas.openxmlformats.org/officeDocument/2006/relationships/hyperlink" Target="https://www.youtube.com/watch?v=79hjkY3rQXY" TargetMode="External"/><Relationship Id="rId141" Type="http://schemas.openxmlformats.org/officeDocument/2006/relationships/hyperlink" Target="https://www.youtube.com/watch?v=yg8Ug5prpk0" TargetMode="External"/><Relationship Id="rId379" Type="http://schemas.openxmlformats.org/officeDocument/2006/relationships/hyperlink" Target="https://www.youtube.com/watch?v=7yFqQWm_lvw" TargetMode="External"/><Relationship Id="rId586" Type="http://schemas.openxmlformats.org/officeDocument/2006/relationships/hyperlink" Targe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3" Type="http://schemas.openxmlformats.org/officeDocument/2006/relationships/hyperlink" Target="https://www.youtube.com/watch?v=ZDK4JmkjkRM" TargetMode="External"/><Relationship Id="rId7" Type="http://schemas.openxmlformats.org/officeDocument/2006/relationships/hyperlink" Target="https://www.youtube.com/watch?v=vvIHzsKlQ08" TargetMode="External"/><Relationship Id="rId239" Type="http://schemas.openxmlformats.org/officeDocument/2006/relationships/hyperlink" Targe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6" Type="http://schemas.openxmlformats.org/officeDocument/2006/relationships/hyperlink" Targe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3" Type="http://schemas.openxmlformats.org/officeDocument/2006/relationships/hyperlink" Targe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6" Type="http://schemas.openxmlformats.org/officeDocument/2006/relationships/hyperlink" Target="https://gld.legislaturacba.gob.ar/Publics/Actas.aspx?id=pq8n04c-NLQ=" TargetMode="External"/><Relationship Id="rId1283" Type="http://schemas.openxmlformats.org/officeDocument/2006/relationships/hyperlink" Target="https://www.youtube.com/watch?v=5ck83Zn7iPc" TargetMode="External"/><Relationship Id="rId306" Type="http://schemas.openxmlformats.org/officeDocument/2006/relationships/hyperlink" Targe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0" Type="http://schemas.openxmlformats.org/officeDocument/2006/relationships/hyperlink" Targe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58" Type="http://schemas.openxmlformats.org/officeDocument/2006/relationships/hyperlink" Target="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43" Type="http://schemas.openxmlformats.org/officeDocument/2006/relationships/hyperlink" Target="https://www.youtube.com/watch?time_continue=1&amp;v=_e02mqg2AMw&amp;feature=emb_logo" TargetMode="External"/><Relationship Id="rId87" Type="http://schemas.openxmlformats.org/officeDocument/2006/relationships/hyperlink" Target="https://www.youtube.com/watch?v=hNgiqMOTMf8" TargetMode="External"/><Relationship Id="rId513" Type="http://schemas.openxmlformats.org/officeDocument/2006/relationships/hyperlink" Targe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0" Type="http://schemas.openxmlformats.org/officeDocument/2006/relationships/hyperlink" Targe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8" Type="http://schemas.openxmlformats.org/officeDocument/2006/relationships/hyperlink" Targe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50" Type="http://schemas.openxmlformats.org/officeDocument/2006/relationships/hyperlink" Target="https://www.youtube.com/watch?v=jGHmdHnE3qo" TargetMode="External"/><Relationship Id="rId1003" Type="http://schemas.openxmlformats.org/officeDocument/2006/relationships/hyperlink" Target="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10" Type="http://schemas.openxmlformats.org/officeDocument/2006/relationships/hyperlink" Target="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08" Type="http://schemas.openxmlformats.org/officeDocument/2006/relationships/hyperlink" Target="https://gld.legislaturacba.gob.ar/Publics/Actas.aspx?id=7qijYLHbHtk=;NA;https://gld.legislaturacba.gob.ar/Publics/Actas.aspx?id=LXI1h9zoY44=" TargetMode="External"/><Relationship Id="rId14" Type="http://schemas.openxmlformats.org/officeDocument/2006/relationships/hyperlink" Targe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3" Type="http://schemas.openxmlformats.org/officeDocument/2006/relationships/hyperlink" Target="https://www.youtube.com/watch?v=C0GkAsSbHM0" TargetMode="External"/><Relationship Id="rId370" Type="http://schemas.openxmlformats.org/officeDocument/2006/relationships/hyperlink" Targe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30" Type="http://schemas.openxmlformats.org/officeDocument/2006/relationships/hyperlink" Targe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8" Type="http://schemas.openxmlformats.org/officeDocument/2006/relationships/hyperlink" Target="https://www.youtube.com/watch?v=sWzTnAMbm2M" TargetMode="External"/><Relationship Id="rId675" Type="http://schemas.openxmlformats.org/officeDocument/2006/relationships/hyperlink" Targe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2" Type="http://schemas.openxmlformats.org/officeDocument/2006/relationships/hyperlink" Target="https://gld.legislaturacba.gob.ar/Publics/Actas.aspx?id=fJbLAIwWtpc=;https://gld.legislaturacba.gob.ar/Publics/Actas.aspx?id=-5dpOxaHarw=" TargetMode="External"/><Relationship Id="rId1098" Type="http://schemas.openxmlformats.org/officeDocument/2006/relationships/hyperlink" Target="https://www.youtube.com/watch?v=P8hU9Mealjk" TargetMode="External"/><Relationship Id="rId328" Type="http://schemas.openxmlformats.org/officeDocument/2006/relationships/hyperlink" Target="https://www.youtube.com/watch?v=fO8U7MeK3QA" TargetMode="External"/><Relationship Id="rId535" Type="http://schemas.openxmlformats.org/officeDocument/2006/relationships/hyperlink" Targe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2" Type="http://schemas.openxmlformats.org/officeDocument/2006/relationships/hyperlink" Target="https://www.youtube.com/watch?v=weLYICQT1qI" TargetMode="External"/><Relationship Id="rId1165" Type="http://schemas.openxmlformats.org/officeDocument/2006/relationships/hyperlink" Target="https://www.youtube.com/watch?v=5gufZMVmZrU" TargetMode="External"/><Relationship Id="rId1372" Type="http://schemas.openxmlformats.org/officeDocument/2006/relationships/hyperlink" Target="https://gld.legislaturacba.gob.ar/Publics/Actas.aspx?id=lIUfKXi9S1E=" TargetMode="External"/><Relationship Id="rId602" Type="http://schemas.openxmlformats.org/officeDocument/2006/relationships/hyperlink" Target="https://www.youtube.com/watch?v=j7_QtOYvyo8" TargetMode="External"/><Relationship Id="rId1025" Type="http://schemas.openxmlformats.org/officeDocument/2006/relationships/hyperlink" Target="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32" Type="http://schemas.openxmlformats.org/officeDocument/2006/relationships/hyperlink" Target="https://www.youtube.com/watch?v=AqXQAEvypZQ" TargetMode="External"/><Relationship Id="rId907" Type="http://schemas.openxmlformats.org/officeDocument/2006/relationships/hyperlink" Target="https://www.youtube.com/watch?v=-6iBpHFPgsk" TargetMode="External"/><Relationship Id="rId36" Type="http://schemas.openxmlformats.org/officeDocument/2006/relationships/hyperlink" Targe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5" Type="http://schemas.openxmlformats.org/officeDocument/2006/relationships/hyperlink" Target="https://www.youtube.com/watch?v=90lnND66oos" TargetMode="External"/><Relationship Id="rId392" Type="http://schemas.openxmlformats.org/officeDocument/2006/relationships/hyperlink" Targe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7" Type="http://schemas.openxmlformats.org/officeDocument/2006/relationships/hyperlink" Targe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52" Type="http://schemas.openxmlformats.org/officeDocument/2006/relationships/hyperlink" Targe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7" Type="http://schemas.openxmlformats.org/officeDocument/2006/relationships/hyperlink" Target="https://gld.legislaturacba.gob.ar/Publics/Actas.aspx?id=nULR_fOlIeY=;https://gld.legislaturacba.gob.ar/Publics/Actas.aspx?id=86PvTo4tIM0=;https://gld.legislaturacba.gob.ar/Publics/Actas.aspx?id=0K7jLVqcwm4=;https://gld.legislaturacba.gob.ar/Publics/Actas.aspx?id=ZrjN6rhiK4U=" TargetMode="External"/><Relationship Id="rId112" Type="http://schemas.openxmlformats.org/officeDocument/2006/relationships/hyperlink" Target="https://www.youtube.com/watch?v=aSMNB5NBqeg" TargetMode="External"/><Relationship Id="rId557" Type="http://schemas.openxmlformats.org/officeDocument/2006/relationships/hyperlink" Targe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64" Type="http://schemas.openxmlformats.org/officeDocument/2006/relationships/hyperlink" Targe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1" Type="http://schemas.openxmlformats.org/officeDocument/2006/relationships/hyperlink" Target="https://www.youtube.com/watch?v=iKNBbxQpsSo" TargetMode="External"/><Relationship Id="rId417" Type="http://schemas.openxmlformats.org/officeDocument/2006/relationships/hyperlink" Targe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4" Type="http://schemas.openxmlformats.org/officeDocument/2006/relationships/hyperlink" Targe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1" Type="http://schemas.openxmlformats.org/officeDocument/2006/relationships/hyperlink" Target="https://www.youtube.com/watch?v=0KHVoD7Sm10" TargetMode="External"/><Relationship Id="rId1047" Type="http://schemas.openxmlformats.org/officeDocument/2006/relationships/hyperlink" Target="https://www.youtube.com/watch?v=4KqKguVI5vQ" TargetMode="External"/><Relationship Id="rId1254" Type="http://schemas.openxmlformats.org/officeDocument/2006/relationships/hyperlink" Target="https://www.youtube.com/watch?v=oltHJqJYgVk" TargetMode="External"/><Relationship Id="rId929" Type="http://schemas.openxmlformats.org/officeDocument/2006/relationships/hyperlink" Targe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TargetMode="External"/><Relationship Id="rId1114" Type="http://schemas.openxmlformats.org/officeDocument/2006/relationships/hyperlink" Target="https://www.youtube.com/watch?v=AVntnG6Pdxk" TargetMode="External"/><Relationship Id="rId1321" Type="http://schemas.openxmlformats.org/officeDocument/2006/relationships/hyperlink" Target="https://www.youtube.com/watch?v=7dBO7mX9ldk" TargetMode="External"/><Relationship Id="rId58" Type="http://schemas.openxmlformats.org/officeDocument/2006/relationships/hyperlink" Targe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4" Type="http://schemas.openxmlformats.org/officeDocument/2006/relationships/hyperlink" Target="https://www.youtube.com/watch?v=buDN7eF-XpQ" TargetMode="External"/><Relationship Id="rId481" Type="http://schemas.openxmlformats.org/officeDocument/2006/relationships/hyperlink" Target="https://www.youtube.com/watch?v=73OvmaDJ6Lg" TargetMode="External"/><Relationship Id="rId134" Type="http://schemas.openxmlformats.org/officeDocument/2006/relationships/hyperlink" Target="https://www.youtube.com/watch?v=ILEuuchUnMw" TargetMode="External"/><Relationship Id="rId579" Type="http://schemas.openxmlformats.org/officeDocument/2006/relationships/hyperlink" Target="https://www.youtube.com/watch?v=bVFYSKOxpYw" TargetMode="External"/><Relationship Id="rId786" Type="http://schemas.openxmlformats.org/officeDocument/2006/relationships/hyperlink" Targe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93" Type="http://schemas.openxmlformats.org/officeDocument/2006/relationships/hyperlink" Target="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41" Type="http://schemas.openxmlformats.org/officeDocument/2006/relationships/hyperlink" Target="https://gld.legislaturacba.gob.ar/Publics/Actas.aspx?id=3T-10Ie_BlA=" TargetMode="External"/><Relationship Id="rId439" Type="http://schemas.openxmlformats.org/officeDocument/2006/relationships/hyperlink" Target="https://www.youtube.com/watch?v=NrYBF1ivJXg" TargetMode="External"/><Relationship Id="rId646" Type="http://schemas.openxmlformats.org/officeDocument/2006/relationships/hyperlink" Target="https://www.youtube.com/watch?v=TK6sY1TJLw0" TargetMode="External"/><Relationship Id="rId1069" Type="http://schemas.openxmlformats.org/officeDocument/2006/relationships/hyperlink" Target="https://www.youtube.com/watch?v=qrwK4xJ10hs" TargetMode="External"/><Relationship Id="rId1276" Type="http://schemas.openxmlformats.org/officeDocument/2006/relationships/hyperlink" Target="https://www.youtube.com/watch?v=10cGrFgWJ4Y" TargetMode="External"/><Relationship Id="rId201" Type="http://schemas.openxmlformats.org/officeDocument/2006/relationships/hyperlink" Targe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6" Type="http://schemas.openxmlformats.org/officeDocument/2006/relationships/hyperlink" Target="https://www.youtube.com/watch?v=CvwOBWJqGiM" TargetMode="External"/><Relationship Id="rId853" Type="http://schemas.openxmlformats.org/officeDocument/2006/relationships/hyperlink" Target="https://www.youtube.com/watch?v=CSO6Q3-O8Jo" TargetMode="External"/><Relationship Id="rId1136" Type="http://schemas.openxmlformats.org/officeDocument/2006/relationships/hyperlink" Target="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13" Type="http://schemas.openxmlformats.org/officeDocument/2006/relationships/hyperlink" Target="https://www.youtube.com/watch?v=tprtOQtyLfI" TargetMode="External"/><Relationship Id="rId920" Type="http://schemas.openxmlformats.org/officeDocument/2006/relationships/hyperlink" Targe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TargetMode="External"/><Relationship Id="rId1343" Type="http://schemas.openxmlformats.org/officeDocument/2006/relationships/hyperlink" Target="https://www.youtube.com/watch?v=CW2mETQ4XhM" TargetMode="External"/><Relationship Id="rId1203" Type="http://schemas.openxmlformats.org/officeDocument/2006/relationships/hyperlink" Target="https://www.youtube.com/watch?v=fXjIrFzDPjU" TargetMode="External"/><Relationship Id="rId296" Type="http://schemas.openxmlformats.org/officeDocument/2006/relationships/hyperlink" Targe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6" Type="http://schemas.openxmlformats.org/officeDocument/2006/relationships/hyperlink" Target="https://www.youtube.com/watch?v=at6uURE5PNU" TargetMode="External"/><Relationship Id="rId363" Type="http://schemas.openxmlformats.org/officeDocument/2006/relationships/hyperlink" Targe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0" Type="http://schemas.openxmlformats.org/officeDocument/2006/relationships/hyperlink" Target="https://www.youtube.com/watch?v=ipPhH4x6s5s" TargetMode="External"/><Relationship Id="rId223" Type="http://schemas.openxmlformats.org/officeDocument/2006/relationships/hyperlink" Target="https://www.youtube.com/watch?v=1agIyMT9ALs" TargetMode="External"/><Relationship Id="rId430" Type="http://schemas.openxmlformats.org/officeDocument/2006/relationships/hyperlink" Target="https://www.youtube.com/watch?v=mvO0DYQpr4c" TargetMode="External"/><Relationship Id="rId668" Type="http://schemas.openxmlformats.org/officeDocument/2006/relationships/hyperlink" Targe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75" Type="http://schemas.openxmlformats.org/officeDocument/2006/relationships/hyperlink" Target="https://gld.legislaturacba.gob.ar/Publics/Actas.aspx?id=zzCOkVMUynw=;https://gld.legislaturacba.gob.ar/Publics/Actas.aspx?id=t4KmpBOgubs=" TargetMode="External"/><Relationship Id="rId1060" Type="http://schemas.openxmlformats.org/officeDocument/2006/relationships/hyperlink" Target="https://www.youtube.com/watch?v=N1mekePlvfU" TargetMode="External"/><Relationship Id="rId1298" Type="http://schemas.openxmlformats.org/officeDocument/2006/relationships/hyperlink" Target="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28" Type="http://schemas.openxmlformats.org/officeDocument/2006/relationships/hyperlink" Target="https://www.youtube.com/watch?v=Q9mMCl9k2-c" TargetMode="External"/><Relationship Id="rId735" Type="http://schemas.openxmlformats.org/officeDocument/2006/relationships/hyperlink" Targe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42" Type="http://schemas.openxmlformats.org/officeDocument/2006/relationships/hyperlink" Target="https://www.youtube.com/watch?v=Mmrwv4LkWvs" TargetMode="External"/><Relationship Id="rId1158" Type="http://schemas.openxmlformats.org/officeDocument/2006/relationships/hyperlink" Target="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65" Type="http://schemas.openxmlformats.org/officeDocument/2006/relationships/hyperlink" Target="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018" Type="http://schemas.openxmlformats.org/officeDocument/2006/relationships/hyperlink" Target="https://gld.legislaturacba.gob.ar/Publics/Actas.aspx?id=G1aVRLDPw6E=;https://gld.legislaturacba.gob.ar/Publics/Actas.aspx?id=B0wXJeW9U8I=;https://gld.legislaturacba.gob.ar/Publics/Actas.aspx?id=4iLiD4bZp0Y=" TargetMode="External"/><Relationship Id="rId1225" Type="http://schemas.openxmlformats.org/officeDocument/2006/relationships/hyperlink" Target="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71" Type="http://schemas.openxmlformats.org/officeDocument/2006/relationships/hyperlink" Targe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2" Type="http://schemas.openxmlformats.org/officeDocument/2006/relationships/hyperlink" Targe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9" Type="http://schemas.openxmlformats.org/officeDocument/2006/relationships/hyperlink" Targe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8" Type="http://schemas.openxmlformats.org/officeDocument/2006/relationships/hyperlink" Targe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5" Type="http://schemas.openxmlformats.org/officeDocument/2006/relationships/hyperlink" Target="https://www.youtube.com/watch?v=PSBFKu3piew" TargetMode="External"/><Relationship Id="rId592" Type="http://schemas.openxmlformats.org/officeDocument/2006/relationships/hyperlink" Targe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5" Type="http://schemas.openxmlformats.org/officeDocument/2006/relationships/hyperlink" Target="https://www.youtube.com/watch?v=wIgoO7ogfEc" TargetMode="External"/><Relationship Id="rId452" Type="http://schemas.openxmlformats.org/officeDocument/2006/relationships/hyperlink" Targe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7" Type="http://schemas.openxmlformats.org/officeDocument/2006/relationships/hyperlink" Target="https://www.youtube.com/watch?v=dO5TGlOPHeo" TargetMode="External"/><Relationship Id="rId1082" Type="http://schemas.openxmlformats.org/officeDocument/2006/relationships/hyperlink" Target="https://gld.legislaturacba.gob.ar/Publics/Actas.aspx?id=cofQnHSqY84=" TargetMode="External"/><Relationship Id="rId105" Type="http://schemas.openxmlformats.org/officeDocument/2006/relationships/hyperlink" Targe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2" Type="http://schemas.openxmlformats.org/officeDocument/2006/relationships/hyperlink" Target="https://www.youtube.com/watch?v=VROvyhUcSAM" TargetMode="External"/><Relationship Id="rId757" Type="http://schemas.openxmlformats.org/officeDocument/2006/relationships/hyperlink" Target="https://www.youtube.com/watch?v=j6uXeNk6Dt4" TargetMode="External"/><Relationship Id="rId964" Type="http://schemas.openxmlformats.org/officeDocument/2006/relationships/hyperlink" Target="https://www.youtube.com/watch?v=o_7Fz-4WxlU" TargetMode="External"/><Relationship Id="rId1387" Type="http://schemas.openxmlformats.org/officeDocument/2006/relationships/hyperlink" Target="https://gld.legislaturacba.gob.ar/Publics/Actas.aspx?id=ilSFuWzr54c=" TargetMode="External"/><Relationship Id="rId93" Type="http://schemas.openxmlformats.org/officeDocument/2006/relationships/hyperlink" Targe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17" Type="http://schemas.openxmlformats.org/officeDocument/2006/relationships/hyperlink" Target="https://www.youtube.com/watch?v=4AZgcULnKOc" TargetMode="External"/><Relationship Id="rId824" Type="http://schemas.openxmlformats.org/officeDocument/2006/relationships/hyperlink" Target="https://www.youtube.com/watch?v=RIlCrqnWAuU" TargetMode="External"/><Relationship Id="rId1247" Type="http://schemas.openxmlformats.org/officeDocument/2006/relationships/hyperlink" Target="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107" Type="http://schemas.openxmlformats.org/officeDocument/2006/relationships/hyperlink" Target="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4" Type="http://schemas.openxmlformats.org/officeDocument/2006/relationships/hyperlink" Target="https://gld.legislaturacba.gob.ar/Publics/Actas.aspx?id=aqoyc-_D1kw=" TargetMode="External"/><Relationship Id="rId20" Type="http://schemas.openxmlformats.org/officeDocument/2006/relationships/hyperlink" Targe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7" Type="http://schemas.openxmlformats.org/officeDocument/2006/relationships/hyperlink" Targe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4" Type="http://schemas.openxmlformats.org/officeDocument/2006/relationships/hyperlink" Target="https://www.youtube.com/watch?v=dbHjvjs58R8" TargetMode="External"/><Relationship Id="rId127" Type="http://schemas.openxmlformats.org/officeDocument/2006/relationships/hyperlink" Targe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1" Type="http://schemas.openxmlformats.org/officeDocument/2006/relationships/hyperlink" Target="https://www.youtube.com/watch?v=weduzrR5L4s" TargetMode="External"/><Relationship Id="rId779" Type="http://schemas.openxmlformats.org/officeDocument/2006/relationships/hyperlink" Target="https://www.youtube.com/watch?v=y-YrnzQEf20" TargetMode="External"/><Relationship Id="rId986" Type="http://schemas.openxmlformats.org/officeDocument/2006/relationships/hyperlink" Targe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34" Type="http://schemas.openxmlformats.org/officeDocument/2006/relationships/hyperlink" Target="https://www.youtube.com/watch?v=iGIZmmwUowg" TargetMode="External"/><Relationship Id="rId541" Type="http://schemas.openxmlformats.org/officeDocument/2006/relationships/hyperlink" Targe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9" Type="http://schemas.openxmlformats.org/officeDocument/2006/relationships/hyperlink" Target="https://www.youtube.com/watch?v=gUh1hjf8RO4" TargetMode="External"/><Relationship Id="rId1171" Type="http://schemas.openxmlformats.org/officeDocument/2006/relationships/hyperlink" Target="https://www.youtube.com/watch?v=4lqHyOYEf3c" TargetMode="External"/><Relationship Id="rId1269" Type="http://schemas.openxmlformats.org/officeDocument/2006/relationships/hyperlink" Target="https://gld.legislaturacba.gob.ar/Publics/Actas.aspx?id=41mYgvB1B-E=" TargetMode="External"/><Relationship Id="rId401" Type="http://schemas.openxmlformats.org/officeDocument/2006/relationships/hyperlink" Target="https://www.youtube.com/watch?v=AfN5PKyw2r8" TargetMode="External"/><Relationship Id="rId846" Type="http://schemas.openxmlformats.org/officeDocument/2006/relationships/hyperlink" Targe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1" Type="http://schemas.openxmlformats.org/officeDocument/2006/relationships/hyperlink" Target="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29" Type="http://schemas.openxmlformats.org/officeDocument/2006/relationships/hyperlink" Target="https://gld.legislaturacba.gob.ar/Publics/Actas.aspx?id=GXaR9BqpPfk=;https://gld.legislaturacba.gob.ar/Publics/Actas.aspx?id=8iIOthmVQgM=;https://gld.legislaturacba.gob.ar/Publics/Actas.aspx?id=j7_Nd1mnVBc=" TargetMode="External"/><Relationship Id="rId706" Type="http://schemas.openxmlformats.org/officeDocument/2006/relationships/hyperlink" Targe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3" Type="http://schemas.openxmlformats.org/officeDocument/2006/relationships/hyperlink" Target="https://www.youtube.com/watch?v=d0evDr85DXg" TargetMode="External"/><Relationship Id="rId1336" Type="http://schemas.openxmlformats.org/officeDocument/2006/relationships/hyperlink" Target="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42" Type="http://schemas.openxmlformats.org/officeDocument/2006/relationships/hyperlink" Target="https://www.youtube.com/watch?v=8agLeR4ew_Q" TargetMode="External"/><Relationship Id="rId191" Type="http://schemas.openxmlformats.org/officeDocument/2006/relationships/hyperlink" Targe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9" Type="http://schemas.openxmlformats.org/officeDocument/2006/relationships/hyperlink" Target="https://www.youtube.com/watch?v=RolNrf7eElY" TargetMode="External"/><Relationship Id="rId496" Type="http://schemas.openxmlformats.org/officeDocument/2006/relationships/hyperlink" Targe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9" Type="http://schemas.openxmlformats.org/officeDocument/2006/relationships/hyperlink" Target="https://www.youtube.com/watch?v=fsdt6KPI5K0" TargetMode="External"/><Relationship Id="rId356" Type="http://schemas.openxmlformats.org/officeDocument/2006/relationships/hyperlink" Targe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3" Type="http://schemas.openxmlformats.org/officeDocument/2006/relationships/hyperlink" Targe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0" Type="http://schemas.openxmlformats.org/officeDocument/2006/relationships/hyperlink" Targe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3" Type="http://schemas.openxmlformats.org/officeDocument/2006/relationships/hyperlink" Target="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16" Type="http://schemas.openxmlformats.org/officeDocument/2006/relationships/hyperlink" Targe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3" Type="http://schemas.openxmlformats.org/officeDocument/2006/relationships/hyperlink" Targe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8" Type="http://schemas.openxmlformats.org/officeDocument/2006/relationships/hyperlink" Targe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53" Type="http://schemas.openxmlformats.org/officeDocument/2006/relationships/hyperlink" Target="https://www.youtube.com/watch?v=mn02SG_zkZg" TargetMode="External"/><Relationship Id="rId1260" Type="http://schemas.openxmlformats.org/officeDocument/2006/relationships/hyperlink" Target="https://gld.legislaturacba.gob.ar/Publics/Actas.aspx?id=66G43huGb7E=;https://gld.legislaturacba.gob.ar/Publics/Actas.aspx?id=8fNONWsiq2U=" TargetMode="External"/><Relationship Id="rId630" Type="http://schemas.openxmlformats.org/officeDocument/2006/relationships/hyperlink" Targe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8" Type="http://schemas.openxmlformats.org/officeDocument/2006/relationships/hyperlink" Targe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5" Type="http://schemas.openxmlformats.org/officeDocument/2006/relationships/hyperlink" Targe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TargetMode="External"/><Relationship Id="rId1358" Type="http://schemas.openxmlformats.org/officeDocument/2006/relationships/hyperlink" Target="https://gld.legislaturacba.gob.ar/Publics/Actas.aspx?id=zgCGuFulQeQ=" TargetMode="External"/><Relationship Id="rId64" Type="http://schemas.openxmlformats.org/officeDocument/2006/relationships/hyperlink" Target="https://www.youtube.com/watch?v=igViBMdzCQw" TargetMode="External"/><Relationship Id="rId1120" Type="http://schemas.openxmlformats.org/officeDocument/2006/relationships/hyperlink" Target="https://gld.legislaturacba.gob.ar/Publics/Actas.aspx?id=hxOLQatsAHI=;https://gld.legislaturacba.gob.ar/Publics/Actas.aspx?id=GiDdtVCTzm8=" TargetMode="External"/><Relationship Id="rId1218" Type="http://schemas.openxmlformats.org/officeDocument/2006/relationships/hyperlink" Target="https://gld.legislaturacba.gob.ar/Publics/Actas.aspx?id=r0iJea1MX0I=" TargetMode="External"/><Relationship Id="rId280"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 Type="http://schemas.openxmlformats.org/officeDocument/2006/relationships/hyperlink" Targe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8" Type="http://schemas.openxmlformats.org/officeDocument/2006/relationships/hyperlink" Targe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5" Type="http://schemas.openxmlformats.org/officeDocument/2006/relationships/hyperlink" Target="https://www.youtube.com/watch?v=GR7gnhuNCu4" TargetMode="External"/><Relationship Id="rId792" Type="http://schemas.openxmlformats.org/officeDocument/2006/relationships/hyperlink" Targe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 Type="http://schemas.openxmlformats.org/officeDocument/2006/relationships/hyperlink" Targe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8" Type="http://schemas.openxmlformats.org/officeDocument/2006/relationships/hyperlink" Targe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5" Type="http://schemas.openxmlformats.org/officeDocument/2006/relationships/hyperlink" Target="https://www.youtube.com/watch?v=Rux7DvQKSAE" TargetMode="External"/><Relationship Id="rId652" Type="http://schemas.openxmlformats.org/officeDocument/2006/relationships/hyperlink" Target="https://www.youtube.com/watch?v=nHOpTto2WOA" TargetMode="External"/><Relationship Id="rId1075" Type="http://schemas.openxmlformats.org/officeDocument/2006/relationships/hyperlink" Target="https://www.youtube.com/watch?v=atY_oJBj4os" TargetMode="External"/><Relationship Id="rId1282" Type="http://schemas.openxmlformats.org/officeDocument/2006/relationships/hyperlink" Target="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305" Type="http://schemas.openxmlformats.org/officeDocument/2006/relationships/hyperlink" Target="https://www.youtube.com/watch?v=qRQy6qPrvb8" TargetMode="External"/><Relationship Id="rId512" Type="http://schemas.openxmlformats.org/officeDocument/2006/relationships/hyperlink" Target="https://www.youtube.com/watch?v=JbPNr7M-dcU" TargetMode="External"/><Relationship Id="rId957" Type="http://schemas.openxmlformats.org/officeDocument/2006/relationships/hyperlink" Target="https://gld.legislaturacba.gob.ar/Publics/Actas.aspx?id=tV9UXuXnkHU=" TargetMode="External"/><Relationship Id="rId1142" Type="http://schemas.openxmlformats.org/officeDocument/2006/relationships/hyperlink" Target="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86" Type="http://schemas.openxmlformats.org/officeDocument/2006/relationships/hyperlink" Targe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17" Type="http://schemas.openxmlformats.org/officeDocument/2006/relationships/hyperlink" Target="https://www.youtube.com/watch?v=ECY4CsWMPsg" TargetMode="External"/><Relationship Id="rId1002" Type="http://schemas.openxmlformats.org/officeDocument/2006/relationships/hyperlink" Target="https://gld.legislaturacba.gob.ar/Publics/Actas.aspx?id=fVJtVgKnKZw=;https://gld.legislaturacba.gob.ar/Publics/Actas.aspx?id=gAhhvPd7vVg=" TargetMode="External"/><Relationship Id="rId1307" Type="http://schemas.openxmlformats.org/officeDocument/2006/relationships/hyperlink" Target="https://gld.legislaturacba.gob.ar/Publics/Actas.aspx?id=hTNrwCIyGW8=" TargetMode="External"/><Relationship Id="rId13" Type="http://schemas.openxmlformats.org/officeDocument/2006/relationships/hyperlink" Target="https://www.youtube.com/watch?v=u2SzA8HwB1E" TargetMode="External"/><Relationship Id="rId162" Type="http://schemas.openxmlformats.org/officeDocument/2006/relationships/hyperlink" Targe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7" Type="http://schemas.openxmlformats.org/officeDocument/2006/relationships/hyperlink" Targe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7" Type="http://schemas.openxmlformats.org/officeDocument/2006/relationships/hyperlink" Target="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74" Type="http://schemas.openxmlformats.org/officeDocument/2006/relationships/hyperlink" Targe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1" Type="http://schemas.openxmlformats.org/officeDocument/2006/relationships/hyperlink" Target="https://www.youtube.com/watch?v=WR84Vu1SRqQ" TargetMode="External"/><Relationship Id="rId979" Type="http://schemas.openxmlformats.org/officeDocument/2006/relationships/hyperlink" Target="https://www.youtube.com/watch?v=srBgr7eai9E" TargetMode="External"/><Relationship Id="rId327" Type="http://schemas.openxmlformats.org/officeDocument/2006/relationships/hyperlink" Targe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4" Type="http://schemas.openxmlformats.org/officeDocument/2006/relationships/hyperlink" Target="https://www.youtube.com/watch?v=LaH-cBur8W8" TargetMode="External"/><Relationship Id="rId741" Type="http://schemas.openxmlformats.org/officeDocument/2006/relationships/hyperlink" Targe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9" Type="http://schemas.openxmlformats.org/officeDocument/2006/relationships/hyperlink" Targe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64" Type="http://schemas.openxmlformats.org/officeDocument/2006/relationships/hyperlink" Target="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71" Type="http://schemas.openxmlformats.org/officeDocument/2006/relationships/hyperlink" Target="https://www.youtube.com/watch?v=QTcbsOFN3z0" TargetMode="External"/><Relationship Id="rId601" Type="http://schemas.openxmlformats.org/officeDocument/2006/relationships/hyperlink" Targe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4" Type="http://schemas.openxmlformats.org/officeDocument/2006/relationships/hyperlink" Target="https://www.youtube.com/watch?v=9AuJGxQ22hA" TargetMode="External"/><Relationship Id="rId1231" Type="http://schemas.openxmlformats.org/officeDocument/2006/relationships/hyperlink" Target="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906" Type="http://schemas.openxmlformats.org/officeDocument/2006/relationships/hyperlink" Targe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TargetMode="External"/><Relationship Id="rId1329" Type="http://schemas.openxmlformats.org/officeDocument/2006/relationships/hyperlink" Target="https://www.youtube.com/watch?v=2NndQ7Rs4_Q" TargetMode="External"/><Relationship Id="rId35" Type="http://schemas.openxmlformats.org/officeDocument/2006/relationships/hyperlink" Target="https://www.youtube.com/watch?v=XvQJYkgwKV8" TargetMode="External"/><Relationship Id="rId184" Type="http://schemas.openxmlformats.org/officeDocument/2006/relationships/hyperlink" Targe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1" Type="http://schemas.openxmlformats.org/officeDocument/2006/relationships/hyperlink" Target="https://www.youtube.com/watch?v=GNyTHaTOV6A" TargetMode="External"/><Relationship Id="rId251" Type="http://schemas.openxmlformats.org/officeDocument/2006/relationships/hyperlink" Target="https://www.youtube.com/watch?v=_8-BA5ti370" TargetMode="External"/><Relationship Id="rId489" Type="http://schemas.openxmlformats.org/officeDocument/2006/relationships/hyperlink" Target="https://www.youtube.com/watch?v=Bw5WP_9-BLo" TargetMode="External"/><Relationship Id="rId696" Type="http://schemas.openxmlformats.org/officeDocument/2006/relationships/hyperlink" Target="https://www.youtube.com/watch?v=D_PWBaL7GNg" TargetMode="External"/><Relationship Id="rId349" Type="http://schemas.openxmlformats.org/officeDocument/2006/relationships/hyperlink" Target="https://www.youtube.com/watch?v=eJrqogUe7Us" TargetMode="External"/><Relationship Id="rId556" Type="http://schemas.openxmlformats.org/officeDocument/2006/relationships/hyperlink" Target="https://www.youtube.com/watch?v=vGwbGM_oa2g" TargetMode="External"/><Relationship Id="rId763" Type="http://schemas.openxmlformats.org/officeDocument/2006/relationships/hyperlink" Target="https://www.youtube.com/watch?v=esM2WlE56EI" TargetMode="External"/><Relationship Id="rId1186" Type="http://schemas.openxmlformats.org/officeDocument/2006/relationships/hyperlink" Target="https://gld.legislaturacba.gob.ar/Publics/Actas.aspx?id=2r17P9AK8X4=" TargetMode="External"/><Relationship Id="rId111" Type="http://schemas.openxmlformats.org/officeDocument/2006/relationships/hyperlink" Targe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5" Type="http://schemas.openxmlformats.org/officeDocument/2006/relationships/hyperlink" Targe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9" Type="http://schemas.openxmlformats.org/officeDocument/2006/relationships/hyperlink" Targe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6" Type="http://schemas.openxmlformats.org/officeDocument/2006/relationships/hyperlink" Targe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70" Type="http://schemas.openxmlformats.org/officeDocument/2006/relationships/hyperlink" Target="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46" Type="http://schemas.openxmlformats.org/officeDocument/2006/relationships/hyperlink" Target="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53" Type="http://schemas.openxmlformats.org/officeDocument/2006/relationships/hyperlink" Target="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623" Type="http://schemas.openxmlformats.org/officeDocument/2006/relationships/hyperlink" Target="https://www.youtube.com/watch?v=ENWm_46gYYM" TargetMode="External"/><Relationship Id="rId830" Type="http://schemas.openxmlformats.org/officeDocument/2006/relationships/hyperlink" Targe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8" Type="http://schemas.openxmlformats.org/officeDocument/2006/relationships/hyperlink" Target="https://gld.legislaturacba.gob.ar/Publics/Actas.aspx?id=2i2ILyd1Qtg=;https://gld.legislaturacba.gob.ar/Publics/Actas.aspx?id=JFT0eAopAyk=;https://gld.legislaturacba.gob.ar/Publics/Actas.aspx?id=Gr3QIOt_K8I=" TargetMode="External"/><Relationship Id="rId57" Type="http://schemas.openxmlformats.org/officeDocument/2006/relationships/hyperlink" Targe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2" Type="http://schemas.openxmlformats.org/officeDocument/2006/relationships/hyperlink" Targe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7" Type="http://schemas.openxmlformats.org/officeDocument/2006/relationships/hyperlink" Targe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3" Type="http://schemas.openxmlformats.org/officeDocument/2006/relationships/hyperlink" Target="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97" Type="http://schemas.openxmlformats.org/officeDocument/2006/relationships/hyperlink" Target="https://www.youtube.com/watch?v=LOEISRMcIaE" TargetMode="External"/><Relationship Id="rId1320" Type="http://schemas.openxmlformats.org/officeDocument/2006/relationships/hyperlink" Target="https://gld.legislaturacba.gob.ar/Publics/Actas.aspx?id=BIuBmm8Xvcc=" TargetMode="External"/><Relationship Id="rId122" Type="http://schemas.openxmlformats.org/officeDocument/2006/relationships/hyperlink" Target="https://www.youtube.com/watch?v=4IRg-Flt1mQ" TargetMode="External"/><Relationship Id="rId774" Type="http://schemas.openxmlformats.org/officeDocument/2006/relationships/hyperlink" Targe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81" Type="http://schemas.openxmlformats.org/officeDocument/2006/relationships/hyperlink" Target="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57" Type="http://schemas.openxmlformats.org/officeDocument/2006/relationships/hyperlink" Target="https://gld.legislaturacba.gob.ar/Publics/Actas.aspx?id=T-RA1y7D3Ww=" TargetMode="External"/><Relationship Id="rId427" Type="http://schemas.openxmlformats.org/officeDocument/2006/relationships/hyperlink" Targe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4" Type="http://schemas.openxmlformats.org/officeDocument/2006/relationships/hyperlink" Target="https://www.youtube.com/watch?v=JrVTLPfTEaY" TargetMode="External"/><Relationship Id="rId841" Type="http://schemas.openxmlformats.org/officeDocument/2006/relationships/hyperlink" Targe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64" Type="http://schemas.openxmlformats.org/officeDocument/2006/relationships/hyperlink" Target="https://www.youtube.com/watch?v=KxBx6Ls0HoQ" TargetMode="External"/><Relationship Id="rId273" Type="http://schemas.openxmlformats.org/officeDocument/2006/relationships/hyperlink" Targe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0"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01" Type="http://schemas.openxmlformats.org/officeDocument/2006/relationships/hyperlink" Targe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9" Type="http://schemas.openxmlformats.org/officeDocument/2006/relationships/hyperlink" Target="https://www.youtube.com/watch?v=XvRwezdCAmI" TargetMode="External"/><Relationship Id="rId1124" Type="http://schemas.openxmlformats.org/officeDocument/2006/relationships/hyperlink" Target="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31" Type="http://schemas.openxmlformats.org/officeDocument/2006/relationships/hyperlink" Target="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68" Type="http://schemas.openxmlformats.org/officeDocument/2006/relationships/hyperlink" Target="https://www.youtube.com/watch?v=mZikB96oorc" TargetMode="External"/><Relationship Id="rId133" Type="http://schemas.openxmlformats.org/officeDocument/2006/relationships/hyperlink" Targe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0" Type="http://schemas.openxmlformats.org/officeDocument/2006/relationships/hyperlink" Target="https://www.youtube.com/watch?v=nzFCULzmXXE" TargetMode="External"/><Relationship Id="rId578" Type="http://schemas.openxmlformats.org/officeDocument/2006/relationships/hyperlink" Targe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5" Type="http://schemas.openxmlformats.org/officeDocument/2006/relationships/hyperlink" Target="https://gld.legislaturacba.gob.ar/Publics/Actas.aspx?id=oAiBx-bhP_I=;https://gld.legislaturacba.gob.ar/Publics/Actas.aspx?id=y_aDywNOZ28=;https://gld.legislaturacba.gob.ar/Publics/Actas.aspx?id=7iPYs0mt9Cw=;https://gld.legislaturacba.gob.ar/Publics/Actas.aspx?id=WyDlY4evEQI=" TargetMode="External"/><Relationship Id="rId992" Type="http://schemas.openxmlformats.org/officeDocument/2006/relationships/hyperlink" Target="https://www.youtube.com/watch?v=wWQ8e95Bd0k" TargetMode="External"/><Relationship Id="rId200" Type="http://schemas.openxmlformats.org/officeDocument/2006/relationships/hyperlink" Target="https://www.youtube.com/watch?v=mC1lqGMl2XU" TargetMode="External"/><Relationship Id="rId438" Type="http://schemas.openxmlformats.org/officeDocument/2006/relationships/hyperlink" Targe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5" Type="http://schemas.openxmlformats.org/officeDocument/2006/relationships/hyperlink" Targe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2" Type="http://schemas.openxmlformats.org/officeDocument/2006/relationships/hyperlink" Targe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68" Type="http://schemas.openxmlformats.org/officeDocument/2006/relationships/hyperlink" Target="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75" Type="http://schemas.openxmlformats.org/officeDocument/2006/relationships/hyperlink" Target="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84" Type="http://schemas.openxmlformats.org/officeDocument/2006/relationships/hyperlink" Targe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491" Type="http://schemas.openxmlformats.org/officeDocument/2006/relationships/hyperlink" Target="https://www.youtube.com/watch?v=7SfWPom3klM" TargetMode="External"/><Relationship Id="rId505" Type="http://schemas.openxmlformats.org/officeDocument/2006/relationships/hyperlink" Targe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2" Type="http://schemas.openxmlformats.org/officeDocument/2006/relationships/hyperlink" Targe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5" Type="http://schemas.openxmlformats.org/officeDocument/2006/relationships/hyperlink" Target="https://gld.legislaturacba.gob.ar/Publics/Actas.aspx?id=eIt4rSiGWnU=" TargetMode="External"/><Relationship Id="rId1342" Type="http://schemas.openxmlformats.org/officeDocument/2006/relationships/hyperlink" Target="https://www.youtube.com/watch?v=ZW4ZeuiWDgw" TargetMode="External"/><Relationship Id="rId79" Type="http://schemas.openxmlformats.org/officeDocument/2006/relationships/hyperlink" Targe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 Type="http://schemas.openxmlformats.org/officeDocument/2006/relationships/hyperlink" Targe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9" Type="http://schemas.openxmlformats.org/officeDocument/2006/relationships/hyperlink" Target="https://www.youtube.com/watch?v=TKlXyKWVwlg" TargetMode="External"/><Relationship Id="rId796" Type="http://schemas.openxmlformats.org/officeDocument/2006/relationships/hyperlink" Targe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2" Type="http://schemas.openxmlformats.org/officeDocument/2006/relationships/hyperlink" Target="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51" Type="http://schemas.openxmlformats.org/officeDocument/2006/relationships/hyperlink" Targe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9" Type="http://schemas.openxmlformats.org/officeDocument/2006/relationships/hyperlink" Target="https://www.youtube.com/watch?v=j738bC5gtSA" TargetMode="External"/><Relationship Id="rId656" Type="http://schemas.openxmlformats.org/officeDocument/2006/relationships/hyperlink" Target="https://www.youtube.com/watch?v=bmkeftXCDUY" TargetMode="External"/><Relationship Id="rId863" Type="http://schemas.openxmlformats.org/officeDocument/2006/relationships/hyperlink" Target="https://www.youtube.com/watch?v=9yHkvDFO8aU" TargetMode="External"/><Relationship Id="rId1079" Type="http://schemas.openxmlformats.org/officeDocument/2006/relationships/hyperlink" Target="https://gld.legislaturacba.gob.ar/Publics/Actas.aspx?id=77akFJ2p7bc=" TargetMode="External"/><Relationship Id="rId1286" Type="http://schemas.openxmlformats.org/officeDocument/2006/relationships/hyperlink" Target="https://www.youtube.com/watch?v=khhrY2rrHiQ" TargetMode="External"/><Relationship Id="rId211" Type="http://schemas.openxmlformats.org/officeDocument/2006/relationships/hyperlink" Targe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95" Type="http://schemas.openxmlformats.org/officeDocument/2006/relationships/hyperlink" Target="https://www.youtube.com/watch?v=-NKDvABYslM" TargetMode="External"/><Relationship Id="rId309" Type="http://schemas.openxmlformats.org/officeDocument/2006/relationships/hyperlink" Target="https://www.youtube.com/watch?v=Am4QbKSB-4I" TargetMode="External"/><Relationship Id="rId516" Type="http://schemas.openxmlformats.org/officeDocument/2006/relationships/hyperlink" Targe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46" Type="http://schemas.openxmlformats.org/officeDocument/2006/relationships/hyperlink" Target="https://www.youtube.com/watch?v=Da5GuV0dKxc" TargetMode="External"/><Relationship Id="rId723" Type="http://schemas.openxmlformats.org/officeDocument/2006/relationships/hyperlink" Target="https://www.youtube.com/watch?v=njciRI9x1RA" TargetMode="External"/><Relationship Id="rId930" Type="http://schemas.openxmlformats.org/officeDocument/2006/relationships/hyperlink" Target="https://www.youtube.com/watch?v=oLiAO9mTVSM" TargetMode="External"/><Relationship Id="rId1006" Type="http://schemas.openxmlformats.org/officeDocument/2006/relationships/hyperlink" Target="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53" Type="http://schemas.openxmlformats.org/officeDocument/2006/relationships/hyperlink" Target="https://gld.legislaturacba.gob.ar/Publics/Actas.aspx?id=HOuDYrZrxAU=" TargetMode="External"/><Relationship Id="rId155" Type="http://schemas.openxmlformats.org/officeDocument/2006/relationships/hyperlink" Targe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2" Type="http://schemas.openxmlformats.org/officeDocument/2006/relationships/hyperlink" Target="https://www.youtube.com/watch?v=VHDkL1nURbw" TargetMode="External"/><Relationship Id="rId1213" Type="http://schemas.openxmlformats.org/officeDocument/2006/relationships/hyperlink" Target="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97" Type="http://schemas.openxmlformats.org/officeDocument/2006/relationships/hyperlink" Target="https://gld.legislaturacba.gob.ar/Publics/Actas.aspx?id=wzMmH5wG9FA=" TargetMode="External"/><Relationship Id="rId222" Type="http://schemas.openxmlformats.org/officeDocument/2006/relationships/hyperlink" Targe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7" Type="http://schemas.openxmlformats.org/officeDocument/2006/relationships/hyperlink" Target="https://www.youtube.com/watch?v=ger3Q8VHvmY" TargetMode="External"/><Relationship Id="rId874" Type="http://schemas.openxmlformats.org/officeDocument/2006/relationships/hyperlink" Target="https://www.youtube.com/watch?v=2VZY9GZ8-gM" TargetMode="External"/><Relationship Id="rId17" Type="http://schemas.openxmlformats.org/officeDocument/2006/relationships/hyperlink" Target="https://www.youtube.com/watch?v=RfZnXExkPbo" TargetMode="External"/><Relationship Id="rId527" Type="http://schemas.openxmlformats.org/officeDocument/2006/relationships/hyperlink" Targe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4" Type="http://schemas.openxmlformats.org/officeDocument/2006/relationships/hyperlink" Target="https://www.youtube.com/watch?v=SV36PQceT6M" TargetMode="External"/><Relationship Id="rId941" Type="http://schemas.openxmlformats.org/officeDocument/2006/relationships/hyperlink" Target="https://www.youtube.com/watch?v=EqnI_CcUMRc" TargetMode="External"/><Relationship Id="rId1157" Type="http://schemas.openxmlformats.org/officeDocument/2006/relationships/hyperlink" Target="https://gld.legislaturacba.gob.ar/Publics/Actas.aspx?id=cM-W_H8ab34=" TargetMode="External"/><Relationship Id="rId1364" Type="http://schemas.openxmlformats.org/officeDocument/2006/relationships/hyperlink" Target="https://www.youtube.com/watch?v=mxzmjGCbTCo" TargetMode="External"/><Relationship Id="rId70" Type="http://schemas.openxmlformats.org/officeDocument/2006/relationships/hyperlink" Target="https://www.youtube.com/watch?v=OP7J1_I14rc" TargetMode="External"/><Relationship Id="rId166" Type="http://schemas.openxmlformats.org/officeDocument/2006/relationships/hyperlink" Target="https://www.youtube.com/watch?v=7Vn9mBijDiA" TargetMode="External"/><Relationship Id="rId373" Type="http://schemas.openxmlformats.org/officeDocument/2006/relationships/hyperlink" Target="https://www.youtube.com/watch?v=4D-gLaNHUHM" TargetMode="External"/><Relationship Id="rId580" Type="http://schemas.openxmlformats.org/officeDocument/2006/relationships/hyperlink" Targe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01" Type="http://schemas.openxmlformats.org/officeDocument/2006/relationships/hyperlink" Target="https://www.youtube.com/watch?v=E9NU4IJ3MWY" TargetMode="External"/><Relationship Id="rId1017" Type="http://schemas.openxmlformats.org/officeDocument/2006/relationships/hyperlink" Target="https://www.youtube.com/watch?v=Nf_rtZudFRE" TargetMode="External"/><Relationship Id="rId1224" Type="http://schemas.openxmlformats.org/officeDocument/2006/relationships/hyperlink" Target="https://gld.legislaturacba.gob.ar/Publics/Actas.aspx?id=3H3EtxsQShU=;NA" TargetMode="External"/><Relationship Id="rId1" Type="http://schemas.openxmlformats.org/officeDocument/2006/relationships/hyperlink" Target="https://gld.legislaturacba.gob.ar/Publics/Actas.aspx?id=Axm3py3JWEs=" TargetMode="External"/><Relationship Id="rId233" Type="http://schemas.openxmlformats.org/officeDocument/2006/relationships/hyperlink" Target="https://www.youtube.com/watch?v=zFs2oKHDPsA" TargetMode="External"/><Relationship Id="rId440" Type="http://schemas.openxmlformats.org/officeDocument/2006/relationships/hyperlink" Targe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8" Type="http://schemas.openxmlformats.org/officeDocument/2006/relationships/hyperlink" Targe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5" Type="http://schemas.openxmlformats.org/officeDocument/2006/relationships/hyperlink" Targe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TargetMode="External"/><Relationship Id="rId1070" Type="http://schemas.openxmlformats.org/officeDocument/2006/relationships/hyperlink" Target="https://gld.legislaturacba.gob.ar/Publics/Actas.aspx?id=rI-Wju-o9Lw=" TargetMode="External"/><Relationship Id="rId28" Type="http://schemas.openxmlformats.org/officeDocument/2006/relationships/hyperlink" Target="https://www.youtube.com/watch?v=djS9MQlIzg8" TargetMode="External"/><Relationship Id="rId300" Type="http://schemas.openxmlformats.org/officeDocument/2006/relationships/hyperlink" Targe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8" Type="http://schemas.openxmlformats.org/officeDocument/2006/relationships/hyperlink" Target="https://www.youtube.com/watch?v=J5md5YQNBGM" TargetMode="External"/><Relationship Id="rId745" Type="http://schemas.openxmlformats.org/officeDocument/2006/relationships/hyperlink" Targe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2" Type="http://schemas.openxmlformats.org/officeDocument/2006/relationships/hyperlink" Target="https://www.youtube.com/watch?v=bp69RRTvAmk" TargetMode="External"/><Relationship Id="rId1168" Type="http://schemas.openxmlformats.org/officeDocument/2006/relationships/hyperlink" Target="https://www.youtube.com/watch?v=ro_2IzPR0WM" TargetMode="External"/><Relationship Id="rId1375" Type="http://schemas.openxmlformats.org/officeDocument/2006/relationships/hyperlink" Target="https://gld.legislaturacba.gob.ar/Publics/Actas.aspx?id=XrjdqrDNRLk=" TargetMode="External"/><Relationship Id="rId81" Type="http://schemas.openxmlformats.org/officeDocument/2006/relationships/hyperlink" Targe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7" Type="http://schemas.openxmlformats.org/officeDocument/2006/relationships/hyperlink" Targe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4" Type="http://schemas.openxmlformats.org/officeDocument/2006/relationships/hyperlink" Targe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1" Type="http://schemas.openxmlformats.org/officeDocument/2006/relationships/hyperlink" Target="https://www.youtube.com/watch?v=cv4LL6LJwr0" TargetMode="External"/><Relationship Id="rId605" Type="http://schemas.openxmlformats.org/officeDocument/2006/relationships/hyperlink" Targe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2" Type="http://schemas.openxmlformats.org/officeDocument/2006/relationships/hyperlink" Targe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28" Type="http://schemas.openxmlformats.org/officeDocument/2006/relationships/hyperlink" Target="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35" Type="http://schemas.openxmlformats.org/officeDocument/2006/relationships/hyperlink" Target="https://www.youtube.com/watch?v=voiuoW8J0k8" TargetMode="External"/><Relationship Id="rId244" Type="http://schemas.openxmlformats.org/officeDocument/2006/relationships/hyperlink" Targe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9" Type="http://schemas.openxmlformats.org/officeDocument/2006/relationships/hyperlink" Targe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6" Type="http://schemas.openxmlformats.org/officeDocument/2006/relationships/hyperlink" Targe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TargetMode="External"/><Relationship Id="rId1081" Type="http://schemas.openxmlformats.org/officeDocument/2006/relationships/hyperlink" Target="https://www.youtube.com/watch?v=nzvTQ6qYE6E" TargetMode="External"/><Relationship Id="rId1302" Type="http://schemas.openxmlformats.org/officeDocument/2006/relationships/hyperlink" Target="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39" Type="http://schemas.openxmlformats.org/officeDocument/2006/relationships/hyperlink" Targe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1" Type="http://schemas.openxmlformats.org/officeDocument/2006/relationships/hyperlink" Target="https://www.youtube.com/watch?v=pM8sHsv8GVo" TargetMode="External"/><Relationship Id="rId549" Type="http://schemas.openxmlformats.org/officeDocument/2006/relationships/hyperlink" Targe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6" Type="http://schemas.openxmlformats.org/officeDocument/2006/relationships/hyperlink" Targe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79" Type="http://schemas.openxmlformats.org/officeDocument/2006/relationships/hyperlink" Target="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86" Type="http://schemas.openxmlformats.org/officeDocument/2006/relationships/hyperlink" Target="https://gld.legislaturacba.gob.ar/Publics/Actas.aspx?id=hdvyaDILPRk=" TargetMode="External"/><Relationship Id="rId104" Type="http://schemas.openxmlformats.org/officeDocument/2006/relationships/hyperlink" Target="https://www.youtube.com/watch?v=vWt3AhB8_4E" TargetMode="External"/><Relationship Id="rId188" Type="http://schemas.openxmlformats.org/officeDocument/2006/relationships/hyperlink" Target="https://gld.legislaturacba.gob.ar/Publics/Actas.aspx?id=zewMGhUKxyM=;https://gld.legislaturacba.gob.ar/Publics/Actas.aspx?id=GMwZnJwnwgE=;https://gld.legislaturacba.gob.ar/Publics/Actas.aspx?id=0Eqm4TgambM=" TargetMode="External"/><Relationship Id="rId311" Type="http://schemas.openxmlformats.org/officeDocument/2006/relationships/hyperlink" Targe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5" Type="http://schemas.openxmlformats.org/officeDocument/2006/relationships/hyperlink" Target="https://www.youtube.com/watch?v=Mo_k2uBGWsc" TargetMode="External"/><Relationship Id="rId409" Type="http://schemas.openxmlformats.org/officeDocument/2006/relationships/hyperlink" Target="https://www.youtube.com/watch?v=bphiDXt8kbk" TargetMode="External"/><Relationship Id="rId963" Type="http://schemas.openxmlformats.org/officeDocument/2006/relationships/hyperlink" Targe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39" Type="http://schemas.openxmlformats.org/officeDocument/2006/relationships/hyperlink" Target="https://gld.legislaturacba.gob.ar/Publics/Actas.aspx?id=ozd88n9ynXA=" TargetMode="External"/><Relationship Id="rId1246" Type="http://schemas.openxmlformats.org/officeDocument/2006/relationships/hyperlink" Target="https://www.youtube.com/watch?v=dDW4OWYaxcw" TargetMode="External"/><Relationship Id="rId92" Type="http://schemas.openxmlformats.org/officeDocument/2006/relationships/hyperlink" Target="https://www.youtube.com/watch?v=T-kVdu39kVM" TargetMode="External"/><Relationship Id="rId616" Type="http://schemas.openxmlformats.org/officeDocument/2006/relationships/hyperlink" Targe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3" Type="http://schemas.openxmlformats.org/officeDocument/2006/relationships/hyperlink" Targe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55" Type="http://schemas.openxmlformats.org/officeDocument/2006/relationships/hyperlink" Target="https://www.youtube.com/watch?v=qtR9DXq3br8" TargetMode="External"/><Relationship Id="rId462" Type="http://schemas.openxmlformats.org/officeDocument/2006/relationships/hyperlink" Target="https://www.youtube.com/watch?v=o1HhqFAeAaw" TargetMode="External"/><Relationship Id="rId1092" Type="http://schemas.openxmlformats.org/officeDocument/2006/relationships/hyperlink" Target="https://www.youtube.com/watch?v=nKbcyI0ptWI" TargetMode="External"/><Relationship Id="rId1106" Type="http://schemas.openxmlformats.org/officeDocument/2006/relationships/hyperlink" Target="https://gld.legislaturacba.gob.ar/Publics/Actas.aspx?id=zXA0wDRcOXg=" TargetMode="External"/><Relationship Id="rId1313" Type="http://schemas.openxmlformats.org/officeDocument/2006/relationships/hyperlink" Target="https://www.youtube.com/watch?v=ZHvaRIWNx1A" TargetMode="External"/><Relationship Id="rId115" Type="http://schemas.openxmlformats.org/officeDocument/2006/relationships/hyperlink" Target="https://www.youtube.com/watch?v=RjL2cgpjhY0" TargetMode="External"/><Relationship Id="rId322" Type="http://schemas.openxmlformats.org/officeDocument/2006/relationships/hyperlink" Target="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67" Type="http://schemas.openxmlformats.org/officeDocument/2006/relationships/hyperlink" Target="https://www.youtube.com/watch?v=FjWWIxeW0L8" TargetMode="External"/><Relationship Id="rId974" Type="http://schemas.openxmlformats.org/officeDocument/2006/relationships/hyperlink" Target="https://gld.legislaturacba.gob.ar/Publics/Actas.aspx?id=4I2A3AGxQk0=;https://gld.legislaturacba.gob.ar/Publics/Actas.aspx?id=1sI1d-Xo0TE=" TargetMode="External"/><Relationship Id="rId199" Type="http://schemas.openxmlformats.org/officeDocument/2006/relationships/hyperlink" Targe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27" Type="http://schemas.openxmlformats.org/officeDocument/2006/relationships/hyperlink" Target="https://www.youtube.com/watch?v=WNGvZBExs2k" TargetMode="External"/><Relationship Id="rId834" Type="http://schemas.openxmlformats.org/officeDocument/2006/relationships/hyperlink" Targe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57" Type="http://schemas.openxmlformats.org/officeDocument/2006/relationships/hyperlink" Target="https://www.youtube.com/watch?v=Wny_UzQbXIk" TargetMode="External"/><Relationship Id="rId266" Type="http://schemas.openxmlformats.org/officeDocument/2006/relationships/hyperlink" Targe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3" Type="http://schemas.openxmlformats.org/officeDocument/2006/relationships/hyperlink" Targe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0" Type="http://schemas.openxmlformats.org/officeDocument/2006/relationships/hyperlink" Targe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01" Type="http://schemas.openxmlformats.org/officeDocument/2006/relationships/hyperlink" Targe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TargetMode="External"/><Relationship Id="rId1117" Type="http://schemas.openxmlformats.org/officeDocument/2006/relationships/hyperlink" Target="https://gld.legislaturacba.gob.ar/Publics/Actas.aspx?id=T_idxx1Wvd4=;https://gld.legislaturacba.gob.ar/Publics/Actas.aspx?id=1l0Zvqti13A=" TargetMode="External"/><Relationship Id="rId1324" Type="http://schemas.openxmlformats.org/officeDocument/2006/relationships/hyperlink" Target="https://gld.legislaturacba.gob.ar/Publics/Actas.aspx?id=2VCXbTtVbek=;https://gld.legislaturacba.gob.ar/Publics/Actas.aspx?id=jbz25Hj9nZ8=" TargetMode="External"/><Relationship Id="rId30" Type="http://schemas.openxmlformats.org/officeDocument/2006/relationships/hyperlink" Target="https://www.youtube.com/watch?v=aL7VO4R-0B0" TargetMode="External"/><Relationship Id="rId126" Type="http://schemas.openxmlformats.org/officeDocument/2006/relationships/hyperlink" Target="https://www.youtube.com/watch?v=g35kzRP_XjU" TargetMode="External"/><Relationship Id="rId333" Type="http://schemas.openxmlformats.org/officeDocument/2006/relationships/hyperlink" Targe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0" Type="http://schemas.openxmlformats.org/officeDocument/2006/relationships/hyperlink" Target="https://www.youtube.com/watch?v=hVHDGGx3SLU" TargetMode="External"/><Relationship Id="rId778" Type="http://schemas.openxmlformats.org/officeDocument/2006/relationships/hyperlink" Targe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85" Type="http://schemas.openxmlformats.org/officeDocument/2006/relationships/hyperlink" Targe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70" Type="http://schemas.openxmlformats.org/officeDocument/2006/relationships/hyperlink" Target="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638" Type="http://schemas.openxmlformats.org/officeDocument/2006/relationships/hyperlink" Target="https://www.youtube.com/watch?v=s5BY3eVemR0" TargetMode="External"/><Relationship Id="rId845" Type="http://schemas.openxmlformats.org/officeDocument/2006/relationships/hyperlink" Target="https://gld.legislaturacba.gob.ar/Publics/Actas.aspx?id=_IAMwlVivao=;https://gld.legislaturacba.gob.ar/Publics/Actas.aspx?id=RPOkn2gov8U=" TargetMode="External"/><Relationship Id="rId1030" Type="http://schemas.openxmlformats.org/officeDocument/2006/relationships/hyperlink" Target="https://gld.legislaturacba.gob.ar/Publics/Actas.aspx?id=Z8gTtPMo0ms=" TargetMode="External"/><Relationship Id="rId1268" Type="http://schemas.openxmlformats.org/officeDocument/2006/relationships/hyperlink" Target="https://www.youtube.com/watch?v=TZWHxpf4wxk" TargetMode="External"/><Relationship Id="rId277" Type="http://schemas.openxmlformats.org/officeDocument/2006/relationships/hyperlink" Targe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0" Type="http://schemas.openxmlformats.org/officeDocument/2006/relationships/hyperlink" Targe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4" Type="http://schemas.openxmlformats.org/officeDocument/2006/relationships/hyperlink" Targe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05" Type="http://schemas.openxmlformats.org/officeDocument/2006/relationships/hyperlink" Target="https://www.youtube.com/watch?v=ggJ8_X2pdVw" TargetMode="External"/><Relationship Id="rId1128" Type="http://schemas.openxmlformats.org/officeDocument/2006/relationships/hyperlink" Target="https://www.youtube.com/watch?v=l51lS1cLEWk" TargetMode="External"/><Relationship Id="rId1335" Type="http://schemas.openxmlformats.org/officeDocument/2006/relationships/hyperlink" Target="https://www.youtube.com/watch?v=KJ68Ku-0Zg8" TargetMode="External"/><Relationship Id="rId137" Type="http://schemas.openxmlformats.org/officeDocument/2006/relationships/hyperlink" Targe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4" Type="http://schemas.openxmlformats.org/officeDocument/2006/relationships/hyperlink" Targe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1" Type="http://schemas.openxmlformats.org/officeDocument/2006/relationships/hyperlink" Targe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9" Type="http://schemas.openxmlformats.org/officeDocument/2006/relationships/hyperlink" Target="https://www.youtube.com/watch?v=MEtwqeoPP_o&amp;t" TargetMode="External"/><Relationship Id="rId912" Type="http://schemas.openxmlformats.org/officeDocument/2006/relationships/hyperlink" Target="https://www.youtube.com/watch?v=CGQUjBt3m7I" TargetMode="External"/><Relationship Id="rId996" Type="http://schemas.openxmlformats.org/officeDocument/2006/relationships/hyperlink" Target="https://www.youtube.com/watch?v=ovaHFXT0mis" TargetMode="External"/><Relationship Id="rId41" Type="http://schemas.openxmlformats.org/officeDocument/2006/relationships/hyperlink" Targe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51" Type="http://schemas.openxmlformats.org/officeDocument/2006/relationships/hyperlink" Targe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9" Type="http://schemas.openxmlformats.org/officeDocument/2006/relationships/hyperlink" Target="https://www.youtube.com/watch?v=zB64CC5gLMc" TargetMode="External"/><Relationship Id="rId856" Type="http://schemas.openxmlformats.org/officeDocument/2006/relationships/hyperlink" Targe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1" Type="http://schemas.openxmlformats.org/officeDocument/2006/relationships/hyperlink" Target="https://gld.legislaturacba.gob.ar/Publics/Actas.aspx?id=xMidq6EBdhc=" TargetMode="External"/><Relationship Id="rId1279" Type="http://schemas.openxmlformats.org/officeDocument/2006/relationships/hyperlink" Target="https://gld.legislaturacba.gob.ar/Publics/Actas.aspx?id=zU6RcUBrNjQ=" TargetMode="External"/><Relationship Id="rId190" Type="http://schemas.openxmlformats.org/officeDocument/2006/relationships/hyperlink" Target="https://www.youtube.com/watch?v=h3EUrMgHoKw" TargetMode="External"/><Relationship Id="rId204" Type="http://schemas.openxmlformats.org/officeDocument/2006/relationships/hyperlink" Targe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8" Type="http://schemas.openxmlformats.org/officeDocument/2006/relationships/hyperlink" Targe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1" Type="http://schemas.openxmlformats.org/officeDocument/2006/relationships/hyperlink" Target="https://www.youtube.com/watch?v=k7LXVlMZ9Bs" TargetMode="External"/><Relationship Id="rId509" Type="http://schemas.openxmlformats.org/officeDocument/2006/relationships/hyperlink" Targe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1" Type="http://schemas.openxmlformats.org/officeDocument/2006/relationships/hyperlink" Target="https://www.youtube.com/watch?v=Qdy0hq-8z1E" TargetMode="External"/><Relationship Id="rId1139" Type="http://schemas.openxmlformats.org/officeDocument/2006/relationships/hyperlink" Target="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46" Type="http://schemas.openxmlformats.org/officeDocument/2006/relationships/hyperlink" Target="https://gld.legislaturacba.gob.ar/Publics/Actas.aspx?id=WUY20FbWsYA=" TargetMode="External"/><Relationship Id="rId495" Type="http://schemas.openxmlformats.org/officeDocument/2006/relationships/hyperlink" Target="https://www.youtube.com/watch?v=4kMZngFeGVw" TargetMode="External"/><Relationship Id="rId716" Type="http://schemas.openxmlformats.org/officeDocument/2006/relationships/hyperlink" Targe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3" Type="http://schemas.openxmlformats.org/officeDocument/2006/relationships/hyperlink" Target="https://www.youtube.com/watch?v=MveWz4f2klY" TargetMode="External"/><Relationship Id="rId52" Type="http://schemas.openxmlformats.org/officeDocument/2006/relationships/hyperlink" Targe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8" Type="http://schemas.openxmlformats.org/officeDocument/2006/relationships/hyperlink" Targe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5" Type="http://schemas.openxmlformats.org/officeDocument/2006/relationships/hyperlink" Target="https://www.youtube.com/watch?v=CESEC-eZuKM" TargetMode="External"/><Relationship Id="rId562" Type="http://schemas.openxmlformats.org/officeDocument/2006/relationships/hyperlink" Target="https://www.youtube.com/watch?v=_ajJWdFlkas" TargetMode="External"/><Relationship Id="rId1192" Type="http://schemas.openxmlformats.org/officeDocument/2006/relationships/hyperlink" Target="https://gld.legislaturacba.gob.ar/Publics/Actas.aspx?id=qPxCrPMhmEY=" TargetMode="External"/><Relationship Id="rId1206" Type="http://schemas.openxmlformats.org/officeDocument/2006/relationships/hyperlink" Target="https://gld.legislaturacba.gob.ar/Publics/Actas.aspx?id=H4ptXP01yok=" TargetMode="External"/><Relationship Id="rId215" Type="http://schemas.openxmlformats.org/officeDocument/2006/relationships/hyperlink" Targe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2" Type="http://schemas.openxmlformats.org/officeDocument/2006/relationships/hyperlink" Target="https://www.youtube.com/watch?v=9l_Mfb9-QEw" TargetMode="External"/><Relationship Id="rId867" Type="http://schemas.openxmlformats.org/officeDocument/2006/relationships/hyperlink" Target="https://www.youtube.com/watch?v=jkZf1V4UblU" TargetMode="External"/><Relationship Id="rId1052" Type="http://schemas.openxmlformats.org/officeDocument/2006/relationships/hyperlink" Target="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299" Type="http://schemas.openxmlformats.org/officeDocument/2006/relationships/hyperlink" Target="https://www.youtube.com/watch?v=sNHwYlMvZYg" TargetMode="External"/><Relationship Id="rId727" Type="http://schemas.openxmlformats.org/officeDocument/2006/relationships/hyperlink" Target="https://www.youtube.com/watch?v=5HHydFCuJfA" TargetMode="External"/><Relationship Id="rId934" Type="http://schemas.openxmlformats.org/officeDocument/2006/relationships/hyperlink" Target="https://www.youtube.com/watch?v=kYkxrHKzUco" TargetMode="External"/><Relationship Id="rId1357" Type="http://schemas.openxmlformats.org/officeDocument/2006/relationships/hyperlink" Target="https://www.youtube.com/watch?v=tZ_K77v7gzc" TargetMode="External"/><Relationship Id="rId63" Type="http://schemas.openxmlformats.org/officeDocument/2006/relationships/hyperlink" Targe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9" Type="http://schemas.openxmlformats.org/officeDocument/2006/relationships/hyperlink" Targe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6" Type="http://schemas.openxmlformats.org/officeDocument/2006/relationships/hyperlink" Targe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3" Type="http://schemas.openxmlformats.org/officeDocument/2006/relationships/hyperlink" Target="https://gld.legislaturacba.gob.ar/Publics/Actas.aspx?id=DNaGY1SY15Y=" TargetMode="External"/><Relationship Id="rId780" Type="http://schemas.openxmlformats.org/officeDocument/2006/relationships/hyperlink" Targe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17" Type="http://schemas.openxmlformats.org/officeDocument/2006/relationships/hyperlink" Target="https://www.youtube.com/watch?v=UGbZ-T87atw" TargetMode="External"/><Relationship Id="rId226" Type="http://schemas.openxmlformats.org/officeDocument/2006/relationships/hyperlink" Targe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3" Type="http://schemas.openxmlformats.org/officeDocument/2006/relationships/hyperlink" Target="https://www.youtube.com/watch?v=egSDKsZWo1o" TargetMode="External"/><Relationship Id="rId878" Type="http://schemas.openxmlformats.org/officeDocument/2006/relationships/hyperlink" Target="https://www.youtube.com/watch?v=WR84Vu1SRqQ" TargetMode="External"/><Relationship Id="rId1063" Type="http://schemas.openxmlformats.org/officeDocument/2006/relationships/hyperlink" Target="https://www.youtube.com/watch?v=KTg6feO58e4" TargetMode="External"/><Relationship Id="rId1270" Type="http://schemas.openxmlformats.org/officeDocument/2006/relationships/hyperlink" Target="https://www.youtube.com/watch?v=RH2aYnkn1UU" TargetMode="External"/><Relationship Id="rId640" Type="http://schemas.openxmlformats.org/officeDocument/2006/relationships/hyperlink" Targe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8" Type="http://schemas.openxmlformats.org/officeDocument/2006/relationships/hyperlink" Target="https://www.youtube.com/watch?v=7EZqjW_hsb8" TargetMode="External"/><Relationship Id="rId945" Type="http://schemas.openxmlformats.org/officeDocument/2006/relationships/hyperlink" Target="https://www.youtube.com/watch?v=GJ34d8N-1X4" TargetMode="External"/><Relationship Id="rId1368" Type="http://schemas.openxmlformats.org/officeDocument/2006/relationships/hyperlink" Target="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4" Type="http://schemas.openxmlformats.org/officeDocument/2006/relationships/hyperlink" Target="https://www.youtube.com/watch?v=9NmtZ6tejtE" TargetMode="External"/><Relationship Id="rId377" Type="http://schemas.openxmlformats.org/officeDocument/2006/relationships/hyperlink" Target="https://www.youtube.com/watch?v=QdzTNEUrqFg" TargetMode="External"/><Relationship Id="rId500" Type="http://schemas.openxmlformats.org/officeDocument/2006/relationships/hyperlink" Target="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84" Type="http://schemas.openxmlformats.org/officeDocument/2006/relationships/hyperlink" Targe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05" Type="http://schemas.openxmlformats.org/officeDocument/2006/relationships/hyperlink" Target="https://www.youtube.com/watch?v=dOKHcKXZ4lA" TargetMode="External"/><Relationship Id="rId1130" Type="http://schemas.openxmlformats.org/officeDocument/2006/relationships/hyperlink" Target="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28" Type="http://schemas.openxmlformats.org/officeDocument/2006/relationships/hyperlink" Target="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 Type="http://schemas.openxmlformats.org/officeDocument/2006/relationships/hyperlink" Target="https://www.youtube.com/watch?v=07Y2v4hV47s" TargetMode="External"/><Relationship Id="rId237" Type="http://schemas.openxmlformats.org/officeDocument/2006/relationships/hyperlink" Target="https://www.youtube.com/watch?v=Grhmua781ng" TargetMode="External"/><Relationship Id="rId791" Type="http://schemas.openxmlformats.org/officeDocument/2006/relationships/hyperlink" Target="https://www.youtube.com/watch?v=0ZDQNIzWZwE&amp;t" TargetMode="External"/><Relationship Id="rId889" Type="http://schemas.openxmlformats.org/officeDocument/2006/relationships/hyperlink" Target="https://gld.legislaturacba.gob.ar/Publics/Actas.aspx?id=NmH8aTbQniA=" TargetMode="External"/><Relationship Id="rId1074" Type="http://schemas.openxmlformats.org/officeDocument/2006/relationships/hyperlink" Target="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44" Type="http://schemas.openxmlformats.org/officeDocument/2006/relationships/hyperlink" Targe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51" Type="http://schemas.openxmlformats.org/officeDocument/2006/relationships/hyperlink" Targe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9" Type="http://schemas.openxmlformats.org/officeDocument/2006/relationships/hyperlink" Targe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1" Type="http://schemas.openxmlformats.org/officeDocument/2006/relationships/hyperlink" Target="https://gld.legislaturacba.gob.ar/Publics/Actas.aspx?id=zU6RcUBrNjQ=;https://gld.legislaturacba.gob.ar/Publics/Actas.aspx?id=i9PE2gnwrNY=" TargetMode="External"/><Relationship Id="rId1379" Type="http://schemas.openxmlformats.org/officeDocument/2006/relationships/hyperlink" Target="https://gld.legislaturacba.gob.ar/Publics/Actas.aspx?id=K8aIKiJ0wZw=" TargetMode="External"/><Relationship Id="rId290" Type="http://schemas.openxmlformats.org/officeDocument/2006/relationships/hyperlink" Targe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4" Type="http://schemas.openxmlformats.org/officeDocument/2006/relationships/hyperlink" Target="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88" Type="http://schemas.openxmlformats.org/officeDocument/2006/relationships/hyperlink" Targe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11" Type="http://schemas.openxmlformats.org/officeDocument/2006/relationships/hyperlink" Targe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9" Type="http://schemas.openxmlformats.org/officeDocument/2006/relationships/hyperlink" Targe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6" Type="http://schemas.openxmlformats.org/officeDocument/2006/relationships/hyperlink" Target="https://www.youtube.com/watch?v=W0ASEBtAbVU" TargetMode="External"/><Relationship Id="rId1141" Type="http://schemas.openxmlformats.org/officeDocument/2006/relationships/hyperlink" Target="https://gld.legislaturacba.gob.ar/Publics/Actas.aspx?id=jvFNcpyEgxU=" TargetMode="External"/><Relationship Id="rId1239" Type="http://schemas.openxmlformats.org/officeDocument/2006/relationships/hyperlink" Target="https://gld.legislaturacba.gob.ar/Publics/Actas.aspx?id=eEqLbVh_yIM=" TargetMode="External"/><Relationship Id="rId85" Type="http://schemas.openxmlformats.org/officeDocument/2006/relationships/hyperlink" Target="https://www.youtube.com/watch?v=KhyBGPJ-5rw" TargetMode="External"/><Relationship Id="rId150" Type="http://schemas.openxmlformats.org/officeDocument/2006/relationships/hyperlink" Targe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5" Type="http://schemas.openxmlformats.org/officeDocument/2006/relationships/hyperlink" Target="https://www.youtube.com/watch?v=JYtdIUZw2mE" TargetMode="External"/><Relationship Id="rId816" Type="http://schemas.openxmlformats.org/officeDocument/2006/relationships/hyperlink" Targe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01" Type="http://schemas.openxmlformats.org/officeDocument/2006/relationships/hyperlink" Target="https://www.youtube.com/watch?v=LHWEconwuiM" TargetMode="External"/><Relationship Id="rId248" Type="http://schemas.openxmlformats.org/officeDocument/2006/relationships/hyperlink" Target="https://www.youtube.com/watch?v=XcMWuIIJoSY" TargetMode="External"/><Relationship Id="rId455" Type="http://schemas.openxmlformats.org/officeDocument/2006/relationships/hyperlink" Target="https://www.youtube.com/watch?v=sdTdkHkqv2Q" TargetMode="External"/><Relationship Id="rId662" Type="http://schemas.openxmlformats.org/officeDocument/2006/relationships/hyperlink" Targe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5" Type="http://schemas.openxmlformats.org/officeDocument/2006/relationships/hyperlink" Target="https://gld.legislaturacba.gob.ar/Publics/Actas.aspx?id=CZn94RQiBpE=" TargetMode="External"/><Relationship Id="rId1292" Type="http://schemas.openxmlformats.org/officeDocument/2006/relationships/hyperlink" Target="https://www.youtube.com/watch?v=2jO3NiGJ57A" TargetMode="External"/><Relationship Id="rId1306" Type="http://schemas.openxmlformats.org/officeDocument/2006/relationships/hyperlink" Target="https://www.youtube.com/watch?v=Dkk5syaQm7s" TargetMode="External"/><Relationship Id="rId12" Type="http://schemas.openxmlformats.org/officeDocument/2006/relationships/hyperlink" Targe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 Type="http://schemas.openxmlformats.org/officeDocument/2006/relationships/hyperlink" Targe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5" Type="http://schemas.openxmlformats.org/officeDocument/2006/relationships/hyperlink" Targe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2" Type="http://schemas.openxmlformats.org/officeDocument/2006/relationships/hyperlink" Target="https://www.youtube.com/watch?v=82avDn8HpcE" TargetMode="External"/><Relationship Id="rId967" Type="http://schemas.openxmlformats.org/officeDocument/2006/relationships/hyperlink" Target="https://www.youtube.com/watch?v=BCbaBFNxRDQ" TargetMode="External"/><Relationship Id="rId1152" Type="http://schemas.openxmlformats.org/officeDocument/2006/relationships/hyperlink" Target="https://gld.legislaturacba.gob.ar/Publics/Actas.aspx?id=0El0RZAZIwA=" TargetMode="External"/><Relationship Id="rId96" Type="http://schemas.openxmlformats.org/officeDocument/2006/relationships/hyperlink" Target="https://www.youtube.com/watch?v=XiuWk0lAs_E" TargetMode="External"/><Relationship Id="rId161" Type="http://schemas.openxmlformats.org/officeDocument/2006/relationships/hyperlink" Target="https://www.youtube.com/watch?v=7Vn9mBijDiA" TargetMode="External"/><Relationship Id="rId399" Type="http://schemas.openxmlformats.org/officeDocument/2006/relationships/hyperlink" Target="https://www.youtube.com/watch?v=oyKsXPSxQ8U" TargetMode="External"/><Relationship Id="rId827" Type="http://schemas.openxmlformats.org/officeDocument/2006/relationships/hyperlink" Target="https://www.youtube.com/watch?v=1SMmSOFczUo" TargetMode="External"/><Relationship Id="rId1012" Type="http://schemas.openxmlformats.org/officeDocument/2006/relationships/hyperlink" Target="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59" Type="http://schemas.openxmlformats.org/officeDocument/2006/relationships/hyperlink" Target="https://www.youtube.com/watch?v=qb-Ja3a1XPg" TargetMode="External"/><Relationship Id="rId466" Type="http://schemas.openxmlformats.org/officeDocument/2006/relationships/hyperlink" Target="https://www.youtube.com/watch?v=DS3_4H6zVDw" TargetMode="External"/><Relationship Id="rId673" Type="http://schemas.openxmlformats.org/officeDocument/2006/relationships/hyperlink" Target="https://www.youtube.com/watch?v=HipTyxwdteI" TargetMode="External"/><Relationship Id="rId880" Type="http://schemas.openxmlformats.org/officeDocument/2006/relationships/hyperlink" Targe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TargetMode="External"/><Relationship Id="rId1096" Type="http://schemas.openxmlformats.org/officeDocument/2006/relationships/hyperlink" Target="https://www.youtube.com/watch?v=rAyQ3lKN55k" TargetMode="External"/><Relationship Id="rId1317" Type="http://schemas.openxmlformats.org/officeDocument/2006/relationships/hyperlink" Target="https://www.youtube.com/watch?v=1SYL1SHERdo" TargetMode="External"/><Relationship Id="rId23" Type="http://schemas.openxmlformats.org/officeDocument/2006/relationships/hyperlink" Targe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 Type="http://schemas.openxmlformats.org/officeDocument/2006/relationships/hyperlink" Target="https://www.youtube.com/watch?v=w3r2sMJBkmo" TargetMode="External"/><Relationship Id="rId326" Type="http://schemas.openxmlformats.org/officeDocument/2006/relationships/hyperlink" Targe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3" Type="http://schemas.openxmlformats.org/officeDocument/2006/relationships/hyperlink" Targe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78" Type="http://schemas.openxmlformats.org/officeDocument/2006/relationships/hyperlink" Target="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63" Type="http://schemas.openxmlformats.org/officeDocument/2006/relationships/hyperlink" Target="https://gld.legislaturacba.gob.ar/Publics/Actas.aspx?id=axBesQQtQ1g=" TargetMode="External"/><Relationship Id="rId1370" Type="http://schemas.openxmlformats.org/officeDocument/2006/relationships/hyperlink" Target="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740" Type="http://schemas.openxmlformats.org/officeDocument/2006/relationships/hyperlink" Target="https://www.youtube.com/watch?v=RGL-1k2bvl0" TargetMode="External"/><Relationship Id="rId838" Type="http://schemas.openxmlformats.org/officeDocument/2006/relationships/hyperlink" Targe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23" Type="http://schemas.openxmlformats.org/officeDocument/2006/relationships/hyperlink" Target="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2" Type="http://schemas.openxmlformats.org/officeDocument/2006/relationships/hyperlink" Targe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7"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0" Type="http://schemas.openxmlformats.org/officeDocument/2006/relationships/hyperlink" Target="https://www.youtube.com/watch?v=6facA5HNrcw" TargetMode="External"/><Relationship Id="rId684" Type="http://schemas.openxmlformats.org/officeDocument/2006/relationships/hyperlink" Targe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0" Type="http://schemas.openxmlformats.org/officeDocument/2006/relationships/hyperlink" Target="https://gld.legislaturacba.gob.ar/Publics/Actas.aspx?id=vZ07Tij7Eco=;NA;https://gld.legislaturacba.gob.ar/Publics/Actas.aspx?id=0xFk-ftoloo=" TargetMode="External"/><Relationship Id="rId1328" Type="http://schemas.openxmlformats.org/officeDocument/2006/relationships/hyperlink" Target="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337" Type="http://schemas.openxmlformats.org/officeDocument/2006/relationships/hyperlink" Target="https://www.youtube.com/watch?v=iGIZmmwUowg" TargetMode="External"/><Relationship Id="rId891" Type="http://schemas.openxmlformats.org/officeDocument/2006/relationships/hyperlink" Target="https://www.youtube.com/watch?v=zzYfgWDW_gk" TargetMode="External"/><Relationship Id="rId905" Type="http://schemas.openxmlformats.org/officeDocument/2006/relationships/hyperlink" Target="https://www.youtube.com/watch?v=GEl__GwS0Pw" TargetMode="External"/><Relationship Id="rId989" Type="http://schemas.openxmlformats.org/officeDocument/2006/relationships/hyperlink" Targe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4" Type="http://schemas.openxmlformats.org/officeDocument/2006/relationships/hyperlink" Targe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4" Type="http://schemas.openxmlformats.org/officeDocument/2006/relationships/hyperlink" Target="https://www.youtube.com/watch?v=xq5VKCXjp8s" TargetMode="External"/><Relationship Id="rId751" Type="http://schemas.openxmlformats.org/officeDocument/2006/relationships/hyperlink" Target="https://www.youtube.com/watch?v=s-e63Z3Q0z4" TargetMode="External"/><Relationship Id="rId849" Type="http://schemas.openxmlformats.org/officeDocument/2006/relationships/hyperlink" Target="https://www.youtube.com/watch?v=HAvjNzL8MgM" TargetMode="External"/><Relationship Id="rId1174" Type="http://schemas.openxmlformats.org/officeDocument/2006/relationships/hyperlink" Target="https://www.youtube.com/watch?v=FjC-m8cj4sY" TargetMode="External"/><Relationship Id="rId1381" Type="http://schemas.openxmlformats.org/officeDocument/2006/relationships/hyperlink" Target="https://www.youtube.com/watch?v=uW5UAHZps6A" TargetMode="External"/><Relationship Id="rId183" Type="http://schemas.openxmlformats.org/officeDocument/2006/relationships/hyperlink" Target="https://www.youtube.com/watch?v=qjPs-qozZyc" TargetMode="External"/><Relationship Id="rId390" Type="http://schemas.openxmlformats.org/officeDocument/2006/relationships/hyperlink" Targe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404" Type="http://schemas.openxmlformats.org/officeDocument/2006/relationships/hyperlink" Targe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1" Type="http://schemas.openxmlformats.org/officeDocument/2006/relationships/hyperlink" Targe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4" Type="http://schemas.openxmlformats.org/officeDocument/2006/relationships/hyperlink" Target="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41" Type="http://schemas.openxmlformats.org/officeDocument/2006/relationships/hyperlink" Target="https://www.youtube.com/watch?v=EqzZWSD-0gQ" TargetMode="External"/><Relationship Id="rId1339" Type="http://schemas.openxmlformats.org/officeDocument/2006/relationships/hyperlink" Target="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0"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8" Type="http://schemas.openxmlformats.org/officeDocument/2006/relationships/hyperlink" Targe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5" Type="http://schemas.openxmlformats.org/officeDocument/2006/relationships/hyperlink" Targe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09" Type="http://schemas.openxmlformats.org/officeDocument/2006/relationships/hyperlink" Target="https://www.youtube.com/watch?v=bulqZXWDBjM" TargetMode="External"/><Relationship Id="rId916" Type="http://schemas.openxmlformats.org/officeDocument/2006/relationships/hyperlink" Target="https://www.youtube.com/watch?v=m4v0s-2x-qg" TargetMode="External"/><Relationship Id="rId1101" Type="http://schemas.openxmlformats.org/officeDocument/2006/relationships/hyperlink" Target="https://www.youtube.com/watch?v=JKyGDE7Ct9Q" TargetMode="External"/><Relationship Id="rId45" Type="http://schemas.openxmlformats.org/officeDocument/2006/relationships/hyperlink" Targe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0" Type="http://schemas.openxmlformats.org/officeDocument/2006/relationships/hyperlink" Targe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8" Type="http://schemas.openxmlformats.org/officeDocument/2006/relationships/hyperlink" Targe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5" Type="http://schemas.openxmlformats.org/officeDocument/2006/relationships/hyperlink" Targe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2" Type="http://schemas.openxmlformats.org/officeDocument/2006/relationships/hyperlink" Targe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5" Type="http://schemas.openxmlformats.org/officeDocument/2006/relationships/hyperlink" Target="https://www.youtube.com/watch?v=bmn0OD-gkXQ" TargetMode="External"/><Relationship Id="rId194" Type="http://schemas.openxmlformats.org/officeDocument/2006/relationships/hyperlink" Target="https://www.youtube.com/watch?v=yurBNP5nAnY" TargetMode="External"/><Relationship Id="rId208" Type="http://schemas.openxmlformats.org/officeDocument/2006/relationships/hyperlink" Target="https://www.youtube.com/watch?v=bRfYXfFoIpA" TargetMode="External"/><Relationship Id="rId415" Type="http://schemas.openxmlformats.org/officeDocument/2006/relationships/hyperlink" Target="https://www.youtube.com/watch?v=GPnhWmRsFls" TargetMode="External"/><Relationship Id="rId622" Type="http://schemas.openxmlformats.org/officeDocument/2006/relationships/hyperlink" Targe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5" Type="http://schemas.openxmlformats.org/officeDocument/2006/relationships/hyperlink" Target="https://gld.legislaturacba.gob.ar/Publics/Actas.aspx?id=0M4tz8lt6qw=" TargetMode="External"/><Relationship Id="rId1252" Type="http://schemas.openxmlformats.org/officeDocument/2006/relationships/hyperlink" Target="https://gld.legislaturacba.gob.ar/Publics/Actas.aspx?id=W0WrHTEhpkg=" TargetMode="External"/><Relationship Id="rId261" Type="http://schemas.openxmlformats.org/officeDocument/2006/relationships/hyperlink" Target="https://www.youtube.com/watch?v=G23umqZ1_Ew" TargetMode="External"/><Relationship Id="rId499" Type="http://schemas.openxmlformats.org/officeDocument/2006/relationships/hyperlink" Target="https://www.youtube.com/watch?v=rRZGZmMD6OA&amp;t" TargetMode="External"/><Relationship Id="rId927" Type="http://schemas.openxmlformats.org/officeDocument/2006/relationships/hyperlink" Target="https://www.youtube.com/watch?v=CjVMI6q8seo" TargetMode="External"/><Relationship Id="rId1112" Type="http://schemas.openxmlformats.org/officeDocument/2006/relationships/hyperlink" Target="https://gld.legislaturacba.gob.ar/Publics/Actas.aspx?id=dZgwDOdpTcc=" TargetMode="External"/><Relationship Id="rId56" Type="http://schemas.openxmlformats.org/officeDocument/2006/relationships/hyperlink" Targe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59" Type="http://schemas.openxmlformats.org/officeDocument/2006/relationships/hyperlink" Target="https://www.youtube.com/watch?v=x2CPOHSZDAs" TargetMode="External"/><Relationship Id="rId566" Type="http://schemas.openxmlformats.org/officeDocument/2006/relationships/hyperlink" Target="https://www.youtube.com/watch?v=EifmVOKnLsc" TargetMode="External"/><Relationship Id="rId773" Type="http://schemas.openxmlformats.org/officeDocument/2006/relationships/hyperlink" Target="https://www.youtube.com/watch?v=3BbsY6DE7fg" TargetMode="External"/><Relationship Id="rId1196" Type="http://schemas.openxmlformats.org/officeDocument/2006/relationships/hyperlink" Target="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1" Type="http://schemas.openxmlformats.org/officeDocument/2006/relationships/hyperlink" Targe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9" Type="http://schemas.openxmlformats.org/officeDocument/2006/relationships/hyperlink" Target="https://gld.legislaturacba.gob.ar/Publics/Actas.aspx?id=0gzjcIg7j2k=;https://gld.legislaturacba.gob.ar/Publics/Actas.aspx?id=VC8x9IdpcvU=" TargetMode="External"/><Relationship Id="rId426" Type="http://schemas.openxmlformats.org/officeDocument/2006/relationships/hyperlink" Target="https://www.youtube.com/watch?v=lo0x62TsoD4" TargetMode="External"/><Relationship Id="rId633" Type="http://schemas.openxmlformats.org/officeDocument/2006/relationships/hyperlink" Targe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0" Type="http://schemas.openxmlformats.org/officeDocument/2006/relationships/hyperlink" Target="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 TargetMode="External"/><Relationship Id="rId1056" Type="http://schemas.openxmlformats.org/officeDocument/2006/relationships/hyperlink" Target="https://www.youtube.com/watch?v=Nc1KP6_cm-U" TargetMode="External"/><Relationship Id="rId1263" Type="http://schemas.openxmlformats.org/officeDocument/2006/relationships/hyperlink" Target="https://gld.legislaturacba.gob.ar/Publics/Actas.aspx?id=JJl1JSRcjxE=" TargetMode="External"/><Relationship Id="rId840" Type="http://schemas.openxmlformats.org/officeDocument/2006/relationships/hyperlink" Target="https://www.youtube.com/watch?v=3n5fA_YwBoM" TargetMode="External"/><Relationship Id="rId938" Type="http://schemas.openxmlformats.org/officeDocument/2006/relationships/hyperlink" Targe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TargetMode="External"/><Relationship Id="rId67" Type="http://schemas.openxmlformats.org/officeDocument/2006/relationships/hyperlink" Targe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2" Type="http://schemas.openxmlformats.org/officeDocument/2006/relationships/hyperlink" Targe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7" Type="http://schemas.openxmlformats.org/officeDocument/2006/relationships/hyperlink" Target="https://www.youtube.com/watch?v=H7eFMRJLF1c" TargetMode="External"/><Relationship Id="rId700" Type="http://schemas.openxmlformats.org/officeDocument/2006/relationships/hyperlink" Target="https://www.youtube.com/watch?v=z0SO279TV8g" TargetMode="External"/><Relationship Id="rId1123" Type="http://schemas.openxmlformats.org/officeDocument/2006/relationships/hyperlink" Target="https://gld.legislaturacba.gob.ar/Publics/Actas.aspx?id=508ZW6emrrk=;https://gld.legislaturacba.gob.ar/Publics/Actas.aspx?id=jAuWtXDRfOg=;https://gld.legislaturacba.gob.ar/Publics/Actas.aspx?id=-ojVCtNQpUY=" TargetMode="External"/><Relationship Id="rId1330" Type="http://schemas.openxmlformats.org/officeDocument/2006/relationships/hyperlink" Target="https://gld.legislaturacba.gob.ar/Publics/Actas.aspx?id=EUoaNV2S6XA=;https://gld.legislaturacba.gob.ar/Publics/Actas.aspx?id=IrjW9v0gpp8=" TargetMode="External"/><Relationship Id="rId132" Type="http://schemas.openxmlformats.org/officeDocument/2006/relationships/hyperlink" Target="https://www.youtube.com/watch?v=1Mw3WuCpN0c" TargetMode="External"/><Relationship Id="rId784" Type="http://schemas.openxmlformats.org/officeDocument/2006/relationships/hyperlink" Targe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91" Type="http://schemas.openxmlformats.org/officeDocument/2006/relationships/hyperlink" Target="https://gld.legislaturacba.gob.ar/Publics/Actas.aspx?id=Rjy_yq3iBcY=;https://gld.legislaturacba.gob.ar/Publics/Actas.aspx?id=DyukL9KCKOU=;https://gld.legislaturacba.gob.ar/Publics/Actas.aspx?id=h2h_-4AVn4M=" TargetMode="External"/><Relationship Id="rId1067" Type="http://schemas.openxmlformats.org/officeDocument/2006/relationships/hyperlink" Target="https://gld.legislaturacba.gob.ar/Publics/Actas.aspx?id=sgu0b_DBy18=" TargetMode="External"/><Relationship Id="rId437" Type="http://schemas.openxmlformats.org/officeDocument/2006/relationships/hyperlink" Target="https://www.youtube.com/watch?v=TrkZLeXAx90" TargetMode="External"/><Relationship Id="rId644" Type="http://schemas.openxmlformats.org/officeDocument/2006/relationships/hyperlink" Target="https://www.youtube.com/watch?v=jEhxL5lNbik" TargetMode="External"/><Relationship Id="rId851" Type="http://schemas.openxmlformats.org/officeDocument/2006/relationships/hyperlink" Target="https://www.youtube.com/watch?v=CCAfByfE6yI" TargetMode="External"/><Relationship Id="rId1274" Type="http://schemas.openxmlformats.org/officeDocument/2006/relationships/hyperlink" Target="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83" Type="http://schemas.openxmlformats.org/officeDocument/2006/relationships/hyperlink" Target="https://www.youtube.com/watch?v=NcWW3IB8fp0" TargetMode="External"/><Relationship Id="rId490" Type="http://schemas.openxmlformats.org/officeDocument/2006/relationships/hyperlink" Targe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04" Type="http://schemas.openxmlformats.org/officeDocument/2006/relationships/hyperlink" Target="https://www.youtube.com/watch?v=3YSZcKTchRM" TargetMode="External"/><Relationship Id="rId711" Type="http://schemas.openxmlformats.org/officeDocument/2006/relationships/hyperlink" Target="https://www.youtube.com/watch?v=Y13rEIaPP7I" TargetMode="External"/><Relationship Id="rId949" Type="http://schemas.openxmlformats.org/officeDocument/2006/relationships/hyperlink" Target="https://www.youtube.com/watch?v=5RqRfDMoJOs" TargetMode="External"/><Relationship Id="rId1134" Type="http://schemas.openxmlformats.org/officeDocument/2006/relationships/hyperlink" Target="https://gld.legislaturacba.gob.ar/Publics/Actas.aspx?id=YzxJt8vGEq0=" TargetMode="External"/><Relationship Id="rId1341" Type="http://schemas.openxmlformats.org/officeDocument/2006/relationships/hyperlink" Target="https://gld.legislaturacba.gob.ar/Publics/Actas.aspx?id=2pyGhT8Y67Y=" TargetMode="External"/><Relationship Id="rId78" Type="http://schemas.openxmlformats.org/officeDocument/2006/relationships/hyperlink" Target="https://www.youtube.com/watch?v=RpYQNBscRjU" TargetMode="External"/><Relationship Id="rId143" Type="http://schemas.openxmlformats.org/officeDocument/2006/relationships/hyperlink" Target="https://www.youtube.com/watch?v=tYVO6ybdetE" TargetMode="External"/><Relationship Id="rId350" Type="http://schemas.openxmlformats.org/officeDocument/2006/relationships/hyperlink" Targe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8" Type="http://schemas.openxmlformats.org/officeDocument/2006/relationships/hyperlink" Targe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5" Type="http://schemas.openxmlformats.org/officeDocument/2006/relationships/hyperlink" Target="https://www.youtube.com/watch?v=f2qgxq6XRV4" TargetMode="External"/><Relationship Id="rId809" Type="http://schemas.openxmlformats.org/officeDocument/2006/relationships/hyperlink" Target="https://www.youtube.com/watch?v=NAwNXcusuVs" TargetMode="External"/><Relationship Id="rId1201" Type="http://schemas.openxmlformats.org/officeDocument/2006/relationships/hyperlink" Target="https://gld.legislaturacba.gob.ar/Publics/Actas.aspx?id=pUjg1CubuL0=" TargetMode="External"/><Relationship Id="rId9" Type="http://schemas.openxmlformats.org/officeDocument/2006/relationships/hyperlink" Target="https://www.youtube.com/watch?v=-DVljyOAsvY" TargetMode="External"/><Relationship Id="rId210" Type="http://schemas.openxmlformats.org/officeDocument/2006/relationships/hyperlink" Targe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8" Type="http://schemas.openxmlformats.org/officeDocument/2006/relationships/hyperlink" Targe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5" Type="http://schemas.openxmlformats.org/officeDocument/2006/relationships/hyperlink" Targe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2" Type="http://schemas.openxmlformats.org/officeDocument/2006/relationships/hyperlink" Targe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78" Type="http://schemas.openxmlformats.org/officeDocument/2006/relationships/hyperlink" Target="https://www.youtube.com/watch?v=X_WbYExIZ58" TargetMode="External"/><Relationship Id="rId1285" Type="http://schemas.openxmlformats.org/officeDocument/2006/relationships/hyperlink" Target="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94" Type="http://schemas.openxmlformats.org/officeDocument/2006/relationships/hyperlink" Targe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8" Type="http://schemas.openxmlformats.org/officeDocument/2006/relationships/hyperlink" Targe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5" Type="http://schemas.openxmlformats.org/officeDocument/2006/relationships/hyperlink" Target="https://www.youtube.com/watch?v=tXGIgKFQmBU" TargetMode="External"/><Relationship Id="rId722" Type="http://schemas.openxmlformats.org/officeDocument/2006/relationships/hyperlink" Targe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45" Type="http://schemas.openxmlformats.org/officeDocument/2006/relationships/hyperlink" Target="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52" Type="http://schemas.openxmlformats.org/officeDocument/2006/relationships/hyperlink" Target="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9" Type="http://schemas.openxmlformats.org/officeDocument/2006/relationships/hyperlink" Target="https://www.youtube.com/watch?v=5wLEIV3c9Zw" TargetMode="External"/><Relationship Id="rId154" Type="http://schemas.openxmlformats.org/officeDocument/2006/relationships/hyperlink" Targe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1" Type="http://schemas.openxmlformats.org/officeDocument/2006/relationships/hyperlink" Target="https://www.youtube.com/watch?v=vlkgI_1PBNM" TargetMode="External"/><Relationship Id="rId599" Type="http://schemas.openxmlformats.org/officeDocument/2006/relationships/hyperlink" Targe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05" Type="http://schemas.openxmlformats.org/officeDocument/2006/relationships/hyperlink" Target="https://gld.legislaturacba.gob.ar/Publics/Actas.aspx?id=Bu9XMDWgVRE=;https://gld.legislaturacba.gob.ar/Publics/Actas.aspx?id=9kZf_tkSv9I=;https://gld.legislaturacba.gob.ar/Publics/Actas.aspx?id=0jXDObisALs=" TargetMode="External"/><Relationship Id="rId1212" Type="http://schemas.openxmlformats.org/officeDocument/2006/relationships/hyperlink" Target="https://gld.legislaturacba.gob.ar/Publics/Actas.aspx?id=-ZiT8_-kK1k=;https://gld.legislaturacba.gob.ar/Publics/Actas.aspx?id=pHOomACeSls=;https://gld.legislaturacba.gob.ar/Publics/Actas.aspx?id=AxR35nrgJfI=" TargetMode="External"/><Relationship Id="rId459" Type="http://schemas.openxmlformats.org/officeDocument/2006/relationships/hyperlink" Targe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6" Type="http://schemas.openxmlformats.org/officeDocument/2006/relationships/hyperlink" Targe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73" Type="http://schemas.openxmlformats.org/officeDocument/2006/relationships/hyperlink" Target="https://www.youtube.com/watch?v=zBIbdlVOWWc" TargetMode="External"/><Relationship Id="rId1089" Type="http://schemas.openxmlformats.org/officeDocument/2006/relationships/hyperlink" Target="https://www.youtube.com/watch?v=MqUNEle30J0" TargetMode="External"/><Relationship Id="rId1296" Type="http://schemas.openxmlformats.org/officeDocument/2006/relationships/hyperlink" Target="https://www.youtube.com/watch?v=oPz1VLQY_HY" TargetMode="External"/><Relationship Id="rId16" Type="http://schemas.openxmlformats.org/officeDocument/2006/relationships/hyperlink" Targe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1" Type="http://schemas.openxmlformats.org/officeDocument/2006/relationships/hyperlink" Targe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9" Type="http://schemas.openxmlformats.org/officeDocument/2006/relationships/hyperlink" Targe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6" Type="http://schemas.openxmlformats.org/officeDocument/2006/relationships/hyperlink" Target="https://www.youtube.com/watch?v=ZX748qaI8so" TargetMode="External"/><Relationship Id="rId1156" Type="http://schemas.openxmlformats.org/officeDocument/2006/relationships/hyperlink" Target="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63" Type="http://schemas.openxmlformats.org/officeDocument/2006/relationships/hyperlink" Target="https://www.youtube.com/watch?v=gAqsZ8pDNrE" TargetMode="External"/><Relationship Id="rId733" Type="http://schemas.openxmlformats.org/officeDocument/2006/relationships/hyperlink" Targe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0" Type="http://schemas.openxmlformats.org/officeDocument/2006/relationships/hyperlink" Target="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16" Type="http://schemas.openxmlformats.org/officeDocument/2006/relationships/hyperlink" Target="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65" Type="http://schemas.openxmlformats.org/officeDocument/2006/relationships/hyperlink" Targe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2" Type="http://schemas.openxmlformats.org/officeDocument/2006/relationships/hyperlink" Targe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7" Type="http://schemas.openxmlformats.org/officeDocument/2006/relationships/hyperlink" Target="https://www.youtube.com/watch?v=VEwNO-aG6F8" TargetMode="External"/><Relationship Id="rId800" Type="http://schemas.openxmlformats.org/officeDocument/2006/relationships/hyperlink" Targe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23" Type="http://schemas.openxmlformats.org/officeDocument/2006/relationships/hyperlink" Target="https://www.youtube.com/watch?v=YxkXZ0kydyA" TargetMode="External"/><Relationship Id="rId232" Type="http://schemas.openxmlformats.org/officeDocument/2006/relationships/hyperlink" Targe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84" Type="http://schemas.openxmlformats.org/officeDocument/2006/relationships/hyperlink" Target="https://www.youtube.com/watch?v=h-6FPhE91gw" TargetMode="External"/><Relationship Id="rId27" Type="http://schemas.openxmlformats.org/officeDocument/2006/relationships/hyperlink" Targe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7" Type="http://schemas.openxmlformats.org/officeDocument/2006/relationships/hyperlink" Targe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4" Type="http://schemas.openxmlformats.org/officeDocument/2006/relationships/hyperlink" Target="https://www.youtube.com/watch?v=ROQrNF16rz0" TargetMode="External"/><Relationship Id="rId951" Type="http://schemas.openxmlformats.org/officeDocument/2006/relationships/hyperlink" Target="https://www.youtube.com/watch?v=GAn3lentJVw" TargetMode="External"/><Relationship Id="rId1167" Type="http://schemas.openxmlformats.org/officeDocument/2006/relationships/hyperlink" Target="https://gld.legislaturacba.gob.ar/Publics/Actas.aspx" TargetMode="External"/><Relationship Id="rId1374" Type="http://schemas.openxmlformats.org/officeDocument/2006/relationships/hyperlink" Target="https://www.youtube.com/watch?v=nTDdKyrIU34" TargetMode="External"/><Relationship Id="rId80" Type="http://schemas.openxmlformats.org/officeDocument/2006/relationships/hyperlink" Target="https://www.youtube.com/watch?v=z5fsoDIIb_0" TargetMode="External"/><Relationship Id="rId176" Type="http://schemas.openxmlformats.org/officeDocument/2006/relationships/hyperlink" Targe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3" Type="http://schemas.openxmlformats.org/officeDocument/2006/relationships/hyperlink" Target="https://www.youtube.com/watch?v=NNQZBII8_eE" TargetMode="External"/><Relationship Id="rId590" Type="http://schemas.openxmlformats.org/officeDocument/2006/relationships/hyperlink" Targe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4" Type="http://schemas.openxmlformats.org/officeDocument/2006/relationships/hyperlink" Target="https://www.youtube.com/watch?v=RANohj6-nQM" TargetMode="External"/><Relationship Id="rId811" Type="http://schemas.openxmlformats.org/officeDocument/2006/relationships/hyperlink" Target="https://www.youtube.com/watch?v=yhQjW3QRn4w" TargetMode="External"/><Relationship Id="rId1027" Type="http://schemas.openxmlformats.org/officeDocument/2006/relationships/hyperlink" Target="https://gld.legislaturacba.gob.ar/Publics/Actas.aspx?id=QeS3-8Coht0=" TargetMode="External"/><Relationship Id="rId1234" Type="http://schemas.openxmlformats.org/officeDocument/2006/relationships/hyperlink" Target="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43" Type="http://schemas.openxmlformats.org/officeDocument/2006/relationships/hyperlink" Targe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0" Type="http://schemas.openxmlformats.org/officeDocument/2006/relationships/hyperlink" Targe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8" Type="http://schemas.openxmlformats.org/officeDocument/2006/relationships/hyperlink" Target="https://www.youtube.com/watch?v=xQ6bCxG93cE" TargetMode="External"/><Relationship Id="rId895" Type="http://schemas.openxmlformats.org/officeDocument/2006/relationships/hyperlink" Target="https://www.youtube.com/watch?v=xMwdanqJFOU" TargetMode="External"/><Relationship Id="rId909" Type="http://schemas.openxmlformats.org/officeDocument/2006/relationships/hyperlink" Target="https://www.youtube.com/watch?v=orwRqVxQgRI" TargetMode="External"/><Relationship Id="rId1080" Type="http://schemas.openxmlformats.org/officeDocument/2006/relationships/hyperlink" Target="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01" Type="http://schemas.openxmlformats.org/officeDocument/2006/relationships/hyperlink" Target="https://www.youtube.com/watch?v=Fz_DxWVNEm0" TargetMode="External"/><Relationship Id="rId38" Type="http://schemas.openxmlformats.org/officeDocument/2006/relationships/hyperlink" Target="https://www.youtube.com/watch?v=VP2Goa6bZWs" TargetMode="External"/><Relationship Id="rId103" Type="http://schemas.openxmlformats.org/officeDocument/2006/relationships/hyperlink" Targe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0" Type="http://schemas.openxmlformats.org/officeDocument/2006/relationships/hyperlink" Targe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8" Type="http://schemas.openxmlformats.org/officeDocument/2006/relationships/hyperlink" Target="https://www.youtube.com/watch?v=e70yOiW7dGE" TargetMode="External"/><Relationship Id="rId755" Type="http://schemas.openxmlformats.org/officeDocument/2006/relationships/hyperlink" Target="https://www.youtube.com/watch?v=91avpxeOc8g" TargetMode="External"/><Relationship Id="rId962" Type="http://schemas.openxmlformats.org/officeDocument/2006/relationships/hyperlink" Target="https://www.youtube.com/watch?v=7FA7qJ9Mor0" TargetMode="External"/><Relationship Id="rId1178" Type="http://schemas.openxmlformats.org/officeDocument/2006/relationships/hyperlink" Target="https://gld.legislaturacba.gob.ar/Publics/Actas.aspx?id=iPFMQmxbd4o=" TargetMode="External"/><Relationship Id="rId1385" Type="http://schemas.openxmlformats.org/officeDocument/2006/relationships/hyperlink" Target="https://gld.legislaturacba.gob.ar/Publics/Actas.aspx?id=AZdOa1F8qoE=" TargetMode="External"/><Relationship Id="rId91" Type="http://schemas.openxmlformats.org/officeDocument/2006/relationships/hyperlink" Targe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7" Type="http://schemas.openxmlformats.org/officeDocument/2006/relationships/hyperlink" Target="https://www.youtube.com/watch?v=mN2SCaTz7H4" TargetMode="External"/><Relationship Id="rId394" Type="http://schemas.openxmlformats.org/officeDocument/2006/relationships/hyperlink" Targe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08" Type="http://schemas.openxmlformats.org/officeDocument/2006/relationships/hyperlink" Targe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5" Type="http://schemas.openxmlformats.org/officeDocument/2006/relationships/hyperlink" Target="https://www.youtube.com/watch?v=5n6UghT3J5o" TargetMode="External"/><Relationship Id="rId822" Type="http://schemas.openxmlformats.org/officeDocument/2006/relationships/hyperlink" Targe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8" Type="http://schemas.openxmlformats.org/officeDocument/2006/relationships/hyperlink" Target="https://www.youtube.com/watch?v=bTCR6T4lX84" TargetMode="External"/><Relationship Id="rId1245" Type="http://schemas.openxmlformats.org/officeDocument/2006/relationships/hyperlink" Target="https://gld.legislaturacba.gob.ar/Publics/Actas.aspx?id=Rzk097U0deg=" TargetMode="External"/><Relationship Id="rId254" Type="http://schemas.openxmlformats.org/officeDocument/2006/relationships/hyperlink" Targe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9" Type="http://schemas.openxmlformats.org/officeDocument/2006/relationships/hyperlink" Targe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91" Type="http://schemas.openxmlformats.org/officeDocument/2006/relationships/hyperlink" Target="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05" Type="http://schemas.openxmlformats.org/officeDocument/2006/relationships/hyperlink" Target="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2" Type="http://schemas.openxmlformats.org/officeDocument/2006/relationships/hyperlink" Target="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49" Type="http://schemas.openxmlformats.org/officeDocument/2006/relationships/hyperlink" Targe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4" Type="http://schemas.openxmlformats.org/officeDocument/2006/relationships/hyperlink" Target="https://www.youtube.com/watch?v=RjL2cgpjhY0" TargetMode="External"/><Relationship Id="rId461" Type="http://schemas.openxmlformats.org/officeDocument/2006/relationships/hyperlink" Targe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9" Type="http://schemas.openxmlformats.org/officeDocument/2006/relationships/hyperlink" Targe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6" Type="http://schemas.openxmlformats.org/officeDocument/2006/relationships/hyperlink" Targe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9" Type="http://schemas.openxmlformats.org/officeDocument/2006/relationships/hyperlink" Target="https://gld.legislaturacba.gob.ar/Publics/Actas.aspx?id=bcKQ9fOHpgM=" TargetMode="External"/><Relationship Id="rId198" Type="http://schemas.openxmlformats.org/officeDocument/2006/relationships/hyperlink" Target="https://www.youtube.com/watch?v=SS0ONVjFLd4" TargetMode="External"/><Relationship Id="rId321" Type="http://schemas.openxmlformats.org/officeDocument/2006/relationships/hyperlink" Targe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9" Type="http://schemas.openxmlformats.org/officeDocument/2006/relationships/hyperlink" Targe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6" Type="http://schemas.openxmlformats.org/officeDocument/2006/relationships/hyperlink" Targe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73" Type="http://schemas.openxmlformats.org/officeDocument/2006/relationships/hyperlink" Target="https://www.youtube.com/watch?v=dxIrppte6aM" TargetMode="External"/><Relationship Id="rId1049" Type="http://schemas.openxmlformats.org/officeDocument/2006/relationships/hyperlink" Target="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56" Type="http://schemas.openxmlformats.org/officeDocument/2006/relationships/hyperlink" Target="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33" Type="http://schemas.openxmlformats.org/officeDocument/2006/relationships/hyperlink" Target="https://www.youtube.com/watch?v=k9GjhlB2x3c" TargetMode="External"/><Relationship Id="rId1116" Type="http://schemas.openxmlformats.org/officeDocument/2006/relationships/hyperlink" Target="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265" Type="http://schemas.openxmlformats.org/officeDocument/2006/relationships/hyperlink" Target="https://www.youtube.com/watch?v=SA2qevq-HfY" TargetMode="External"/><Relationship Id="rId472" Type="http://schemas.openxmlformats.org/officeDocument/2006/relationships/hyperlink" Target="https://www.youtube.com/watch?v=H3DXqasN9SQ" TargetMode="External"/><Relationship Id="rId900" Type="http://schemas.openxmlformats.org/officeDocument/2006/relationships/hyperlink" Target="https://www.youtube.com/watch?v=EcGH_lvrRTs" TargetMode="External"/><Relationship Id="rId1323" Type="http://schemas.openxmlformats.org/officeDocument/2006/relationships/hyperlink" Target="https://www.youtube.com/watch?v=lbGhKv-szg8" TargetMode="External"/><Relationship Id="rId125" Type="http://schemas.openxmlformats.org/officeDocument/2006/relationships/hyperlink" Targe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2" Type="http://schemas.openxmlformats.org/officeDocument/2006/relationships/hyperlink" Targe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7" Type="http://schemas.openxmlformats.org/officeDocument/2006/relationships/hyperlink" Target="https://www.youtube.com/watch?v=4ONVLvpgSCE" TargetMode="External"/><Relationship Id="rId984" Type="http://schemas.openxmlformats.org/officeDocument/2006/relationships/hyperlink" Target="https://www.youtube.com/watch?v=Gu4w2Rw0CgY" TargetMode="External"/><Relationship Id="rId637" Type="http://schemas.openxmlformats.org/officeDocument/2006/relationships/hyperlink" Targe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4" Type="http://schemas.openxmlformats.org/officeDocument/2006/relationships/hyperlink" Target="https://www.youtube.com/watch?v=WTEintlJ2BU" TargetMode="External"/><Relationship Id="rId1267" Type="http://schemas.openxmlformats.org/officeDocument/2006/relationships/hyperlink" Target="https://gld.legislaturacba.gob.ar/Publics/Actas.aspx?id=rbSgSP7bGdg=;https://gld.legislaturacba.gob.ar/Publics/Actas.aspx?id=TT8zCPO3Crk=" TargetMode="External"/><Relationship Id="rId276" Type="http://schemas.openxmlformats.org/officeDocument/2006/relationships/hyperlink" Target="https://www.youtube.com/watch?v=0CcvLpc3lB0" TargetMode="External"/><Relationship Id="rId483" Type="http://schemas.openxmlformats.org/officeDocument/2006/relationships/hyperlink" Target="https://www.youtube.com/watch?v=iadx4ufSMS4&amp;t" TargetMode="External"/><Relationship Id="rId690" Type="http://schemas.openxmlformats.org/officeDocument/2006/relationships/hyperlink" Target="https://www.youtube.com/watch?v=GBUP35jvbEw" TargetMode="External"/><Relationship Id="rId704" Type="http://schemas.openxmlformats.org/officeDocument/2006/relationships/hyperlink" Targe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1" Type="http://schemas.openxmlformats.org/officeDocument/2006/relationships/hyperlink" Targe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TargetMode="External"/><Relationship Id="rId1127" Type="http://schemas.openxmlformats.org/officeDocument/2006/relationships/hyperlink" Target="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34" Type="http://schemas.openxmlformats.org/officeDocument/2006/relationships/hyperlink" Target="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40" Type="http://schemas.openxmlformats.org/officeDocument/2006/relationships/hyperlink" Target="https://www.youtube.com/watch?v=wUo-YGm8jxA" TargetMode="External"/><Relationship Id="rId136" Type="http://schemas.openxmlformats.org/officeDocument/2006/relationships/hyperlink" Target="https://www.youtube.com/watch?v=hsevjCFKImc" TargetMode="External"/><Relationship Id="rId343" Type="http://schemas.openxmlformats.org/officeDocument/2006/relationships/hyperlink" Target="https://www.youtube.com/watch?v=GJaKQmfr3LE" TargetMode="External"/><Relationship Id="rId550" Type="http://schemas.openxmlformats.org/officeDocument/2006/relationships/hyperlink" Target="https://www.youtube.com/watch?v=OdgLXQ17aRo" TargetMode="External"/><Relationship Id="rId788" Type="http://schemas.openxmlformats.org/officeDocument/2006/relationships/hyperlink" Targe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95" Type="http://schemas.openxmlformats.org/officeDocument/2006/relationships/hyperlink" Target="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0" Type="http://schemas.openxmlformats.org/officeDocument/2006/relationships/hyperlink" Target="https://www.youtube.com/watch?v=Zw-EU1uE4Yw" TargetMode="External"/><Relationship Id="rId203" Type="http://schemas.openxmlformats.org/officeDocument/2006/relationships/hyperlink" Target="https://www.youtube.com/watch?v=mC1lqGMl2XU" TargetMode="External"/><Relationship Id="rId648" Type="http://schemas.openxmlformats.org/officeDocument/2006/relationships/hyperlink" Targe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5" Type="http://schemas.openxmlformats.org/officeDocument/2006/relationships/hyperlink" Target="https://www.youtube.com/watch?v=TW1TavWcgYU" TargetMode="External"/><Relationship Id="rId1040" Type="http://schemas.openxmlformats.org/officeDocument/2006/relationships/hyperlink" Target="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78" Type="http://schemas.openxmlformats.org/officeDocument/2006/relationships/hyperlink" Target="https://gld.legislaturacba.gob.ar/Publics/Actas.aspx?id=1gSqRiE1Wb4=" TargetMode="External"/><Relationship Id="rId287" Type="http://schemas.openxmlformats.org/officeDocument/2006/relationships/hyperlink" Target="https://gld.legislaturacba.gob.ar/Publics/Actas.aspx?id=Ow7xqyo3Eb8=" TargetMode="External"/><Relationship Id="rId410" Type="http://schemas.openxmlformats.org/officeDocument/2006/relationships/hyperlink" Targe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94" Type="http://schemas.openxmlformats.org/officeDocument/2006/relationships/hyperlink" Targe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08" Type="http://schemas.openxmlformats.org/officeDocument/2006/relationships/hyperlink" Target="https://www.youtube.com/watch?v=QIKPRxqxuxQ" TargetMode="External"/><Relationship Id="rId715" Type="http://schemas.openxmlformats.org/officeDocument/2006/relationships/hyperlink" Target="https://www.youtube.com/watch?v=3J1PcDev7w0" TargetMode="External"/><Relationship Id="rId922" Type="http://schemas.openxmlformats.org/officeDocument/2006/relationships/hyperlink" Targe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TargetMode="External"/><Relationship Id="rId1138" Type="http://schemas.openxmlformats.org/officeDocument/2006/relationships/hyperlink" Target="https://gld.legislaturacba.gob.ar/Publics/Actas.aspx?id=TgSiiAeUrcg=;https://gld.legislaturacba.gob.ar/Publics/Actas.aspx?id=1XoduSbfkXo=;https://gld.legislaturacba.gob.ar/Publics/Actas.aspx?id=X3Wm8TfEQ54=" TargetMode="External"/><Relationship Id="rId1345" Type="http://schemas.openxmlformats.org/officeDocument/2006/relationships/hyperlink" Target="https://www.youtube.com/watch?v=dw7tK5QFQes" TargetMode="External"/><Relationship Id="rId147" Type="http://schemas.openxmlformats.org/officeDocument/2006/relationships/hyperlink" Target="https://www.youtube.com/watch?v=x037yjzcqME" TargetMode="External"/><Relationship Id="rId354" Type="http://schemas.openxmlformats.org/officeDocument/2006/relationships/hyperlink" Target="https://www.youtube.com/watch?v=81ut3IZNHmc" TargetMode="External"/><Relationship Id="rId799" Type="http://schemas.openxmlformats.org/officeDocument/2006/relationships/hyperlink" Target="https://www.youtube.com/watch?v=z6mVhcgywBY" TargetMode="External"/><Relationship Id="rId1191" Type="http://schemas.openxmlformats.org/officeDocument/2006/relationships/hyperlink" Target="https://www.youtube.com/watch?v=jZhrwfp-dV8" TargetMode="External"/><Relationship Id="rId1205" Type="http://schemas.openxmlformats.org/officeDocument/2006/relationships/hyperlink" Target="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51" Type="http://schemas.openxmlformats.org/officeDocument/2006/relationships/hyperlink" Target="https://www.youtube.com/watch?v=Sy-Ceyf86pc" TargetMode="External"/><Relationship Id="rId561" Type="http://schemas.openxmlformats.org/officeDocument/2006/relationships/hyperlink" Targe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9" Type="http://schemas.openxmlformats.org/officeDocument/2006/relationships/hyperlink" Targe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6" Type="http://schemas.openxmlformats.org/officeDocument/2006/relationships/hyperlink" Targe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9" Type="http://schemas.openxmlformats.org/officeDocument/2006/relationships/hyperlink" Target="https://www.youtube.com/watch?v=M4MKoqkyiEA" TargetMode="External"/><Relationship Id="rId214" Type="http://schemas.openxmlformats.org/officeDocument/2006/relationships/hyperlink" Target="https://www.youtube.com/watch?v=_bZ4GO_otlM" TargetMode="External"/><Relationship Id="rId298" Type="http://schemas.openxmlformats.org/officeDocument/2006/relationships/hyperlink" Targe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1" Type="http://schemas.openxmlformats.org/officeDocument/2006/relationships/hyperlink" Targe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19" Type="http://schemas.openxmlformats.org/officeDocument/2006/relationships/hyperlink" Targe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1" Type="http://schemas.openxmlformats.org/officeDocument/2006/relationships/hyperlink" Target="https://gld.legislaturacba.gob.ar/Publics/Actas.aspx?id=3QEtuA80A5U=" TargetMode="External"/><Relationship Id="rId1149" Type="http://schemas.openxmlformats.org/officeDocument/2006/relationships/hyperlink" Target="https://gld.legislaturacba.gob.ar/Publics/Actas.aspx?id=M0MFidCBOXw=;https://gld.legislaturacba.gob.ar/Publics/Actas.aspx?id=wbGYaPKjYvg=" TargetMode="External"/><Relationship Id="rId1356" Type="http://schemas.openxmlformats.org/officeDocument/2006/relationships/hyperlink" Target="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8" Type="http://schemas.openxmlformats.org/officeDocument/2006/relationships/hyperlink" Target="https://www.youtube.com/watch?v=eA5paX3p0PQ" TargetMode="External"/><Relationship Id="rId726" Type="http://schemas.openxmlformats.org/officeDocument/2006/relationships/hyperlink" Targe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3" Type="http://schemas.openxmlformats.org/officeDocument/2006/relationships/hyperlink" Targe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09" Type="http://schemas.openxmlformats.org/officeDocument/2006/relationships/hyperlink" Target="https://www.youtube.com/watch?v=NROZfnalITM" TargetMode="External"/><Relationship Id="rId62" Type="http://schemas.openxmlformats.org/officeDocument/2006/relationships/hyperlink" Targe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5" Type="http://schemas.openxmlformats.org/officeDocument/2006/relationships/hyperlink" Target="https://www.youtube.com/watch?v=It7q9pQ-cvU" TargetMode="External"/><Relationship Id="rId572" Type="http://schemas.openxmlformats.org/officeDocument/2006/relationships/hyperlink" Target="https://www.youtube.com/watch?v=gtl64Qui3P8" TargetMode="External"/><Relationship Id="rId1216" Type="http://schemas.openxmlformats.org/officeDocument/2006/relationships/hyperlink" Target="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25" Type="http://schemas.openxmlformats.org/officeDocument/2006/relationships/hyperlink" Target="https://www.youtube.com/watch?v=UOizdNEalMo" TargetMode="External"/><Relationship Id="rId432" Type="http://schemas.openxmlformats.org/officeDocument/2006/relationships/hyperlink" Targe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7" Type="http://schemas.openxmlformats.org/officeDocument/2006/relationships/hyperlink" Targe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TargetMode="External"/><Relationship Id="rId1062" Type="http://schemas.openxmlformats.org/officeDocument/2006/relationships/hyperlink" Target="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37" Type="http://schemas.openxmlformats.org/officeDocument/2006/relationships/hyperlink" Targe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4"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67" Type="http://schemas.openxmlformats.org/officeDocument/2006/relationships/hyperlink" Target="https://www.youtube.com/watch?v=opO--2cSNUo" TargetMode="External"/><Relationship Id="rId73" Type="http://schemas.openxmlformats.org/officeDocument/2006/relationships/hyperlink" Targe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9" Type="http://schemas.openxmlformats.org/officeDocument/2006/relationships/hyperlink" Targe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6" Type="http://schemas.openxmlformats.org/officeDocument/2006/relationships/hyperlink" Targe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3" Type="http://schemas.openxmlformats.org/officeDocument/2006/relationships/hyperlink" Target="https://www.youtube.com/watch?v=nuEnyHRlhF8" TargetMode="External"/><Relationship Id="rId790" Type="http://schemas.openxmlformats.org/officeDocument/2006/relationships/hyperlink" Targe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4" Type="http://schemas.openxmlformats.org/officeDocument/2006/relationships/hyperlink" Targe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27" Type="http://schemas.openxmlformats.org/officeDocument/2006/relationships/hyperlink" Target="https://gld.legislaturacba.gob.ar/Publics/Actas.aspx?id=yB1BgeQePNE=;https://gld.legislaturacba.gob.ar/Publics/Actas.aspx?id=z6fk_alVdKc=;https://gld.legislaturacba.gob.ar/Publics/Actas.aspx?id=z6fk_alVdKc=" TargetMode="External"/><Relationship Id="rId4" Type="http://schemas.openxmlformats.org/officeDocument/2006/relationships/hyperlink" Targe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6" Type="http://schemas.openxmlformats.org/officeDocument/2006/relationships/hyperlink" Targe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3" Type="http://schemas.openxmlformats.org/officeDocument/2006/relationships/hyperlink" Target="https://www.youtube.com/watch?v=oHVVJSN4cpc" TargetMode="External"/><Relationship Id="rId650" Type="http://schemas.openxmlformats.org/officeDocument/2006/relationships/hyperlink" Targe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8" Type="http://schemas.openxmlformats.org/officeDocument/2006/relationships/hyperlink" Target="https://www.youtube.com/watch?v=BPEak9i5Fzk" TargetMode="External"/><Relationship Id="rId1073" Type="http://schemas.openxmlformats.org/officeDocument/2006/relationships/hyperlink" Target="https://gld.legislaturacba.gob.ar/Publics/Actas.aspx?id=uFx4CgbAQ7s=" TargetMode="External"/><Relationship Id="rId1280" Type="http://schemas.openxmlformats.org/officeDocument/2006/relationships/hyperlink" Target="https://www.youtube.com/watch?v=ZGIJwUSasIA" TargetMode="External"/><Relationship Id="rId303" Type="http://schemas.openxmlformats.org/officeDocument/2006/relationships/hyperlink" Target="https://www.youtube.com/watch?v=zSz0Kh-GrXk" TargetMode="External"/><Relationship Id="rId748" Type="http://schemas.openxmlformats.org/officeDocument/2006/relationships/hyperlink" Target="https://www.youtube.com/watch?v=-iA2mMOyvao" TargetMode="External"/><Relationship Id="rId955" Type="http://schemas.openxmlformats.org/officeDocument/2006/relationships/hyperlink" Targe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40" Type="http://schemas.openxmlformats.org/officeDocument/2006/relationships/hyperlink" Target="https://www.youtube.com/watch?v=Wy911CvDqdk" TargetMode="External"/><Relationship Id="rId1378" Type="http://schemas.openxmlformats.org/officeDocument/2006/relationships/hyperlink" Target="https://www.youtube.com/watch?v=5nkOG7vy1sI" TargetMode="External"/><Relationship Id="rId84" Type="http://schemas.openxmlformats.org/officeDocument/2006/relationships/hyperlink" Targe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7" Type="http://schemas.openxmlformats.org/officeDocument/2006/relationships/hyperlink" Target="https://www.youtube.com/watch?v=QwMY5H24VMg" TargetMode="External"/><Relationship Id="rId510" Type="http://schemas.openxmlformats.org/officeDocument/2006/relationships/hyperlink" Target="https://www.youtube.com/watch?v=vVLOwgGTI_8" TargetMode="External"/><Relationship Id="rId594" Type="http://schemas.openxmlformats.org/officeDocument/2006/relationships/hyperlink" Targe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8" Type="http://schemas.openxmlformats.org/officeDocument/2006/relationships/hyperlink" Target="https://www.youtube.com/watch?v=YIMbN9k3AfA" TargetMode="External"/><Relationship Id="rId815" Type="http://schemas.openxmlformats.org/officeDocument/2006/relationships/hyperlink" Target="https://www.youtube.com/watch?v=gFv7xWp2ZZA" TargetMode="External"/><Relationship Id="rId1238" Type="http://schemas.openxmlformats.org/officeDocument/2006/relationships/hyperlink" Target="https://www.youtube.com/watch?v=EVfE8nbUAu0" TargetMode="External"/><Relationship Id="rId247" Type="http://schemas.openxmlformats.org/officeDocument/2006/relationships/hyperlink" Target="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99" Type="http://schemas.openxmlformats.org/officeDocument/2006/relationships/hyperlink" Targe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TargetMode="External"/><Relationship Id="rId1000" Type="http://schemas.openxmlformats.org/officeDocument/2006/relationships/hyperlink" Target="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84" Type="http://schemas.openxmlformats.org/officeDocument/2006/relationships/hyperlink" Target="https://www.youtube.com/watch?v=AOtZ9nbt4iA" TargetMode="External"/><Relationship Id="rId1305" Type="http://schemas.openxmlformats.org/officeDocument/2006/relationships/hyperlink" Target="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07" Type="http://schemas.openxmlformats.org/officeDocument/2006/relationships/hyperlink" Target="https://www.youtube.com/watch?v=2H5lDERAsVw&amp;t=4720s" TargetMode="External"/><Relationship Id="rId454" Type="http://schemas.openxmlformats.org/officeDocument/2006/relationships/hyperlink" Targe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1" Type="http://schemas.openxmlformats.org/officeDocument/2006/relationships/hyperlink" Target="https://www.youtube.com/watch?v=nVuyO6Ais3U" TargetMode="External"/><Relationship Id="rId759" Type="http://schemas.openxmlformats.org/officeDocument/2006/relationships/hyperlink" Target="https://www.youtube.com/watch?v=bcdeXJYYXu4" TargetMode="External"/><Relationship Id="rId966" Type="http://schemas.openxmlformats.org/officeDocument/2006/relationships/hyperlink" Targe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91" Type="http://schemas.openxmlformats.org/officeDocument/2006/relationships/hyperlink" Target="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1" Type="http://schemas.openxmlformats.org/officeDocument/2006/relationships/hyperlink" Target="https://www.youtube.com/watch?v=kyCmdAaT278" TargetMode="External"/><Relationship Id="rId314" Type="http://schemas.openxmlformats.org/officeDocument/2006/relationships/hyperlink" Targe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8" Type="http://schemas.openxmlformats.org/officeDocument/2006/relationships/hyperlink" Targe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21" Type="http://schemas.openxmlformats.org/officeDocument/2006/relationships/hyperlink" Targe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9" Type="http://schemas.openxmlformats.org/officeDocument/2006/relationships/hyperlink" Target="https://www.youtube.com/watch?v=F5w7L-lMMH8" TargetMode="External"/><Relationship Id="rId1151" Type="http://schemas.openxmlformats.org/officeDocument/2006/relationships/hyperlink" Target="https://www.youtube.com/watch?v=yvwCIoIcgns" TargetMode="External"/><Relationship Id="rId1249" Type="http://schemas.openxmlformats.org/officeDocument/2006/relationships/hyperlink" Target="https://gld.legislaturacba.gob.ar/Publics/Actas.aspx?id=dqHyPnrDPqI=;NA;https://gld.legislaturacba.gob.ar/Publics/Actas.aspx?id=R1RXFTLfAXY=" TargetMode="External"/><Relationship Id="rId95" Type="http://schemas.openxmlformats.org/officeDocument/2006/relationships/hyperlink" Targe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 Type="http://schemas.openxmlformats.org/officeDocument/2006/relationships/hyperlink" Targe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6" Type="http://schemas.openxmlformats.org/officeDocument/2006/relationships/hyperlink" Targe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11" Type="http://schemas.openxmlformats.org/officeDocument/2006/relationships/hyperlink" Target="https://www.youtube.com/watch?v=r8vcTNFJJAE" TargetMode="External"/><Relationship Id="rId1109" Type="http://schemas.openxmlformats.org/officeDocument/2006/relationships/hyperlink" Target="https://gld.legislaturacba.gob.ar/Publics/Actas.aspx?id=jaDcK5HEGuc=;https://gld.legislaturacba.gob.ar/Publics/Actas.aspx?id=OA-PIU3jVlg=;https://gld.legislaturacba.gob.ar/Publics/Actas.aspx?id=SCkf6oRxZhQ=" TargetMode="External"/><Relationship Id="rId258" Type="http://schemas.openxmlformats.org/officeDocument/2006/relationships/hyperlink" Targe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5" Type="http://schemas.openxmlformats.org/officeDocument/2006/relationships/hyperlink" Targe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2" Type="http://schemas.openxmlformats.org/officeDocument/2006/relationships/hyperlink" Targe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5" Type="http://schemas.openxmlformats.org/officeDocument/2006/relationships/hyperlink" Target="https://gld.legislaturacba.gob.ar/Publics/Actas.aspx?id=03kGqwLPde8=" TargetMode="External"/><Relationship Id="rId1316" Type="http://schemas.openxmlformats.org/officeDocument/2006/relationships/hyperlink" Target="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2" Type="http://schemas.openxmlformats.org/officeDocument/2006/relationships/hyperlink" Target="https://gld.legislaturacba.gob.ar/Publics/Actas.aspx?id=5aTpKdkZ7Vc=;https://gld.legislaturacba.gob.ar/Publics/Actas.aspx?id=6IdxXWsVigc=" TargetMode="External"/><Relationship Id="rId118" Type="http://schemas.openxmlformats.org/officeDocument/2006/relationships/hyperlink" Targe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5" Type="http://schemas.openxmlformats.org/officeDocument/2006/relationships/hyperlink" Target="https://www.youtube.com/watch?v=ewowi9uoS6k" TargetMode="External"/><Relationship Id="rId532" Type="http://schemas.openxmlformats.org/officeDocument/2006/relationships/hyperlink" Target="https://www.youtube.com/watch?v=XiOYPZA_jxg" TargetMode="External"/><Relationship Id="rId977" Type="http://schemas.openxmlformats.org/officeDocument/2006/relationships/hyperlink" Target="https://www.youtube.com/watch?v=4Qt3gpG6ifY" TargetMode="External"/><Relationship Id="rId1162" Type="http://schemas.openxmlformats.org/officeDocument/2006/relationships/hyperlink" Target="https://www.youtube.com/watch?v=608SwmAWfrs" TargetMode="External"/><Relationship Id="rId171" Type="http://schemas.openxmlformats.org/officeDocument/2006/relationships/hyperlink" Targe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7" Type="http://schemas.openxmlformats.org/officeDocument/2006/relationships/hyperlink" Target="https://www.youtube.com/watch?v=a0t-RI6dfbU" TargetMode="External"/><Relationship Id="rId1022" Type="http://schemas.openxmlformats.org/officeDocument/2006/relationships/hyperlink" Target="https://www.youtube.com/watch?v=3Kr_1DAGkkM" TargetMode="External"/><Relationship Id="rId269" Type="http://schemas.openxmlformats.org/officeDocument/2006/relationships/hyperlink" Targe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6" Type="http://schemas.openxmlformats.org/officeDocument/2006/relationships/hyperlink" Target="https://www.youtube.com/watch?v=mpI1aS9D_JI" TargetMode="External"/><Relationship Id="rId683" Type="http://schemas.openxmlformats.org/officeDocument/2006/relationships/hyperlink" Target="https://www.youtube.com/watch?v=RsPnoR6XsjU" TargetMode="External"/><Relationship Id="rId890" Type="http://schemas.openxmlformats.org/officeDocument/2006/relationships/hyperlink" Targe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TargetMode="External"/><Relationship Id="rId904" Type="http://schemas.openxmlformats.org/officeDocument/2006/relationships/hyperlink" Targe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TargetMode="External"/><Relationship Id="rId1327" Type="http://schemas.openxmlformats.org/officeDocument/2006/relationships/hyperlink" Target="https://gld.legislaturacba.gob.ar/Publics/Actas.aspx?id=z53Rrp7htu4=" TargetMode="External"/><Relationship Id="rId33" Type="http://schemas.openxmlformats.org/officeDocument/2006/relationships/hyperlink" Targe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9" Type="http://schemas.openxmlformats.org/officeDocument/2006/relationships/hyperlink" Targe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6" Type="http://schemas.openxmlformats.org/officeDocument/2006/relationships/hyperlink" Targe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3" Type="http://schemas.openxmlformats.org/officeDocument/2006/relationships/hyperlink" Targe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8" Type="http://schemas.openxmlformats.org/officeDocument/2006/relationships/hyperlink" Target="https://gld.legislaturacba.gob.ar/Publics/Actas.aspx?id=MlojQ7y89cY=;https://gld.legislaturacba.gob.ar/Publics/Actas.aspx?id=iMpAe8aVd2Y=;https://gld.legislaturacba.gob.ar/Publics/Actas.aspx?id=tl4CvXDQuWA=" TargetMode="External"/><Relationship Id="rId1173" Type="http://schemas.openxmlformats.org/officeDocument/2006/relationships/hyperlink" Target="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80" Type="http://schemas.openxmlformats.org/officeDocument/2006/relationships/hyperlink" Target="https://www.youtube.com/watch?v=aMhIlX3dwVU" TargetMode="External"/><Relationship Id="rId182" Type="http://schemas.openxmlformats.org/officeDocument/2006/relationships/hyperlink" Targe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3" Type="http://schemas.openxmlformats.org/officeDocument/2006/relationships/hyperlink" Target="https://www.youtube.com/watch?v=_sEbHgZIPnQ" TargetMode="External"/><Relationship Id="rId750" Type="http://schemas.openxmlformats.org/officeDocument/2006/relationships/hyperlink" Target="https://www.youtube.com/watch?v=MrttBxcYXNM" TargetMode="External"/><Relationship Id="rId848" Type="http://schemas.openxmlformats.org/officeDocument/2006/relationships/hyperlink" Targe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3" Type="http://schemas.openxmlformats.org/officeDocument/2006/relationships/hyperlink" Target="https://gld.legislaturacba.gob.ar/Publics/Actas.aspx?id=V7PkwWLummw=" TargetMode="External"/><Relationship Id="rId487" Type="http://schemas.openxmlformats.org/officeDocument/2006/relationships/hyperlink" Target="https://www.youtube.com/watch?v=Aj5vClEyzQA" TargetMode="External"/><Relationship Id="rId610" Type="http://schemas.openxmlformats.org/officeDocument/2006/relationships/hyperlink" Target="https://www.youtube.com/watch?v=5LsFxiL_y4g" TargetMode="External"/><Relationship Id="rId694" Type="http://schemas.openxmlformats.org/officeDocument/2006/relationships/hyperlink" Target="https://www.youtube.com/watch?v=YvkLmQjo8Zg" TargetMode="External"/><Relationship Id="rId708" Type="http://schemas.openxmlformats.org/officeDocument/2006/relationships/hyperlink" Targe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5" Type="http://schemas.openxmlformats.org/officeDocument/2006/relationships/hyperlink" Targe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TargetMode="External"/><Relationship Id="rId1240" Type="http://schemas.openxmlformats.org/officeDocument/2006/relationships/hyperlink" Target="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38" Type="http://schemas.openxmlformats.org/officeDocument/2006/relationships/hyperlink" Target="https://gld.legislaturacba.gob.ar/Publics/Actas.aspx?id=KKt9FaC1DbY=;https://gld.legislaturacba.gob.ar/Publics/Actas.aspx?id=HWi34EiabZM=" TargetMode="External"/><Relationship Id="rId347" Type="http://schemas.openxmlformats.org/officeDocument/2006/relationships/hyperlink" Target="https://www.youtube.com/watch?v=VlvuZlmJYYU" TargetMode="External"/><Relationship Id="rId999" Type="http://schemas.openxmlformats.org/officeDocument/2006/relationships/hyperlink" Target="https://www.youtube.com/watch?v=HuVeWCA3Iqc" TargetMode="External"/><Relationship Id="rId1100" Type="http://schemas.openxmlformats.org/officeDocument/2006/relationships/hyperlink" Target="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84" Type="http://schemas.openxmlformats.org/officeDocument/2006/relationships/hyperlink" Target="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44" Type="http://schemas.openxmlformats.org/officeDocument/2006/relationships/hyperlink" Target="https://www.youtube.com/watch?v=XhawY8_f6FM" TargetMode="External"/><Relationship Id="rId554" Type="http://schemas.openxmlformats.org/officeDocument/2006/relationships/hyperlink" Target="https://www.youtube.com/watch?v=zxgQj20ydWs" TargetMode="External"/><Relationship Id="rId761" Type="http://schemas.openxmlformats.org/officeDocument/2006/relationships/hyperlink" Target="https://www.youtube.com/watch?v=OUC-7SuXnP4" TargetMode="External"/><Relationship Id="rId859" Type="http://schemas.openxmlformats.org/officeDocument/2006/relationships/hyperlink" Target="https://www.youtube.com/watch?v=oPr42jh4l2g" TargetMode="External"/><Relationship Id="rId193" Type="http://schemas.openxmlformats.org/officeDocument/2006/relationships/hyperlink" Targe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7" Type="http://schemas.openxmlformats.org/officeDocument/2006/relationships/hyperlink" Targe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4" Type="http://schemas.openxmlformats.org/officeDocument/2006/relationships/hyperlink" Targe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8" Type="http://schemas.openxmlformats.org/officeDocument/2006/relationships/hyperlink" Targe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1" Type="http://schemas.openxmlformats.org/officeDocument/2006/relationships/hyperlink" Target="https://www.youtube.com/watch?v=X4Y2wDLbgN8" TargetMode="External"/><Relationship Id="rId1044" Type="http://schemas.openxmlformats.org/officeDocument/2006/relationships/hyperlink" Target="https://www.youtube.com/watch?v=fEl4z4pIa8s" TargetMode="External"/><Relationship Id="rId1251" Type="http://schemas.openxmlformats.org/officeDocument/2006/relationships/hyperlink" Target="https://www.youtube.com/watch?v=dCE8tE28b9A" TargetMode="External"/><Relationship Id="rId1349" Type="http://schemas.openxmlformats.org/officeDocument/2006/relationships/hyperlink" Target="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60" Type="http://schemas.openxmlformats.org/officeDocument/2006/relationships/hyperlink" Targe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9" Type="http://schemas.openxmlformats.org/officeDocument/2006/relationships/hyperlink" Target="https://www.youtube.com/watch?v=hZKP2VnS_Uc" TargetMode="External"/><Relationship Id="rId926" Type="http://schemas.openxmlformats.org/officeDocument/2006/relationships/hyperlink" Targe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TargetMode="External"/><Relationship Id="rId1111" Type="http://schemas.openxmlformats.org/officeDocument/2006/relationships/hyperlink" Target="https://www.youtube.com/watch?v=sC1c01fBw8Q" TargetMode="External"/><Relationship Id="rId55" Type="http://schemas.openxmlformats.org/officeDocument/2006/relationships/hyperlink" Target="https://www.youtube.com/watch?v=ZOlUUKojTGA" TargetMode="External"/><Relationship Id="rId120" Type="http://schemas.openxmlformats.org/officeDocument/2006/relationships/hyperlink" Targe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58" Type="http://schemas.openxmlformats.org/officeDocument/2006/relationships/hyperlink" Targe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5" Type="http://schemas.openxmlformats.org/officeDocument/2006/relationships/hyperlink" Targe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2" Type="http://schemas.openxmlformats.org/officeDocument/2006/relationships/hyperlink" Targe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195" Type="http://schemas.openxmlformats.org/officeDocument/2006/relationships/hyperlink" Target="https://gld.legislaturacba.gob.ar/Publics/Actas.aspx?id=yguNm2F5GB8=;https://gld.legislaturacba.gob.ar/Publics/Actas.aspx?id=25A-vpkbhok=;https://gld.legislaturacba.gob.ar/Publics/Actas.aspx?id=U0DLw5__tFw=" TargetMode="External"/><Relationship Id="rId1209" Type="http://schemas.openxmlformats.org/officeDocument/2006/relationships/hyperlink" Target="https://gld.legislaturacba.gob.ar/Publics/Actas.aspx?id=R5xpynoVFVg=" TargetMode="External"/><Relationship Id="rId218" Type="http://schemas.openxmlformats.org/officeDocument/2006/relationships/hyperlink" Targe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5" Type="http://schemas.openxmlformats.org/officeDocument/2006/relationships/hyperlink" Targe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2" Type="http://schemas.openxmlformats.org/officeDocument/2006/relationships/hyperlink" Target="https://www.youtube.com/watch?v=-r-iKO6zaSc" TargetMode="External"/><Relationship Id="rId1055" Type="http://schemas.openxmlformats.org/officeDocument/2006/relationships/hyperlink" Target="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62" Type="http://schemas.openxmlformats.org/officeDocument/2006/relationships/hyperlink" Target="https://www.youtube.com/watch?v=klPnxClitwc" TargetMode="External"/><Relationship Id="rId271" Type="http://schemas.openxmlformats.org/officeDocument/2006/relationships/hyperlink" Target="https://www.youtube.com/watch?v=IP6wcc8pYlY" TargetMode="External"/><Relationship Id="rId937" Type="http://schemas.openxmlformats.org/officeDocument/2006/relationships/hyperlink" Target="https://gld.legislaturacba.gob.ar/Publics/Actas.aspx?id=3zSzz9QKjXA=;https://gld.legislaturacba.gob.ar/Publics/Actas.aspx?id=RYTlmkoMtA8=" TargetMode="External"/><Relationship Id="rId1122" Type="http://schemas.openxmlformats.org/officeDocument/2006/relationships/hyperlink" Target="https://www.youtube.com/watch?v=06GVseSwD4w" TargetMode="External"/><Relationship Id="rId66" Type="http://schemas.openxmlformats.org/officeDocument/2006/relationships/hyperlink" Target="https://www.youtube.com/watch?v=kUFP9SN9sTU" TargetMode="External"/><Relationship Id="rId131" Type="http://schemas.openxmlformats.org/officeDocument/2006/relationships/hyperlink" Targe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9" Type="http://schemas.openxmlformats.org/officeDocument/2006/relationships/hyperlink" Target="https://www.youtube.com/watch?v=7ad0nBIg_vQ" TargetMode="External"/><Relationship Id="rId576" Type="http://schemas.openxmlformats.org/officeDocument/2006/relationships/hyperlink" Targe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3" Type="http://schemas.openxmlformats.org/officeDocument/2006/relationships/hyperlink" Target="https://www.youtube.com/watch?v=PONSvQAOXLY" TargetMode="External"/><Relationship Id="rId990" Type="http://schemas.openxmlformats.org/officeDocument/2006/relationships/hyperlink" Target="https://www.youtube.com/watch?v=2-mU6HTUtU0" TargetMode="External"/><Relationship Id="rId229" Type="http://schemas.openxmlformats.org/officeDocument/2006/relationships/hyperlink" Target="https://www.youtube.com/watch?v=Tc5MWKTolhg" TargetMode="External"/><Relationship Id="rId436" Type="http://schemas.openxmlformats.org/officeDocument/2006/relationships/hyperlink" Targe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43" Type="http://schemas.openxmlformats.org/officeDocument/2006/relationships/hyperlink" Targe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66" Type="http://schemas.openxmlformats.org/officeDocument/2006/relationships/hyperlink" Target="https://www.youtube.com/watch?v=q74DYCrTEGc" TargetMode="External"/><Relationship Id="rId1273" Type="http://schemas.openxmlformats.org/officeDocument/2006/relationships/hyperlink" Target="https://www.youtube.com/watch?v=ZLMIJOJ29tU" TargetMode="External"/><Relationship Id="rId850" Type="http://schemas.openxmlformats.org/officeDocument/2006/relationships/hyperlink" Targe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8" Type="http://schemas.openxmlformats.org/officeDocument/2006/relationships/hyperlink" Target="https://gld.legislaturacba.gob.ar/Publics/Actas.aspx?id=8_8Cx3meStw=;https://gld.legislaturacba.gob.ar/Publics/Actas.aspx?id=gF5e_JUY_3g=" TargetMode="External"/><Relationship Id="rId1133" Type="http://schemas.openxmlformats.org/officeDocument/2006/relationships/hyperlink" Target="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7" Type="http://schemas.openxmlformats.org/officeDocument/2006/relationships/hyperlink" Targe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2" Type="http://schemas.openxmlformats.org/officeDocument/2006/relationships/hyperlink" Targe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3" Type="http://schemas.openxmlformats.org/officeDocument/2006/relationships/hyperlink" Targe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7" Type="http://schemas.openxmlformats.org/officeDocument/2006/relationships/hyperlink" Target="https://www.youtube.com/watch?v=BqsyFydVHpU" TargetMode="External"/><Relationship Id="rId710" Type="http://schemas.openxmlformats.org/officeDocument/2006/relationships/hyperlink" Targe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08" Type="http://schemas.openxmlformats.org/officeDocument/2006/relationships/hyperlink" Targe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0" Type="http://schemas.openxmlformats.org/officeDocument/2006/relationships/hyperlink" Target="https://www.youtube.com/watch?v=LOCJvGd0Bsc" TargetMode="External"/><Relationship Id="rId8" Type="http://schemas.openxmlformats.org/officeDocument/2006/relationships/hyperlink" Targe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 Type="http://schemas.openxmlformats.org/officeDocument/2006/relationships/hyperlink" Targe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7" Type="http://schemas.openxmlformats.org/officeDocument/2006/relationships/hyperlink" Target="https://www.youtube.com/watch?v=thNLNp7HjEc" TargetMode="External"/><Relationship Id="rId794" Type="http://schemas.openxmlformats.org/officeDocument/2006/relationships/hyperlink" Targe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077" Type="http://schemas.openxmlformats.org/officeDocument/2006/relationships/hyperlink" Target="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00" Type="http://schemas.openxmlformats.org/officeDocument/2006/relationships/hyperlink" Target="https://www.youtube.com/watch?v=kxIc9HnZJX8" TargetMode="External"/><Relationship Id="rId654" Type="http://schemas.openxmlformats.org/officeDocument/2006/relationships/hyperlink" Target="https://www.youtube.com/watch?v=ZdfYSq7GUps" TargetMode="External"/><Relationship Id="rId861" Type="http://schemas.openxmlformats.org/officeDocument/2006/relationships/hyperlink" Target="https://www.youtube.com/watch?v=cy5zTvFOZNU" TargetMode="External"/><Relationship Id="rId959" Type="http://schemas.openxmlformats.org/officeDocument/2006/relationships/hyperlink" Target="https://www.youtube.com/watch?v=YM8qUUW6j6I" TargetMode="External"/><Relationship Id="rId1284" Type="http://schemas.openxmlformats.org/officeDocument/2006/relationships/hyperlink" Target="https://gld.legislaturacba.gob.ar/Publics/Actas.aspx?id=St7UBev-UhQ=" TargetMode="External"/><Relationship Id="rId293" Type="http://schemas.openxmlformats.org/officeDocument/2006/relationships/hyperlink" Target="https://www.youtube.com/watch?v=U6T2PHcXPRM" TargetMode="External"/><Relationship Id="rId307" Type="http://schemas.openxmlformats.org/officeDocument/2006/relationships/hyperlink" Target="https://www.youtube.com/watch?v=wylVSPTKQSE" TargetMode="External"/><Relationship Id="rId514" Type="http://schemas.openxmlformats.org/officeDocument/2006/relationships/hyperlink" Target="https://www.youtube.com/watch?v=6oN8T79ooxM" TargetMode="External"/><Relationship Id="rId721" Type="http://schemas.openxmlformats.org/officeDocument/2006/relationships/hyperlink" Target="https://www.youtube.com/watch?v=Q5LpyVmaI0k" TargetMode="External"/><Relationship Id="rId1144" Type="http://schemas.openxmlformats.org/officeDocument/2006/relationships/hyperlink" Target="https://gld.legislaturacba.gob.ar/Publics/Actas.aspx?id=5vHxuL67dEA=" TargetMode="External"/><Relationship Id="rId1351" Type="http://schemas.openxmlformats.org/officeDocument/2006/relationships/hyperlink" Target="https://gld.legislaturacba.gob.ar/Publics/Actas.aspx?id=ShIHVN8G-nE=" TargetMode="External"/><Relationship Id="rId88" Type="http://schemas.openxmlformats.org/officeDocument/2006/relationships/hyperlink" Targe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 Type="http://schemas.openxmlformats.org/officeDocument/2006/relationships/hyperlink" Targe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0" Type="http://schemas.openxmlformats.org/officeDocument/2006/relationships/hyperlink" Targe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8" Type="http://schemas.openxmlformats.org/officeDocument/2006/relationships/hyperlink" Targe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9" Type="http://schemas.openxmlformats.org/officeDocument/2006/relationships/hyperlink" Target="https://www.youtube.com/watch?v=Ic2x24zNtKY" TargetMode="External"/><Relationship Id="rId1004" Type="http://schemas.openxmlformats.org/officeDocument/2006/relationships/hyperlink" Target="https://www.youtube.com/watch?v=FD23kQOoKOk" TargetMode="External"/><Relationship Id="rId1211" Type="http://schemas.openxmlformats.org/officeDocument/2006/relationships/hyperlink" Target="https://www.youtube.com/watch?v=tClob1QsRQI" TargetMode="External"/><Relationship Id="rId220" Type="http://schemas.openxmlformats.org/officeDocument/2006/relationships/hyperlink" Targe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8" Type="http://schemas.openxmlformats.org/officeDocument/2006/relationships/hyperlink" Target="https://gld.legislaturacba.gob.ar/Publics/Actas.aspx?id=YXpDAMDKgGY=" TargetMode="External"/><Relationship Id="rId665" Type="http://schemas.openxmlformats.org/officeDocument/2006/relationships/hyperlink" Target="https://www.youtube.com/watch?v=O0VgqOcu1Ok" TargetMode="External"/><Relationship Id="rId872" Type="http://schemas.openxmlformats.org/officeDocument/2006/relationships/hyperlink" Target="https://www.youtube.com/watch?v=P65-rMhRjWY" TargetMode="External"/><Relationship Id="rId1088" Type="http://schemas.openxmlformats.org/officeDocument/2006/relationships/hyperlink" Target="https://gld.legislaturacba.gob.ar/Publics/Actas.aspx?id=CZn94RQiBpE=" TargetMode="External"/><Relationship Id="rId1295" Type="http://schemas.openxmlformats.org/officeDocument/2006/relationships/hyperlink" Target="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309" Type="http://schemas.openxmlformats.org/officeDocument/2006/relationships/hyperlink" Target="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15" Type="http://schemas.openxmlformats.org/officeDocument/2006/relationships/hyperlink" Target="https://www.youtube.com/watch?v=2l00sknI04g" TargetMode="External"/><Relationship Id="rId318" Type="http://schemas.openxmlformats.org/officeDocument/2006/relationships/hyperlink" Target="https://www.youtube.com/watch?v=1c8sBebOyxI" TargetMode="External"/><Relationship Id="rId525" Type="http://schemas.openxmlformats.org/officeDocument/2006/relationships/hyperlink" Targe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2" Type="http://schemas.openxmlformats.org/officeDocument/2006/relationships/hyperlink" Target="https://www.youtube.com/watch?v=LVdH9rmC8hU" TargetMode="External"/><Relationship Id="rId1155" Type="http://schemas.openxmlformats.org/officeDocument/2006/relationships/hyperlink" Target="https://gld.legislaturacba.gob.ar/Publics/Actas.aspx?id=6RyHc34pvPQ=;https://gld.legislaturacba.gob.ar/Publics/Actas.aspx?id=lntnUHabJdg=;https://gld.legislaturacba.gob.ar/Publics/Actas.aspx?id=xXJzwDiTwBQ=" TargetMode="External"/><Relationship Id="rId1362" Type="http://schemas.openxmlformats.org/officeDocument/2006/relationships/hyperlink" Target="https://www.youtube.com/watch?v=rnmKGBS1A7Y" TargetMode="External"/><Relationship Id="rId99" Type="http://schemas.openxmlformats.org/officeDocument/2006/relationships/hyperlink" Target="https://gld.legislaturacba.gob.ar/Publics/Actas.aspx?id=ExNm1jSkjic=" TargetMode="External"/><Relationship Id="rId164" Type="http://schemas.openxmlformats.org/officeDocument/2006/relationships/hyperlink" Targe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1" Type="http://schemas.openxmlformats.org/officeDocument/2006/relationships/hyperlink" Target="https://www.youtube.com/watch?v=uE95ezRY2FI" TargetMode="External"/><Relationship Id="rId1015" Type="http://schemas.openxmlformats.org/officeDocument/2006/relationships/hyperlink" Target="https://gld.legislaturacba.gob.ar/Publics/Actas.aspx?id=MlKBsXrupXw=;https://gld.legislaturacba.gob.ar/Publics/Actas.aspx?id=_JgI_c7uUC0=" TargetMode="External"/><Relationship Id="rId1222" Type="http://schemas.openxmlformats.org/officeDocument/2006/relationships/hyperlink" Target="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69" Type="http://schemas.openxmlformats.org/officeDocument/2006/relationships/hyperlink" Targe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6" Type="http://schemas.openxmlformats.org/officeDocument/2006/relationships/hyperlink" Targe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3" Type="http://schemas.openxmlformats.org/officeDocument/2006/relationships/hyperlink" Targe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TargetMode="External"/><Relationship Id="rId1099" Type="http://schemas.openxmlformats.org/officeDocument/2006/relationships/hyperlink" Target="https://gld.legislaturacba.gob.ar/Publics/Actas.aspx?id=P-CRB3pQlh8=" TargetMode="External"/><Relationship Id="rId26" Type="http://schemas.openxmlformats.org/officeDocument/2006/relationships/hyperlink" Target="https://www.youtube.com/watch?v=XzsipIZasEc" TargetMode="External"/><Relationship Id="rId231" Type="http://schemas.openxmlformats.org/officeDocument/2006/relationships/hyperlink" Target="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329" Type="http://schemas.openxmlformats.org/officeDocument/2006/relationships/hyperlink" Targe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6" Type="http://schemas.openxmlformats.org/officeDocument/2006/relationships/hyperlink" Target="https://www.youtube.com/watch?v=H_zet5Ehoyc&amp;t" TargetMode="External"/><Relationship Id="rId1166" Type="http://schemas.openxmlformats.org/officeDocument/2006/relationships/hyperlink" Target="https://gld.legislaturacba.gob.ar/Publics/Actas.aspx?id=W8-WtYEZo3Y=" TargetMode="External"/><Relationship Id="rId1373" Type="http://schemas.openxmlformats.org/officeDocument/2006/relationships/hyperlink" Target="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75" Type="http://schemas.openxmlformats.org/officeDocument/2006/relationships/hyperlink" Target="https://www.youtube.com/watch?v=60uQjzyPatM" TargetMode="External"/><Relationship Id="rId743" Type="http://schemas.openxmlformats.org/officeDocument/2006/relationships/hyperlink" Targe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0" Type="http://schemas.openxmlformats.org/officeDocument/2006/relationships/hyperlink" Target="https://www.youtube.com/watch?v=i1HDtNoEIm0" TargetMode="External"/><Relationship Id="rId1026" Type="http://schemas.openxmlformats.org/officeDocument/2006/relationships/hyperlink" Target="https://www.youtube.com/watch?v=PMPczWSyfxw" TargetMode="External"/><Relationship Id="rId382" Type="http://schemas.openxmlformats.org/officeDocument/2006/relationships/hyperlink" Targe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3" Type="http://schemas.openxmlformats.org/officeDocument/2006/relationships/hyperlink" Targe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7" Type="http://schemas.openxmlformats.org/officeDocument/2006/relationships/hyperlink" Target="https://www.youtube.com/watch?v=j-8viw0ehLU" TargetMode="External"/><Relationship Id="rId810" Type="http://schemas.openxmlformats.org/officeDocument/2006/relationships/hyperlink" Targe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08" Type="http://schemas.openxmlformats.org/officeDocument/2006/relationships/hyperlink" Targe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TargetMode="External"/><Relationship Id="rId1233" Type="http://schemas.openxmlformats.org/officeDocument/2006/relationships/hyperlink" Target="https://gld.legislaturacba.gob.ar/Publics/Actas.aspx?id=LfQStOnRqW8=" TargetMode="External"/><Relationship Id="rId242" Type="http://schemas.openxmlformats.org/officeDocument/2006/relationships/hyperlink" Targe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4" Type="http://schemas.openxmlformats.org/officeDocument/2006/relationships/hyperlink" Targe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TargetMode="External"/><Relationship Id="rId1177" Type="http://schemas.openxmlformats.org/officeDocument/2006/relationships/hyperlink" Target="https://www.youtube.com/watch?v=BemX7HhBQAk" TargetMode="External"/><Relationship Id="rId1300" Type="http://schemas.openxmlformats.org/officeDocument/2006/relationships/hyperlink" Target="https://gld.legislaturacba.gob.ar/Publics/Actas.aspx?id=1qYqXjWrf3M=;https://gld.legislaturacba.gob.ar/Publics/Actas.aspx?id=M5KKACBVueM=;https://gld.legislaturacba.gob.ar/Publics/Actas.aspx?id=WH489q1hhDg=" TargetMode="External"/><Relationship Id="rId37" Type="http://schemas.openxmlformats.org/officeDocument/2006/relationships/hyperlink" Targe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2" Type="http://schemas.openxmlformats.org/officeDocument/2006/relationships/hyperlink" Target="https://www.youtube.com/watch?v=7kq6Wp9RyQ0" TargetMode="External"/><Relationship Id="rId547" Type="http://schemas.openxmlformats.org/officeDocument/2006/relationships/hyperlink" Targe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4" Type="http://schemas.openxmlformats.org/officeDocument/2006/relationships/hyperlink" Targe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61" Type="http://schemas.openxmlformats.org/officeDocument/2006/relationships/hyperlink" Targe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84" Type="http://schemas.openxmlformats.org/officeDocument/2006/relationships/hyperlink" Target="https://gld.legislaturacba.gob.ar/Publics/Actas.aspx?id=0HcFrWV60V8=;https://gld.legislaturacba.gob.ar/Publics/Actas.aspx?id=G85LIR8nKfE=" TargetMode="External"/><Relationship Id="rId90" Type="http://schemas.openxmlformats.org/officeDocument/2006/relationships/hyperlink" Targe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6" Type="http://schemas.openxmlformats.org/officeDocument/2006/relationships/hyperlink" Targe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93" Type="http://schemas.openxmlformats.org/officeDocument/2006/relationships/hyperlink" Target="https://www.youtube.com/watch?v=Z2ibNcVzFZ4" TargetMode="External"/><Relationship Id="rId407" Type="http://schemas.openxmlformats.org/officeDocument/2006/relationships/hyperlink" Target="https://www.youtube.com/watch?v=bphiDXt8kbk" TargetMode="External"/><Relationship Id="rId614" Type="http://schemas.openxmlformats.org/officeDocument/2006/relationships/hyperlink" Targe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1" Type="http://schemas.openxmlformats.org/officeDocument/2006/relationships/hyperlink" Target="https://www.youtube.com/watch?v=ohIgBDHbLIY" TargetMode="External"/><Relationship Id="rId1037" Type="http://schemas.openxmlformats.org/officeDocument/2006/relationships/hyperlink" Target="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44" Type="http://schemas.openxmlformats.org/officeDocument/2006/relationships/hyperlink" Target="https://www.youtube.com/watch?v=uBmUm4iU7K0" TargetMode="External"/><Relationship Id="rId253" Type="http://schemas.openxmlformats.org/officeDocument/2006/relationships/hyperlink" Target="https://www.youtube.com/watch?v=0vdosNhELQw" TargetMode="External"/><Relationship Id="rId460" Type="http://schemas.openxmlformats.org/officeDocument/2006/relationships/hyperlink" Target="https://www.youtube.com/watch?v=RaPOtgpIwkM" TargetMode="External"/><Relationship Id="rId698" Type="http://schemas.openxmlformats.org/officeDocument/2006/relationships/hyperlink" Target="https://www.youtube.com/watch?v=dKUzhjCscm8" TargetMode="External"/><Relationship Id="rId919" Type="http://schemas.openxmlformats.org/officeDocument/2006/relationships/hyperlink" Targe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TargetMode="External"/><Relationship Id="rId1090" Type="http://schemas.openxmlformats.org/officeDocument/2006/relationships/hyperlink" Target="https://gld.legislaturacba.gob.ar/Publics/Actas.aspx?id=YJ_CB0jMcr8=" TargetMode="External"/><Relationship Id="rId1104" Type="http://schemas.openxmlformats.org/officeDocument/2006/relationships/hyperlink" Target="https://gld.legislaturacba.gob.ar/Publics/Actas.aspx?id=KTpD1SQdoIo=" TargetMode="External"/><Relationship Id="rId1311" Type="http://schemas.openxmlformats.org/officeDocument/2006/relationships/hyperlink" Target="https://gld.legislaturacba.gob.ar/Publics/Actas.aspx?id=4_2MUNai5ro=;https://gld.legislaturacba.gob.ar/Publics/Actas.aspx?id=DhhOQNr1ljM=;https://gld.legislaturacba.gob.ar/Publics/Actas.aspx?id=HsyMNzMnh7M=" TargetMode="External"/><Relationship Id="rId48" Type="http://schemas.openxmlformats.org/officeDocument/2006/relationships/hyperlink" Target="https://www.youtube.com/watch?v=84hysprcySM" TargetMode="External"/><Relationship Id="rId113" Type="http://schemas.openxmlformats.org/officeDocument/2006/relationships/hyperlink" Targe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0" Type="http://schemas.openxmlformats.org/officeDocument/2006/relationships/hyperlink" Target="https://www.youtube.com/watch?v=5WtiaYhhxXo" TargetMode="External"/><Relationship Id="rId558" Type="http://schemas.openxmlformats.org/officeDocument/2006/relationships/hyperlink" Target="https://www.youtube.com/watch?v=WBA9I6x_gBU" TargetMode="External"/><Relationship Id="rId765" Type="http://schemas.openxmlformats.org/officeDocument/2006/relationships/hyperlink" Target="https://www.youtube.com/watch?v=xu9OfcFAaKA" TargetMode="External"/><Relationship Id="rId972" Type="http://schemas.openxmlformats.org/officeDocument/2006/relationships/hyperlink" Target="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8" Type="http://schemas.openxmlformats.org/officeDocument/2006/relationships/hyperlink" Target="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97" Type="http://schemas.openxmlformats.org/officeDocument/2006/relationships/hyperlink" Targe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8" Type="http://schemas.openxmlformats.org/officeDocument/2006/relationships/hyperlink" Target="https://www.youtube.com/watch?v=aySeCFRHCZQ" TargetMode="External"/><Relationship Id="rId625" Type="http://schemas.openxmlformats.org/officeDocument/2006/relationships/hyperlink" Target="https://www.youtube.com/watch?v=Mk5i4ZvBMeY" TargetMode="External"/><Relationship Id="rId832" Type="http://schemas.openxmlformats.org/officeDocument/2006/relationships/hyperlink" Targe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048" Type="http://schemas.openxmlformats.org/officeDocument/2006/relationships/hyperlink" Target="https://gld.legislaturacba.gob.ar/Publics/Actas.aspx?id=dktoq6sh_3A=" TargetMode="External"/><Relationship Id="rId1255" Type="http://schemas.openxmlformats.org/officeDocument/2006/relationships/hyperlink" Target="https://gld.legislaturacba.gob.ar/Publics/Actas.aspx?id=xxosVBwE1no=" TargetMode="External"/><Relationship Id="rId264" Type="http://schemas.openxmlformats.org/officeDocument/2006/relationships/hyperlink" Target="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71" Type="http://schemas.openxmlformats.org/officeDocument/2006/relationships/hyperlink" Targe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5" Type="http://schemas.openxmlformats.org/officeDocument/2006/relationships/hyperlink" Target="https://gld.legislaturacba.gob.ar/Publics/Actas.aspx?id=Mk08PToRx0g=;https://gld.legislaturacba.gob.ar/Publics/Actas.aspx?id=lrBbScnVL1E=;https://gld.legislaturacba.gob.ar/Publics/Actas.aspx?id=Mk08PToRx0g=" TargetMode="External"/><Relationship Id="rId1322" Type="http://schemas.openxmlformats.org/officeDocument/2006/relationships/hyperlink" Target="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9" Type="http://schemas.openxmlformats.org/officeDocument/2006/relationships/hyperlink" Targe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4" Type="http://schemas.openxmlformats.org/officeDocument/2006/relationships/hyperlink" Target="https://www.youtube.com/watch?v=R29x-R8GsbY" TargetMode="External"/><Relationship Id="rId569" Type="http://schemas.openxmlformats.org/officeDocument/2006/relationships/hyperlink" Targe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6" Type="http://schemas.openxmlformats.org/officeDocument/2006/relationships/hyperlink" Targe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83" Type="http://schemas.openxmlformats.org/officeDocument/2006/relationships/hyperlink" Targe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99" Type="http://schemas.openxmlformats.org/officeDocument/2006/relationships/hyperlink" Target="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31" Type="http://schemas.openxmlformats.org/officeDocument/2006/relationships/hyperlink" Target="https://www.youtube.com/watch?v=8wlfcq65MiU" TargetMode="External"/><Relationship Id="rId429" Type="http://schemas.openxmlformats.org/officeDocument/2006/relationships/hyperlink" Targe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6" Type="http://schemas.openxmlformats.org/officeDocument/2006/relationships/hyperlink" Target="https://www.youtube.com/watch?v=wY-HU0qPjdQ" TargetMode="External"/><Relationship Id="rId1059" Type="http://schemas.openxmlformats.org/officeDocument/2006/relationships/hyperlink" Target="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66" Type="http://schemas.openxmlformats.org/officeDocument/2006/relationships/hyperlink" Target="https://www.youtube.com/watch?v=WDa5YwNGN4E" TargetMode="External"/><Relationship Id="rId843" Type="http://schemas.openxmlformats.org/officeDocument/2006/relationships/hyperlink" Targe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26" Type="http://schemas.openxmlformats.org/officeDocument/2006/relationships/hyperlink" Target="https://gld.legislaturacba.gob.ar/Publics/Actas.aspx?id=U5gSrD5YMhA=" TargetMode="External"/><Relationship Id="rId275" Type="http://schemas.openxmlformats.org/officeDocument/2006/relationships/hyperlink" Targe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2" Type="http://schemas.openxmlformats.org/officeDocument/2006/relationships/hyperlink" Targe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03" Type="http://schemas.openxmlformats.org/officeDocument/2006/relationships/hyperlink" Targe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0" Type="http://schemas.openxmlformats.org/officeDocument/2006/relationships/hyperlink" Target="https://gld.legislaturacba.gob.ar/Publics/Actas.aspx?id=1XpzP1nrTkc=;https://gld.legislaturacba.gob.ar/Publics/Actas.aspx?id=nfVzHLUO02I=" TargetMode="External"/><Relationship Id="rId1333" Type="http://schemas.openxmlformats.org/officeDocument/2006/relationships/hyperlink" Target="https://gld.legislaturacba.gob.ar/Publics/Actas.aspx?id=XaBPEz762kg=;https://gld.legislaturacba.gob.ar/Publics/Actas.aspx?id=86Dwn3jxFag=" TargetMode="External"/><Relationship Id="rId135" Type="http://schemas.openxmlformats.org/officeDocument/2006/relationships/hyperlink" Targe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2" Type="http://schemas.openxmlformats.org/officeDocument/2006/relationships/hyperlink" Targe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7" Type="http://schemas.openxmlformats.org/officeDocument/2006/relationships/hyperlink" Target="https://www.youtube.com/watch?v=sMFnvY2aojU" TargetMode="External"/><Relationship Id="rId994" Type="http://schemas.openxmlformats.org/officeDocument/2006/relationships/hyperlink" Target="https://www.youtube.com/watch?v=PeuApIFXz6Y" TargetMode="External"/><Relationship Id="rId202" Type="http://schemas.openxmlformats.org/officeDocument/2006/relationships/hyperlink" Targe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47" Type="http://schemas.openxmlformats.org/officeDocument/2006/relationships/hyperlink" Targe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4" Type="http://schemas.openxmlformats.org/officeDocument/2006/relationships/hyperlink" Targe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77" Type="http://schemas.openxmlformats.org/officeDocument/2006/relationships/hyperlink" Target="https://www.youtube.com/watch?v=GxBEFobw4ZA" TargetMode="External"/><Relationship Id="rId286" Type="http://schemas.openxmlformats.org/officeDocument/2006/relationships/hyperlink" Target="https://www.youtube.com/watch?v=Ge0l9NFj9qg" TargetMode="External"/><Relationship Id="rId493" Type="http://schemas.openxmlformats.org/officeDocument/2006/relationships/hyperlink" Target="https://www.youtube.com/watch?v=8hyanCgu1A0" TargetMode="External"/><Relationship Id="rId507" Type="http://schemas.openxmlformats.org/officeDocument/2006/relationships/hyperlink" Targe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4" Type="http://schemas.openxmlformats.org/officeDocument/2006/relationships/hyperlink" Targe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1" Type="http://schemas.openxmlformats.org/officeDocument/2006/relationships/hyperlink" Target="https://www.youtube.com/watch?v=BIygIMv7k3k" TargetMode="External"/><Relationship Id="rId1137" Type="http://schemas.openxmlformats.org/officeDocument/2006/relationships/hyperlink" Target="https://www.youtube.com/watch?v=O4sN6vpiaaA" TargetMode="External"/><Relationship Id="rId1344" Type="http://schemas.openxmlformats.org/officeDocument/2006/relationships/hyperlink" Target="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0" Type="http://schemas.openxmlformats.org/officeDocument/2006/relationships/hyperlink" Targe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6" Type="http://schemas.openxmlformats.org/officeDocument/2006/relationships/hyperlink" Targe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3" Type="http://schemas.openxmlformats.org/officeDocument/2006/relationships/hyperlink" Targe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0" Type="http://schemas.openxmlformats.org/officeDocument/2006/relationships/hyperlink" Target="https://www.youtube.com/watch?v=K36CMgqIzFM" TargetMode="External"/><Relationship Id="rId798" Type="http://schemas.openxmlformats.org/officeDocument/2006/relationships/hyperlink" Targe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0" Type="http://schemas.openxmlformats.org/officeDocument/2006/relationships/hyperlink" Target="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04" Type="http://schemas.openxmlformats.org/officeDocument/2006/relationships/hyperlink" Target="https://gld.legislaturacba.gob.ar/Publics/Actas.aspx?id=dZ7dhF731Fc=" TargetMode="External"/><Relationship Id="rId213" Type="http://schemas.openxmlformats.org/officeDocument/2006/relationships/hyperlink" Targe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0" Type="http://schemas.openxmlformats.org/officeDocument/2006/relationships/hyperlink" Target="https://www.youtube.com/watch?v=6aY3LHC_5yQ" TargetMode="External"/><Relationship Id="rId658" Type="http://schemas.openxmlformats.org/officeDocument/2006/relationships/hyperlink" Target="https://www.youtube.com/watch?v=1gKllbjM6pI" TargetMode="External"/><Relationship Id="rId865" Type="http://schemas.openxmlformats.org/officeDocument/2006/relationships/hyperlink" Target="https://www.youtube.com/watch?v=Lq41TFeOyKM" TargetMode="External"/><Relationship Id="rId1050" Type="http://schemas.openxmlformats.org/officeDocument/2006/relationships/hyperlink" Target="https://www.youtube.com/watch?v=I_DnH6ZjUkQ" TargetMode="External"/><Relationship Id="rId1288" Type="http://schemas.openxmlformats.org/officeDocument/2006/relationships/hyperlink" Target="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97" Type="http://schemas.openxmlformats.org/officeDocument/2006/relationships/hyperlink" Target="https://www.youtube.com/watch?v=J298QWPeYnw" TargetMode="External"/><Relationship Id="rId518" Type="http://schemas.openxmlformats.org/officeDocument/2006/relationships/hyperlink" Target="https://gld.legislaturacba.gob.ar/Publics/Actas.aspx?id=JmMC8RWgeaE=;https://gld.legislaturacba.gob.ar/Publics/Actas.aspx?id=4CE3EZ8Ua_A=;https://gld.legislaturacba.gob.ar/Publics/Actas.aspx?id=5PS398s0pFA=" TargetMode="External"/><Relationship Id="rId725" Type="http://schemas.openxmlformats.org/officeDocument/2006/relationships/hyperlink" Target="https://www.youtube.com/watch?v=8IsZsIKrGig" TargetMode="External"/><Relationship Id="rId932" Type="http://schemas.openxmlformats.org/officeDocument/2006/relationships/hyperlink" Target="https://www.youtube.com/watch?v=3w6OjkrK_iI" TargetMode="External"/><Relationship Id="rId1148" Type="http://schemas.openxmlformats.org/officeDocument/2006/relationships/hyperlink" Target="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55" Type="http://schemas.openxmlformats.org/officeDocument/2006/relationships/hyperlink" Target="https://www.youtube.com/watch?v=LmLzZ6mSmYA" TargetMode="External"/><Relationship Id="rId157" Type="http://schemas.openxmlformats.org/officeDocument/2006/relationships/hyperlink" Targe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4" Type="http://schemas.openxmlformats.org/officeDocument/2006/relationships/hyperlink" Target="https://www.youtube.com/watch?v=h74bcy7XpnY" TargetMode="External"/><Relationship Id="rId1008" Type="http://schemas.openxmlformats.org/officeDocument/2006/relationships/hyperlink" Target="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215" Type="http://schemas.openxmlformats.org/officeDocument/2006/relationships/hyperlink" Target="https://gld.legislaturacba.gob.ar/Publics/Actas.aspx?id=-ZiT8_-kK1k=" TargetMode="External"/><Relationship Id="rId61" Type="http://schemas.openxmlformats.org/officeDocument/2006/relationships/hyperlink" Target="https://gld.legislaturacba.gob.ar/Publics/Actas.aspx?id=gvWgld1E_58=;https://gld.legislaturacba.gob.ar/Publics/Actas.aspx?id=0ZRIEIuurWE=;https://gld.legislaturacba.gob.ar/Publics/Actas.aspx?id=IXdwozlhmSI=" TargetMode="External"/><Relationship Id="rId571" Type="http://schemas.openxmlformats.org/officeDocument/2006/relationships/hyperlink" Target="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69" Type="http://schemas.openxmlformats.org/officeDocument/2006/relationships/hyperlink" Target="https://www.youtube.com/watch?v=2gnKDh0EiuU" TargetMode="External"/><Relationship Id="rId876" Type="http://schemas.openxmlformats.org/officeDocument/2006/relationships/hyperlink" Targe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TargetMode="External"/><Relationship Id="rId1299" Type="http://schemas.openxmlformats.org/officeDocument/2006/relationships/hyperlink" Target="https://www.youtube.com/watch?v=pRmlcIL_haE" TargetMode="External"/><Relationship Id="rId19" Type="http://schemas.openxmlformats.org/officeDocument/2006/relationships/hyperlink" Target="https://www.youtube.com/watch?v=AWkJOiQ1eXY" TargetMode="External"/><Relationship Id="rId224" Type="http://schemas.openxmlformats.org/officeDocument/2006/relationships/hyperlink" Targe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1" Type="http://schemas.openxmlformats.org/officeDocument/2006/relationships/hyperlink" Target="https://gld.legislaturacba.gob.ar/Publics/Actas.aspx?id=O1Z_yZyEycQ=;https://gld.legislaturacba.gob.ar/Publics/Actas.aspx?id=mVrYOzWhiR4=" TargetMode="External"/><Relationship Id="rId529" Type="http://schemas.openxmlformats.org/officeDocument/2006/relationships/hyperlink" Targe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6" Type="http://schemas.openxmlformats.org/officeDocument/2006/relationships/hyperlink" Target="https://www.youtube.com/watch?v=7mapFhMxIDQ" TargetMode="External"/><Relationship Id="rId1061" Type="http://schemas.openxmlformats.org/officeDocument/2006/relationships/hyperlink" Target="https://gld.legislaturacba.gob.ar/Publics/Actas.aspx?id=BYe-zBLD-cE=" TargetMode="External"/><Relationship Id="rId1159" Type="http://schemas.openxmlformats.org/officeDocument/2006/relationships/hyperlink" Target="https://www.youtube.com/watch?v=uTiJjnZZE_g" TargetMode="External"/><Relationship Id="rId1366" Type="http://schemas.openxmlformats.org/officeDocument/2006/relationships/hyperlink" Target="https://www.youtube.com/watch?v=My8XfhDvm-8" TargetMode="External"/><Relationship Id="rId168" Type="http://schemas.openxmlformats.org/officeDocument/2006/relationships/hyperlink" Target="https://www.youtube.com/watch?v=qehJBhhCaIM" TargetMode="External"/><Relationship Id="rId943" Type="http://schemas.openxmlformats.org/officeDocument/2006/relationships/hyperlink" Target="https://www.youtube.com/watch?v=6n-FCU7M0Rk" TargetMode="External"/><Relationship Id="rId1019" Type="http://schemas.openxmlformats.org/officeDocument/2006/relationships/hyperlink" Target="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2" Type="http://schemas.openxmlformats.org/officeDocument/2006/relationships/hyperlink" Target="https://www.youtube.com/watch?v=4mMZS65PqEU" TargetMode="External"/><Relationship Id="rId375" Type="http://schemas.openxmlformats.org/officeDocument/2006/relationships/hyperlink" Target="https://www.youtube.com/watch?v=k0zVfDPHs2w" TargetMode="External"/><Relationship Id="rId582" Type="http://schemas.openxmlformats.org/officeDocument/2006/relationships/hyperlink" Targe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03" Type="http://schemas.openxmlformats.org/officeDocument/2006/relationships/hyperlink" Target="https://www.youtube.com/watch?v=z6mVhcgywBY" TargetMode="External"/><Relationship Id="rId1226" Type="http://schemas.openxmlformats.org/officeDocument/2006/relationships/hyperlink" Target="https://www.youtube.com/watch?v=tMptCfzJO3w" TargetMode="External"/><Relationship Id="rId3" Type="http://schemas.openxmlformats.org/officeDocument/2006/relationships/hyperlink" Target="https://www.youtube.com/watch?v=vUB_INPxhE4" TargetMode="External"/><Relationship Id="rId235" Type="http://schemas.openxmlformats.org/officeDocument/2006/relationships/hyperlink" Target="https://www.youtube.com/watch?v=zDFr3tThd78" TargetMode="External"/><Relationship Id="rId442" Type="http://schemas.openxmlformats.org/officeDocument/2006/relationships/hyperlink" Targe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7" Type="http://schemas.openxmlformats.org/officeDocument/2006/relationships/hyperlink" Targe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TargetMode="External"/><Relationship Id="rId1072" Type="http://schemas.openxmlformats.org/officeDocument/2006/relationships/hyperlink" Target="https://www.youtube.com/watch?v=0FThba7H7Sk" TargetMode="External"/><Relationship Id="rId302" Type="http://schemas.openxmlformats.org/officeDocument/2006/relationships/hyperlink" Targe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7" Type="http://schemas.openxmlformats.org/officeDocument/2006/relationships/hyperlink" Targe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4" Type="http://schemas.openxmlformats.org/officeDocument/2006/relationships/hyperlink" Target="https://www.youtube.com/watch?v=qiogU2i2LgI" TargetMode="External"/><Relationship Id="rId1377" Type="http://schemas.openxmlformats.org/officeDocument/2006/relationships/hyperlink" Target="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3" Type="http://schemas.openxmlformats.org/officeDocument/2006/relationships/hyperlink" Target="https://www.youtube.com/watch?v=RO4SqDiLWFk" TargetMode="External"/><Relationship Id="rId179" Type="http://schemas.openxmlformats.org/officeDocument/2006/relationships/hyperlink" Target="https://www.youtube.com/watch?v=ACHEZpNSiC8" TargetMode="External"/><Relationship Id="rId386" Type="http://schemas.openxmlformats.org/officeDocument/2006/relationships/hyperlink" Targe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3" Type="http://schemas.openxmlformats.org/officeDocument/2006/relationships/hyperlink" Target="https://www.youtube.com/watch?v=IiEfYnc9ohw" TargetMode="External"/><Relationship Id="rId607" Type="http://schemas.openxmlformats.org/officeDocument/2006/relationships/hyperlink" Targe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4" Type="http://schemas.openxmlformats.org/officeDocument/2006/relationships/hyperlink" Targe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37" Type="http://schemas.openxmlformats.org/officeDocument/2006/relationships/hyperlink" Target="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46" Type="http://schemas.openxmlformats.org/officeDocument/2006/relationships/hyperlink" Targe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3" Type="http://schemas.openxmlformats.org/officeDocument/2006/relationships/hyperlink" Target="https://www.youtube.com/watch?v=Kb5iG6fo_dM" TargetMode="External"/><Relationship Id="rId660" Type="http://schemas.openxmlformats.org/officeDocument/2006/relationships/hyperlink" Targe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8" Type="http://schemas.openxmlformats.org/officeDocument/2006/relationships/hyperlink" Target="https://gld.legislaturacba.gob.ar/Publics/Actas.aspx?id=4BbWdexOxig=" TargetMode="External"/><Relationship Id="rId1083" Type="http://schemas.openxmlformats.org/officeDocument/2006/relationships/hyperlink" Target="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90" Type="http://schemas.openxmlformats.org/officeDocument/2006/relationships/hyperlink" Target="https://gld.legislaturacba.gob.ar/Publics/Actas.aspx?id=2LRGDNbzyew=" TargetMode="External"/><Relationship Id="rId1304" Type="http://schemas.openxmlformats.org/officeDocument/2006/relationships/hyperlink" Target="https://gld.legislaturacba.gob.ar/Publics/Actas.aspx?id=JogCi8832KI=;https://gld.legislaturacba.gob.ar/Publics/Actas.aspx?id=GR2UAU6hhcM=;https://gld.legislaturacba.gob.ar/Publics/Actas.aspx?id=RHHlKix1G3Q=" TargetMode="External"/><Relationship Id="rId106" Type="http://schemas.openxmlformats.org/officeDocument/2006/relationships/hyperlink" Target="https://www.youtube.com/watch?v=2H5lDERAsVw" TargetMode="External"/><Relationship Id="rId313" Type="http://schemas.openxmlformats.org/officeDocument/2006/relationships/hyperlink" Targe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8" Type="http://schemas.openxmlformats.org/officeDocument/2006/relationships/hyperlink" Targe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5" Type="http://schemas.openxmlformats.org/officeDocument/2006/relationships/hyperlink" Target="https://gld.legislaturacba.gob.ar/Publics/Actas.aspx?id=pVwhKDlCzQ8=;https://gld.legislaturacba.gob.ar/Publics/Actas.aspx?id=nSdSm_HZW1M=" TargetMode="External"/><Relationship Id="rId1150" Type="http://schemas.openxmlformats.org/officeDocument/2006/relationships/hyperlink" Target="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0" Type="http://schemas.openxmlformats.org/officeDocument/2006/relationships/hyperlink" Targe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 Type="http://schemas.openxmlformats.org/officeDocument/2006/relationships/hyperlink" Target="https://www.youtube.com/watch?v=l3hml7StaKU" TargetMode="External"/><Relationship Id="rId397" Type="http://schemas.openxmlformats.org/officeDocument/2006/relationships/hyperlink" Targe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20" Type="http://schemas.openxmlformats.org/officeDocument/2006/relationships/hyperlink" Target="https://www.youtube.com/watch?v=8hmDJuMvLhI" TargetMode="External"/><Relationship Id="rId618" Type="http://schemas.openxmlformats.org/officeDocument/2006/relationships/hyperlink" Targe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5" Type="http://schemas.openxmlformats.org/officeDocument/2006/relationships/hyperlink" Target="https://www.youtube.com/watch?v=RIlCrqnWAuU" TargetMode="External"/><Relationship Id="rId1248" Type="http://schemas.openxmlformats.org/officeDocument/2006/relationships/hyperlink" Target="https://www.youtube.com/watch?v=uBmUm4iU7K0" TargetMode="External"/><Relationship Id="rId257" Type="http://schemas.openxmlformats.org/officeDocument/2006/relationships/hyperlink" Target="https://www.youtube.com/watch?v=jIoQ5lJ13D4" TargetMode="External"/><Relationship Id="rId464" Type="http://schemas.openxmlformats.org/officeDocument/2006/relationships/hyperlink" Target="https://www.youtube.com/watch?v=Rhtdb8mU5ls" TargetMode="External"/><Relationship Id="rId1010" Type="http://schemas.openxmlformats.org/officeDocument/2006/relationships/hyperlink" Target="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94" Type="http://schemas.openxmlformats.org/officeDocument/2006/relationships/hyperlink" Target="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08" Type="http://schemas.openxmlformats.org/officeDocument/2006/relationships/hyperlink" Target="https://www.youtube.com/watch?v=YALrkPtCwqw" TargetMode="External"/><Relationship Id="rId1315" Type="http://schemas.openxmlformats.org/officeDocument/2006/relationships/hyperlink" Target="https://gld.legislaturacba.gob.ar/Publics/Actas.aspx?id=6mBtBdMW8F0=;NA" TargetMode="External"/><Relationship Id="rId117" Type="http://schemas.openxmlformats.org/officeDocument/2006/relationships/hyperlink" Target="https://www.youtube.com/watch?v=vWt3AhB8_4E" TargetMode="External"/><Relationship Id="rId671" Type="http://schemas.openxmlformats.org/officeDocument/2006/relationships/hyperlink" Target="https://www.youtube.com/watch?v=sfv6khuJACM" TargetMode="External"/><Relationship Id="rId769" Type="http://schemas.openxmlformats.org/officeDocument/2006/relationships/hyperlink" Target="https://www.youtube.com/watch?v=PMnuw3vgI48" TargetMode="External"/><Relationship Id="rId976" Type="http://schemas.openxmlformats.org/officeDocument/2006/relationships/hyperlink" Targe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24" Type="http://schemas.openxmlformats.org/officeDocument/2006/relationships/hyperlink" Targe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1" Type="http://schemas.openxmlformats.org/officeDocument/2006/relationships/hyperlink" Targe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TargetMode="External"/><Relationship Id="rId629" Type="http://schemas.openxmlformats.org/officeDocument/2006/relationships/hyperlink" Target="https://www.youtube.com/watch?v=Mr6bvaOjNDs" TargetMode="External"/><Relationship Id="rId1161" Type="http://schemas.openxmlformats.org/officeDocument/2006/relationships/hyperlink" Target="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259" Type="http://schemas.openxmlformats.org/officeDocument/2006/relationships/hyperlink" Target="https://www.youtube.com/watch?v=Yz9EmnkqJ9o" TargetMode="External"/><Relationship Id="rId836" Type="http://schemas.openxmlformats.org/officeDocument/2006/relationships/hyperlink" Targe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21" Type="http://schemas.openxmlformats.org/officeDocument/2006/relationships/hyperlink" Target="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19" Type="http://schemas.openxmlformats.org/officeDocument/2006/relationships/hyperlink" Target="https://www.youtube.com/watch?v=2gLsouC5en8" TargetMode="External"/><Relationship Id="rId903" Type="http://schemas.openxmlformats.org/officeDocument/2006/relationships/hyperlink" Targe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26" Type="http://schemas.openxmlformats.org/officeDocument/2006/relationships/hyperlink" Target="https://www.youtube.com/watch?v=uYDcJ3nX-Lw" TargetMode="External"/><Relationship Id="rId32" Type="http://schemas.openxmlformats.org/officeDocument/2006/relationships/hyperlink" Target="https://www.youtube.com/watch?v=aL7VO4R-0B0&amp;t=782s" TargetMode="External"/><Relationship Id="rId181" Type="http://schemas.openxmlformats.org/officeDocument/2006/relationships/hyperlink" Target="https://www.youtube.com/watch?v=bfCu1Bs-Y6k" TargetMode="External"/><Relationship Id="rId279" Type="http://schemas.openxmlformats.org/officeDocument/2006/relationships/hyperlink" Target="https://gld.legislaturacba.gob.ar/Publics/Actas.aspx?id=Vl3PpKPH4d4=;https://gld.legislaturacba.gob.ar/Publics/Actas.aspx?id=0yKJCMCTo7c=;https://gld.legislaturacba.gob.ar/Publics/Actas.aspx?id=n8P0BCfliUc=" TargetMode="External"/><Relationship Id="rId486" Type="http://schemas.openxmlformats.org/officeDocument/2006/relationships/hyperlink" Targe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3" Type="http://schemas.openxmlformats.org/officeDocument/2006/relationships/hyperlink" Targe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9" Type="http://schemas.openxmlformats.org/officeDocument/2006/relationships/hyperlink" Target="https://www.youtube.com/watch?v=MADXHdHhY2Q" TargetMode="External"/><Relationship Id="rId346" Type="http://schemas.openxmlformats.org/officeDocument/2006/relationships/hyperlink" Targe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3" Type="http://schemas.openxmlformats.org/officeDocument/2006/relationships/hyperlink" Targe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60" Type="http://schemas.openxmlformats.org/officeDocument/2006/relationships/hyperlink" Targe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98" Type="http://schemas.openxmlformats.org/officeDocument/2006/relationships/hyperlink" Target="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3" Type="http://schemas.openxmlformats.org/officeDocument/2006/relationships/hyperlink" Target="https://gld.legislaturacba.gob.ar/Publics/Actas.aspx?id=5d_Q6uo9uww=" TargetMode="External"/><Relationship Id="rId206" Type="http://schemas.openxmlformats.org/officeDocument/2006/relationships/hyperlink" Targe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3" Type="http://schemas.openxmlformats.org/officeDocument/2006/relationships/hyperlink" Target="https://www.youtube.com/watch?v=XcMWuIIJoSY" TargetMode="External"/><Relationship Id="rId858" Type="http://schemas.openxmlformats.org/officeDocument/2006/relationships/hyperlink" Targe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3" Type="http://schemas.openxmlformats.org/officeDocument/2006/relationships/hyperlink" Target="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0" Type="http://schemas.openxmlformats.org/officeDocument/2006/relationships/hyperlink" Targe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8" Type="http://schemas.openxmlformats.org/officeDocument/2006/relationships/hyperlink" Targe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25" Type="http://schemas.openxmlformats.org/officeDocument/2006/relationships/hyperlink" Target="https://www.youtube.com/watch?v=R1fmpmqei1o" TargetMode="External"/><Relationship Id="rId1250" Type="http://schemas.openxmlformats.org/officeDocument/2006/relationships/hyperlink" Target="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48" Type="http://schemas.openxmlformats.org/officeDocument/2006/relationships/hyperlink" Target="https://www.youtube.com/watch?v=7GRY1HLT-ic" TargetMode="External"/><Relationship Id="rId1110" Type="http://schemas.openxmlformats.org/officeDocument/2006/relationships/hyperlink" Target="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08" Type="http://schemas.openxmlformats.org/officeDocument/2006/relationships/hyperlink" Target="https://www.youtube.com/watch?v=22izjlbs6Dc" TargetMode="External"/><Relationship Id="rId54" Type="http://schemas.openxmlformats.org/officeDocument/2006/relationships/hyperlink" Targe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0" Type="http://schemas.openxmlformats.org/officeDocument/2006/relationships/hyperlink" Targe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0" Type="http://schemas.openxmlformats.org/officeDocument/2006/relationships/hyperlink" Target="https://www.youtube.com/watch?v=5_2ZUaK5ubU" TargetMode="External"/><Relationship Id="rId368" Type="http://schemas.openxmlformats.org/officeDocument/2006/relationships/hyperlink" Targe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5" Type="http://schemas.openxmlformats.org/officeDocument/2006/relationships/hyperlink" Target="https://www.youtube.com/watch?v=2wkGrycC-Gg" TargetMode="External"/><Relationship Id="rId782" Type="http://schemas.openxmlformats.org/officeDocument/2006/relationships/hyperlink" Targe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8" Type="http://schemas.openxmlformats.org/officeDocument/2006/relationships/hyperlink" Targe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5" Type="http://schemas.openxmlformats.org/officeDocument/2006/relationships/hyperlink" Target="https://www.youtube.com/watch?v=y_wSIIFkfao" TargetMode="External"/><Relationship Id="rId642" Type="http://schemas.openxmlformats.org/officeDocument/2006/relationships/hyperlink" Target="https://www.youtube.com/watch?v=5H8xfj7fwgA" TargetMode="External"/><Relationship Id="rId1065" Type="http://schemas.openxmlformats.org/officeDocument/2006/relationships/hyperlink" Target="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72" Type="http://schemas.openxmlformats.org/officeDocument/2006/relationships/hyperlink" Target="https://gld.legislaturacba.gob.ar/Publics/Actas.aspx?id=QN7SSRE6Xt8=" TargetMode="External"/><Relationship Id="rId502" Type="http://schemas.openxmlformats.org/officeDocument/2006/relationships/hyperlink" Target="https://gld.legislaturacba.gob.ar/Publics/Actas.aspx?id=BoEG8CMRxK8=" TargetMode="External"/><Relationship Id="rId947" Type="http://schemas.openxmlformats.org/officeDocument/2006/relationships/hyperlink" Target="https://www.youtube.com/watch?v=icnPbW1bkRA" TargetMode="External"/><Relationship Id="rId1132" Type="http://schemas.openxmlformats.org/officeDocument/2006/relationships/hyperlink" Target="https://gld.legislaturacba.gob.ar/Publics/Actas.aspx?id=ozPghPo4spM=;https://gld.legislaturacba.gob.ar/Publics/Actas.aspx?id=F0U7XNDlbbw=" TargetMode="External"/><Relationship Id="rId76" Type="http://schemas.openxmlformats.org/officeDocument/2006/relationships/hyperlink" Targe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7" Type="http://schemas.openxmlformats.org/officeDocument/2006/relationships/hyperlink" Target="https://www.youtube.com/watch?v=zZ8T21y6vOY" TargetMode="External"/><Relationship Id="rId292" Type="http://schemas.openxmlformats.org/officeDocument/2006/relationships/hyperlink" Targe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7" Type="http://schemas.openxmlformats.org/officeDocument/2006/relationships/hyperlink" Target="https://www.youtube.com/watch?v=wAKPFq_8rcw" TargetMode="External"/><Relationship Id="rId152" Type="http://schemas.openxmlformats.org/officeDocument/2006/relationships/hyperlink" Targe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7" Type="http://schemas.openxmlformats.org/officeDocument/2006/relationships/hyperlink" Target="https://www.youtube.com/watch?v=ZdP8dg475xk" TargetMode="External"/><Relationship Id="rId1087" Type="http://schemas.openxmlformats.org/officeDocument/2006/relationships/hyperlink" Target="https://www.youtube.com/watch?v=ej7xQoOqer4" TargetMode="External"/><Relationship Id="rId1294" Type="http://schemas.openxmlformats.org/officeDocument/2006/relationships/hyperlink" Target="https://www.youtube.com/watch?v=jsae9ad_cY8" TargetMode="External"/><Relationship Id="rId664" Type="http://schemas.openxmlformats.org/officeDocument/2006/relationships/hyperlink" Targe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1" Type="http://schemas.openxmlformats.org/officeDocument/2006/relationships/hyperlink" Target="https://gld.legislaturacba.gob.ar/Publics/Actas.aspx?id=NXaamBLscxw=;https://gld.legislaturacba.gob.ar/Publics/Actas.aspx?id=hX7-TB4pOJU=" TargetMode="External"/><Relationship Id="rId969" Type="http://schemas.openxmlformats.org/officeDocument/2006/relationships/hyperlink" Target="https://www.youtube.com/watch?v=Y32O3zV28Rc" TargetMode="External"/><Relationship Id="rId317" Type="http://schemas.openxmlformats.org/officeDocument/2006/relationships/hyperlink" Targe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24" Type="http://schemas.openxmlformats.org/officeDocument/2006/relationships/hyperlink" Target="https://www.youtube.com/watch?v=P6KXhreJH_g" TargetMode="External"/><Relationship Id="rId731" Type="http://schemas.openxmlformats.org/officeDocument/2006/relationships/hyperlink" Targe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54" Type="http://schemas.openxmlformats.org/officeDocument/2006/relationships/hyperlink" Target="https://www.youtube.com/watch?v=s-lFYTMCcwY" TargetMode="External"/><Relationship Id="rId1361" Type="http://schemas.openxmlformats.org/officeDocument/2006/relationships/hyperlink" Target="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98" Type="http://schemas.openxmlformats.org/officeDocument/2006/relationships/hyperlink" Target="https://www.youtube.com/watch?v=XiuWk0lAs_E&amp;t=4460s" TargetMode="External"/><Relationship Id="rId829" Type="http://schemas.openxmlformats.org/officeDocument/2006/relationships/hyperlink" Target="https://gld.legislaturacba.gob.ar/Publics/Actas.aspx?id=BNnqYyqpa68=;https://gld.legislaturacba.gob.ar/Publics/Actas.aspx?id=8zlvkhnbYr8=" TargetMode="External"/><Relationship Id="rId1014" Type="http://schemas.openxmlformats.org/officeDocument/2006/relationships/hyperlink" Target="https://www.youtube.com/watch?v=GcydzqM2hA8" TargetMode="External"/><Relationship Id="rId1221" Type="http://schemas.openxmlformats.org/officeDocument/2006/relationships/hyperlink" Target="https://gld.legislaturacba.gob.ar/Publics/Actas.aspx?id=8ragWnSsIEM=" TargetMode="External"/><Relationship Id="rId1319" Type="http://schemas.openxmlformats.org/officeDocument/2006/relationships/hyperlink" Target="https://www.youtube.com/watch?v=-ZPNsYFFtjc" TargetMode="External"/><Relationship Id="rId25" Type="http://schemas.openxmlformats.org/officeDocument/2006/relationships/hyperlink" Target="https://www.youtube.com/watch?v=22MzWnk5Qwo" TargetMode="External"/><Relationship Id="rId174" Type="http://schemas.openxmlformats.org/officeDocument/2006/relationships/hyperlink" Targe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1" Type="http://schemas.openxmlformats.org/officeDocument/2006/relationships/hyperlink" Target="https://www.youtube.com/watch?v=eFcVj0dlImQ" TargetMode="External"/><Relationship Id="rId241" Type="http://schemas.openxmlformats.org/officeDocument/2006/relationships/hyperlink" Target="https://www.youtube.com/watch?v=UZN6o6zQRIU" TargetMode="External"/><Relationship Id="rId479" Type="http://schemas.openxmlformats.org/officeDocument/2006/relationships/hyperlink" Target="https://gld.legislaturacba.gob.ar/Publics/Actas.aspx?id=tO6slmj3p6M=;https://gld.legislaturacba.gob.ar/Publics/Actas.aspx?id=apkd3TpmF1o=" TargetMode="External"/><Relationship Id="rId686" Type="http://schemas.openxmlformats.org/officeDocument/2006/relationships/hyperlink" Targe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3" Type="http://schemas.openxmlformats.org/officeDocument/2006/relationships/hyperlink" Target="https://www.youtube.com/watch?v=gsJ0xDA4uNA" TargetMode="External"/><Relationship Id="rId339" Type="http://schemas.openxmlformats.org/officeDocument/2006/relationships/hyperlink" Targe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TargetMode="External"/><Relationship Id="rId546" Type="http://schemas.openxmlformats.org/officeDocument/2006/relationships/hyperlink" Target="https://www.youtube.com/watch?v=4vq6tw2gLJg" TargetMode="External"/><Relationship Id="rId753" Type="http://schemas.openxmlformats.org/officeDocument/2006/relationships/hyperlink" Target="https://www.youtube.com/watch?v=ggJ8_X2pdVw" TargetMode="External"/><Relationship Id="rId1176" Type="http://schemas.openxmlformats.org/officeDocument/2006/relationships/hyperlink" Target="https://gld.legislaturacba.gob.ar/Publics/Actas.aspx" TargetMode="External"/><Relationship Id="rId1383" Type="http://schemas.openxmlformats.org/officeDocument/2006/relationships/hyperlink" Target="https://gld.legislaturacba.gob.ar/Publics/Actas.aspx?id=Bd-6M0lAFxs=;" TargetMode="External"/><Relationship Id="rId101" Type="http://schemas.openxmlformats.org/officeDocument/2006/relationships/hyperlink" Targe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6" Type="http://schemas.openxmlformats.org/officeDocument/2006/relationships/hyperlink" Targe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0" Type="http://schemas.openxmlformats.org/officeDocument/2006/relationships/hyperlink" Target="https://gld.legislaturacba.gob.ar/Publics/Actas.aspx?id=bWA8IRCqhfU=;https://gld.legislaturacba.gob.ar/Publics/Actas.aspx?id=JxF-L9HVCOY=" TargetMode="External"/><Relationship Id="rId1036" Type="http://schemas.openxmlformats.org/officeDocument/2006/relationships/hyperlink" Target="https://gld.legislaturacba.gob.ar/Publics/Actas.aspx?id=r_oY0tkZt7A=;https://gld.legislaturacba.gob.ar/Publics/Actas.aspx?id=B6bcDLYqq0Q=" TargetMode="External"/><Relationship Id="rId1243" Type="http://schemas.openxmlformats.org/officeDocument/2006/relationships/hyperlink" Target="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613" Type="http://schemas.openxmlformats.org/officeDocument/2006/relationships/hyperlink" Target="https://www.youtube.com/watch?v=79AYMU_puV0" TargetMode="External"/><Relationship Id="rId820" Type="http://schemas.openxmlformats.org/officeDocument/2006/relationships/hyperlink" Targe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8" Type="http://schemas.openxmlformats.org/officeDocument/2006/relationships/hyperlink" Target="https://www.youtube.com/watch?v=eEq-oNhUI0I" TargetMode="External"/><Relationship Id="rId1103" Type="http://schemas.openxmlformats.org/officeDocument/2006/relationships/hyperlink" Target="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0" Type="http://schemas.openxmlformats.org/officeDocument/2006/relationships/hyperlink" Target="https://www.youtube.com/watch?v=cPfcQbDAMXQ" TargetMode="External"/><Relationship Id="rId47" Type="http://schemas.openxmlformats.org/officeDocument/2006/relationships/hyperlink" Targe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6" Type="http://schemas.openxmlformats.org/officeDocument/2006/relationships/hyperlink" Target="https://www.youtube.com/watch?v=AvcfqDLIjJ0" TargetMode="External"/><Relationship Id="rId263" Type="http://schemas.openxmlformats.org/officeDocument/2006/relationships/hyperlink" Target="https://www.youtube.com/watch?v=R9Lr-nhT9WU" TargetMode="External"/><Relationship Id="rId470" Type="http://schemas.openxmlformats.org/officeDocument/2006/relationships/hyperlink" Target="https://www.youtube.com/watch?v=cUSyrgiRoD4" TargetMode="External"/><Relationship Id="rId123" Type="http://schemas.openxmlformats.org/officeDocument/2006/relationships/hyperlink" Targe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0" Type="http://schemas.openxmlformats.org/officeDocument/2006/relationships/hyperlink" Targe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8" Type="http://schemas.openxmlformats.org/officeDocument/2006/relationships/hyperlink" Target="https://www.youtube.com/watch?v=i5wrOaQ_mYg" TargetMode="External"/><Relationship Id="rId775" Type="http://schemas.openxmlformats.org/officeDocument/2006/relationships/hyperlink" Target="https://www.youtube.com/watch?v=aAJcO6WWhdA" TargetMode="External"/><Relationship Id="rId982" Type="http://schemas.openxmlformats.org/officeDocument/2006/relationships/hyperlink" Target="https://www.youtube.com/watch?v=QSUCghIEIkU" TargetMode="External"/><Relationship Id="rId1198" Type="http://schemas.openxmlformats.org/officeDocument/2006/relationships/hyperlink" Target="https://gld.legislaturacba.gob.ar/Publics/Actas.aspx?id=53LSrSe3RL8=" TargetMode="External"/><Relationship Id="rId428" Type="http://schemas.openxmlformats.org/officeDocument/2006/relationships/hyperlink" Target="https://www.youtube.com/watch?v=BwCJo5wrvuY" TargetMode="External"/><Relationship Id="rId635" Type="http://schemas.openxmlformats.org/officeDocument/2006/relationships/hyperlink" Targe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42" Type="http://schemas.openxmlformats.org/officeDocument/2006/relationships/hyperlink" Target="https://www.youtube.com/watch?v=ormC49K7nBg" TargetMode="External"/><Relationship Id="rId1058" Type="http://schemas.openxmlformats.org/officeDocument/2006/relationships/hyperlink" Target="https://gld.legislaturacba.gob.ar/Publics/Actas.aspx?id=kvhAyvHGT28=;https://gld.legislaturacba.gob.ar/Publics/Actas.aspx?id=QAMrCSS2804=;https://gld.legislaturacba.gob.ar/Publics/Actas.aspx?id=BCBlV9g1fKE=" TargetMode="External"/><Relationship Id="rId1265" Type="http://schemas.openxmlformats.org/officeDocument/2006/relationships/hyperlink" Target="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702" Type="http://schemas.openxmlformats.org/officeDocument/2006/relationships/hyperlink" Target="https://www.youtube.com/watch?v=nmNeAY1zSUA" TargetMode="External"/><Relationship Id="rId1125" Type="http://schemas.openxmlformats.org/officeDocument/2006/relationships/hyperlink" Target="https://www.youtube.com/watch?v=Y8ewZxzBw6w" TargetMode="External"/><Relationship Id="rId1332" Type="http://schemas.openxmlformats.org/officeDocument/2006/relationships/hyperlink" Target="https://www.youtube.com/watch?v=DhMRl6lnldc" TargetMode="External"/><Relationship Id="rId69" Type="http://schemas.openxmlformats.org/officeDocument/2006/relationships/hyperlink" Targe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5" Type="http://schemas.openxmlformats.org/officeDocument/2006/relationships/hyperlink" Target="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92" Type="http://schemas.openxmlformats.org/officeDocument/2006/relationships/hyperlink" Targe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7" Type="http://schemas.openxmlformats.org/officeDocument/2006/relationships/hyperlink" Target="https://www.youtube.com/watch?v=5THPgphSsE8" TargetMode="External"/><Relationship Id="rId145" Type="http://schemas.openxmlformats.org/officeDocument/2006/relationships/hyperlink" Target="https://www.youtube.com/watch?v=5KjpBCxpYgY" TargetMode="External"/><Relationship Id="rId352" Type="http://schemas.openxmlformats.org/officeDocument/2006/relationships/hyperlink" Target="https://gld.legislaturacba.gob.ar/Publics/Actas.aspx?id=bAJp-jDC1Ds=" TargetMode="External"/><Relationship Id="rId1287" Type="http://schemas.openxmlformats.org/officeDocument/2006/relationships/hyperlink" Target="https://gld.legislaturacba.gob.ar/Publics/Actas.aspx?id=4lEUYpZoBZE=;https://gld.legislaturacba.gob.ar/Publics/Actas.aspx?id=K2V9kQcjT2k=;https://gld.legislaturacba.gob.ar/Publics/Actas.aspx?id=wP3IkK_pR4o=" TargetMode="External"/><Relationship Id="rId212" Type="http://schemas.openxmlformats.org/officeDocument/2006/relationships/hyperlink" Target="https://www.youtube.com/watch?v=yzKYesrRo6g" TargetMode="External"/><Relationship Id="rId657" Type="http://schemas.openxmlformats.org/officeDocument/2006/relationships/hyperlink" Targe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4" Type="http://schemas.openxmlformats.org/officeDocument/2006/relationships/hyperlink" Targe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17" Type="http://schemas.openxmlformats.org/officeDocument/2006/relationships/hyperlink" Target="https://www.youtube.com/watch?v=U0fNxLbYOME" TargetMode="External"/><Relationship Id="rId724" Type="http://schemas.openxmlformats.org/officeDocument/2006/relationships/hyperlink" Targe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1" Type="http://schemas.openxmlformats.org/officeDocument/2006/relationships/hyperlink" Targe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TargetMode="External"/><Relationship Id="rId1147" Type="http://schemas.openxmlformats.org/officeDocument/2006/relationships/hyperlink" Target="https://gld.legislaturacba.gob.ar/Publics/Actas.aspx?id=0MEgQYxMuA8=" TargetMode="External"/><Relationship Id="rId1354" Type="http://schemas.openxmlformats.org/officeDocument/2006/relationships/hyperlink" Target="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60" Type="http://schemas.openxmlformats.org/officeDocument/2006/relationships/hyperlink" Target="https://www.youtube.com/watch?v=nPxpGApgkYs" TargetMode="External"/><Relationship Id="rId1007" Type="http://schemas.openxmlformats.org/officeDocument/2006/relationships/hyperlink" Target="https://www.youtube.com/watch?v=9ddfgBNtvag" TargetMode="External"/><Relationship Id="rId1214" Type="http://schemas.openxmlformats.org/officeDocument/2006/relationships/hyperlink" Target="https://www.youtube.com/watch?v=E36n8h7c1CA" TargetMode="External"/><Relationship Id="rId18" Type="http://schemas.openxmlformats.org/officeDocument/2006/relationships/hyperlink" Targe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7" Type="http://schemas.openxmlformats.org/officeDocument/2006/relationships/hyperlink" Targe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4" Type="http://schemas.openxmlformats.org/officeDocument/2006/relationships/hyperlink" Targe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1" Type="http://schemas.openxmlformats.org/officeDocument/2006/relationships/hyperlink" Target="https://www.youtube.com/watch?v=U4xTMyx7Nw4" TargetMode="External"/><Relationship Id="rId234" Type="http://schemas.openxmlformats.org/officeDocument/2006/relationships/hyperlink" Targe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9" Type="http://schemas.openxmlformats.org/officeDocument/2006/relationships/hyperlink" Target="https://www.youtube.com/watch?v=gosAJzmVfGM" TargetMode="External"/><Relationship Id="rId886" Type="http://schemas.openxmlformats.org/officeDocument/2006/relationships/hyperlink" Target="https://www.youtube.com/watch?v=EBQtuP4u7Kg" TargetMode="External"/><Relationship Id="rId2" Type="http://schemas.openxmlformats.org/officeDocument/2006/relationships/hyperlink" Targe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1" Type="http://schemas.openxmlformats.org/officeDocument/2006/relationships/hyperlink" Target="https://www.youtube.com/watch?v=3UfKKrZuRtE" TargetMode="External"/><Relationship Id="rId539" Type="http://schemas.openxmlformats.org/officeDocument/2006/relationships/hyperlink" Targe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6" Type="http://schemas.openxmlformats.org/officeDocument/2006/relationships/hyperlink" Target="https://www.youtube.com/watch?v=2d6qvN8_LpU" TargetMode="External"/><Relationship Id="rId1071" Type="http://schemas.openxmlformats.org/officeDocument/2006/relationships/hyperlink" Target="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69" Type="http://schemas.openxmlformats.org/officeDocument/2006/relationships/hyperlink" Target="https://gld.legislaturacba.gob.ar/Publics/Actas.aspx?id=F6zYpE8Qy9U=" TargetMode="External"/><Relationship Id="rId1376" Type="http://schemas.openxmlformats.org/officeDocument/2006/relationships/hyperlink" Target="https://www.youtube.com/watch?v=_YtrhgTGiSU" TargetMode="External"/><Relationship Id="rId301" Type="http://schemas.openxmlformats.org/officeDocument/2006/relationships/hyperlink" Target="https://www.youtube.com/watch?v=pOX0tSIj1FA" TargetMode="External"/><Relationship Id="rId953" Type="http://schemas.openxmlformats.org/officeDocument/2006/relationships/hyperlink" Target="https://www.youtube.com/watch?v=wd88zuyLdfQ" TargetMode="External"/><Relationship Id="rId1029" Type="http://schemas.openxmlformats.org/officeDocument/2006/relationships/hyperlink" Target="https://www.youtube.com/watch?v=dsCo6pe6g7Q" TargetMode="External"/><Relationship Id="rId1236" Type="http://schemas.openxmlformats.org/officeDocument/2006/relationships/hyperlink" Target="https://gld.legislaturacba.gob.ar/Publics/Actas.aspx?id=g4Xe8DGapFs=" TargetMode="External"/><Relationship Id="rId82" Type="http://schemas.openxmlformats.org/officeDocument/2006/relationships/hyperlink" Targe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6" Type="http://schemas.openxmlformats.org/officeDocument/2006/relationships/hyperlink" Target="https://www.youtube.com/watch?v=rhRJs2NsGNY" TargetMode="External"/><Relationship Id="rId813" Type="http://schemas.openxmlformats.org/officeDocument/2006/relationships/hyperlink" Target="https://www.youtube.com/watch?v=LeYEeg9oMmE" TargetMode="External"/><Relationship Id="rId1303" Type="http://schemas.openxmlformats.org/officeDocument/2006/relationships/hyperlink" Target="https://www.youtube.com/watch?v=Dkk5syaQm7s" TargetMode="External"/><Relationship Id="rId189" Type="http://schemas.openxmlformats.org/officeDocument/2006/relationships/hyperlink" Targe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6" Type="http://schemas.openxmlformats.org/officeDocument/2006/relationships/hyperlink" Target="https://www.youtube.com/watch?v=GliYZPPXFt8" TargetMode="External"/><Relationship Id="rId256" Type="http://schemas.openxmlformats.org/officeDocument/2006/relationships/hyperlink" Targe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3" Type="http://schemas.openxmlformats.org/officeDocument/2006/relationships/hyperlink" Targe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0" Type="http://schemas.openxmlformats.org/officeDocument/2006/relationships/hyperlink" Targe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3" Type="http://schemas.openxmlformats.org/officeDocument/2006/relationships/hyperlink" Target="https://gld.legislaturacba.gob.ar/Publics/Actas.aspx?id=U1pTdO0rcdA=" TargetMode="External"/><Relationship Id="rId116" Type="http://schemas.openxmlformats.org/officeDocument/2006/relationships/hyperlink" Targe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3" Type="http://schemas.openxmlformats.org/officeDocument/2006/relationships/hyperlink" Target="https://www.youtube.com/watch?v=2gTVD_Hzr3o" TargetMode="External"/><Relationship Id="rId530" Type="http://schemas.openxmlformats.org/officeDocument/2006/relationships/hyperlink" Target="https://www.youtube.com/watch?v=oaBZUsu-7_s" TargetMode="External"/><Relationship Id="rId768" Type="http://schemas.openxmlformats.org/officeDocument/2006/relationships/hyperlink" Targe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75" Type="http://schemas.openxmlformats.org/officeDocument/2006/relationships/hyperlink" Targe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60" Type="http://schemas.openxmlformats.org/officeDocument/2006/relationships/hyperlink" Target="https://gld.legislaturacba.gob.ar/Publics/Actas.aspx?id=-x3GAk6A9fE=" TargetMode="External"/><Relationship Id="rId628" Type="http://schemas.openxmlformats.org/officeDocument/2006/relationships/hyperlink" Targe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5" Type="http://schemas.openxmlformats.org/officeDocument/2006/relationships/hyperlink" Target="https://www.youtube.com/watch?v=x-RSjRenOGQ" TargetMode="External"/><Relationship Id="rId1258" Type="http://schemas.openxmlformats.org/officeDocument/2006/relationships/hyperlink" Target="https://gld.legislaturacba.gob.ar/Publics/Actas.aspx?id=9llPjy8V0Wk=;NA" TargetMode="External"/><Relationship Id="rId1020" Type="http://schemas.openxmlformats.org/officeDocument/2006/relationships/hyperlink" Target="https://gld.legislaturacba.gob.ar/Publics/Actas.aspx?id=WkZK3DqQvfM=" TargetMode="External"/><Relationship Id="rId1118" Type="http://schemas.openxmlformats.org/officeDocument/2006/relationships/hyperlink" Target="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25" Type="http://schemas.openxmlformats.org/officeDocument/2006/relationships/hyperlink" Target="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902" Type="http://schemas.openxmlformats.org/officeDocument/2006/relationships/hyperlink" Target="https://www.youtube.com/watch?v=u9nlXUT_WIA" TargetMode="External"/><Relationship Id="rId31" Type="http://schemas.openxmlformats.org/officeDocument/2006/relationships/hyperlink" Targe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0" Type="http://schemas.openxmlformats.org/officeDocument/2006/relationships/hyperlink" Targe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8" Type="http://schemas.openxmlformats.org/officeDocument/2006/relationships/hyperlink" Target="https://www.youtube.com/watch?v=YtTFdBtueP0" TargetMode="External"/><Relationship Id="rId485" Type="http://schemas.openxmlformats.org/officeDocument/2006/relationships/hyperlink" Target="https://www.youtube.com/watch?v=yBMd4w38a_U" TargetMode="External"/><Relationship Id="rId692" Type="http://schemas.openxmlformats.org/officeDocument/2006/relationships/hyperlink" Target="https://www.youtube.com/watch?v=luU-G4jeO8Q" TargetMode="External"/><Relationship Id="rId138" Type="http://schemas.openxmlformats.org/officeDocument/2006/relationships/hyperlink" Targe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5" Type="http://schemas.openxmlformats.org/officeDocument/2006/relationships/hyperlink" Target="https://www.youtube.com/watch?v=dMJCr7zlwBc" TargetMode="External"/><Relationship Id="rId552" Type="http://schemas.openxmlformats.org/officeDocument/2006/relationships/hyperlink" Target="https://www.youtube.com/watch?v=MpshRlup8iE" TargetMode="External"/><Relationship Id="rId997" Type="http://schemas.openxmlformats.org/officeDocument/2006/relationships/hyperlink" Target="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82" Type="http://schemas.openxmlformats.org/officeDocument/2006/relationships/hyperlink" Target="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5" Type="http://schemas.openxmlformats.org/officeDocument/2006/relationships/hyperlink" Target="https://www.youtube.com/watch?v=t2NCVhlsLZ4" TargetMode="External"/><Relationship Id="rId412" Type="http://schemas.openxmlformats.org/officeDocument/2006/relationships/hyperlink" Targe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7" Type="http://schemas.openxmlformats.org/officeDocument/2006/relationships/hyperlink" Target="https://www.youtube.com/watch?v=1k406hRGYWM" TargetMode="External"/><Relationship Id="rId1042" Type="http://schemas.openxmlformats.org/officeDocument/2006/relationships/hyperlink" Target="https://gld.legislaturacba.gob.ar/Publics/Actas.aspx?id=ZqO5QdfCCxE=" TargetMode="External"/><Relationship Id="rId717" Type="http://schemas.openxmlformats.org/officeDocument/2006/relationships/hyperlink" Target="https://www.youtube.com/watch?v=BYgY-SHLeeI" TargetMode="External"/><Relationship Id="rId924" Type="http://schemas.openxmlformats.org/officeDocument/2006/relationships/hyperlink" Targe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TargetMode="External"/><Relationship Id="rId1347" Type="http://schemas.openxmlformats.org/officeDocument/2006/relationships/hyperlink" Target="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3" Type="http://schemas.openxmlformats.org/officeDocument/2006/relationships/hyperlink" Targe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7" Type="http://schemas.openxmlformats.org/officeDocument/2006/relationships/hyperlink" Target="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67" Type="http://schemas.openxmlformats.org/officeDocument/2006/relationships/hyperlink" Target="https://www.youtube.com/watch?v=IQR_yOfYsPA" TargetMode="External"/><Relationship Id="rId574" Type="http://schemas.openxmlformats.org/officeDocument/2006/relationships/hyperlink" Targe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7" Type="http://schemas.openxmlformats.org/officeDocument/2006/relationships/hyperlink" Target="https://www.youtube.com/watch?v=ptLTcEVcM84" TargetMode="External"/><Relationship Id="rId781" Type="http://schemas.openxmlformats.org/officeDocument/2006/relationships/hyperlink" Target="https://www.youtube.com/watch?v=3PfXWSj0H_0" TargetMode="External"/><Relationship Id="rId879" Type="http://schemas.openxmlformats.org/officeDocument/2006/relationships/hyperlink" Target="https://gld.legislaturacba.gob.ar/Publics/Actas.aspx?id=WYPXoYLmI7U=" TargetMode="External"/><Relationship Id="rId434" Type="http://schemas.openxmlformats.org/officeDocument/2006/relationships/hyperlink" Targe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1" Type="http://schemas.openxmlformats.org/officeDocument/2006/relationships/hyperlink" Targe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9" Type="http://schemas.openxmlformats.org/officeDocument/2006/relationships/hyperlink" Targe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64" Type="http://schemas.openxmlformats.org/officeDocument/2006/relationships/hyperlink" Target="https://gld.legislaturacba.gob.ar/Publics/Actas.aspx?id=PWPQHaKv77c=" TargetMode="External"/><Relationship Id="rId1271" Type="http://schemas.openxmlformats.org/officeDocument/2006/relationships/hyperlink" Target="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69" Type="http://schemas.openxmlformats.org/officeDocument/2006/relationships/hyperlink" Target="https://www.youtube.com/watch?v=eBGUoXIUGYU" TargetMode="External"/><Relationship Id="rId501" Type="http://schemas.openxmlformats.org/officeDocument/2006/relationships/hyperlink" Target="https://www.youtube.com/watch?v=ktFA_525o48" TargetMode="External"/><Relationship Id="rId946" Type="http://schemas.openxmlformats.org/officeDocument/2006/relationships/hyperlink" Target="https://www.youtube.com/watch?v=Dl_hS7nYie8" TargetMode="External"/><Relationship Id="rId1131" Type="http://schemas.openxmlformats.org/officeDocument/2006/relationships/hyperlink" Target="https://www.youtube.com/watch?v=p5cNu3Z53L0" TargetMode="External"/><Relationship Id="rId1229" Type="http://schemas.openxmlformats.org/officeDocument/2006/relationships/hyperlink" Target="https://www.youtube.com/watch?v=AhwQDRRprbo" TargetMode="External"/><Relationship Id="rId75" Type="http://schemas.openxmlformats.org/officeDocument/2006/relationships/hyperlink" Targe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6" Type="http://schemas.openxmlformats.org/officeDocument/2006/relationships/hyperlink" Targe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91" Type="http://schemas.openxmlformats.org/officeDocument/2006/relationships/hyperlink" Target="https://www.youtube.com/watch?v=gg01u0jaffA" TargetMode="External"/><Relationship Id="rId151" Type="http://schemas.openxmlformats.org/officeDocument/2006/relationships/hyperlink" Targe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9" Type="http://schemas.openxmlformats.org/officeDocument/2006/relationships/hyperlink" Target="https://www.youtube.com/watch?v=VvE2UhEXwfc" TargetMode="External"/><Relationship Id="rId596" Type="http://schemas.openxmlformats.org/officeDocument/2006/relationships/hyperlink" Targe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9" Type="http://schemas.openxmlformats.org/officeDocument/2006/relationships/hyperlink" Target="https://gld.legislaturacba.gob.ar/Publics/Actas.aspx?id=VjF6bCL4Ozc=;https://gld.legislaturacba.gob.ar/Publics/Actas.aspx?id=2uK-5ZPOm2Y=;https://gld.legislaturacba.gob.ar/Publics/Actas.aspx?id=_sQrrasnI1M=" TargetMode="External"/><Relationship Id="rId456" Type="http://schemas.openxmlformats.org/officeDocument/2006/relationships/hyperlink" Targe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3" Type="http://schemas.openxmlformats.org/officeDocument/2006/relationships/hyperlink" Target="https://www.youtube.com/watch?v=ozAd0n8VzFo" TargetMode="External"/><Relationship Id="rId870" Type="http://schemas.openxmlformats.org/officeDocument/2006/relationships/hyperlink" Target="https://gld.legislaturacba.gob.ar/Publics/Actas.aspx?id=lWPP-rGLoEo=;https://gld.legislaturacba.gob.ar/Publics/Actas.aspx?id=nAncaHwUvLU=" TargetMode="External"/><Relationship Id="rId1086" Type="http://schemas.openxmlformats.org/officeDocument/2006/relationships/hyperlink" Target="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93" Type="http://schemas.openxmlformats.org/officeDocument/2006/relationships/hyperlink" Target="https://gld.legislaturacba.gob.ar/Publics/Actas.aspx?id=HDWF62FDAVA=;https://gld.legislaturacba.gob.ar/Publics/Actas.aspx?id=KR5xX2tYn4w=;https://gld.legislaturacba.gob.ar/Publics/Actas.aspx?id=V9L5SXdgjog=" TargetMode="External"/><Relationship Id="rId109" Type="http://schemas.openxmlformats.org/officeDocument/2006/relationships/hyperlink" Target="https://www.youtube.com/watch?v=RjL2cgpjhY0" TargetMode="External"/><Relationship Id="rId316" Type="http://schemas.openxmlformats.org/officeDocument/2006/relationships/hyperlink" Target="https://www.youtube.com/watch?v=302h4bFsFjw" TargetMode="External"/><Relationship Id="rId523" Type="http://schemas.openxmlformats.org/officeDocument/2006/relationships/hyperlink" Targe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8" Type="http://schemas.openxmlformats.org/officeDocument/2006/relationships/hyperlink" Targe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53" Type="http://schemas.openxmlformats.org/officeDocument/2006/relationships/hyperlink" Target="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97" Type="http://schemas.openxmlformats.org/officeDocument/2006/relationships/hyperlink" Targe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0" Type="http://schemas.openxmlformats.org/officeDocument/2006/relationships/hyperlink" Targe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8" Type="http://schemas.openxmlformats.org/officeDocument/2006/relationships/hyperlink" Targe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13" Type="http://schemas.openxmlformats.org/officeDocument/2006/relationships/hyperlink" Target="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60" Type="http://schemas.openxmlformats.org/officeDocument/2006/relationships/hyperlink" Target="https://www.youtube.com/watch?v=QtYfChZuWww" TargetMode="External"/><Relationship Id="rId1220" Type="http://schemas.openxmlformats.org/officeDocument/2006/relationships/hyperlink" Target="https://www.youtube.com/watch?v=BOr8zB7xM7w" TargetMode="External"/><Relationship Id="rId1318" Type="http://schemas.openxmlformats.org/officeDocument/2006/relationships/hyperlink" Target="https://gld.legislaturacba.gob.ar/Publics/Actas.aspx?id=UqsHMMQwe0c=" TargetMode="External"/><Relationship Id="rId24" Type="http://schemas.openxmlformats.org/officeDocument/2006/relationships/hyperlink" Targe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3" Type="http://schemas.openxmlformats.org/officeDocument/2006/relationships/hyperlink" Target="https://www.youtube.com/watch?v=OXJFBhtMYqo" TargetMode="External"/><Relationship Id="rId380" Type="http://schemas.openxmlformats.org/officeDocument/2006/relationships/hyperlink" Targe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0" Type="http://schemas.openxmlformats.org/officeDocument/2006/relationships/hyperlink" Targe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8" Type="http://schemas.openxmlformats.org/officeDocument/2006/relationships/hyperlink" Target="https://www.youtube.com/watch?v=73OvmaDJ6Lg" TargetMode="External"/><Relationship Id="rId685" Type="http://schemas.openxmlformats.org/officeDocument/2006/relationships/hyperlink" Target="https://www.youtube.com/watch?v=0EVza5T55BY" TargetMode="External"/><Relationship Id="rId892" Type="http://schemas.openxmlformats.org/officeDocument/2006/relationships/hyperlink" Targe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TargetMode="External"/><Relationship Id="rId100" Type="http://schemas.openxmlformats.org/officeDocument/2006/relationships/hyperlink" Targe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8" Type="http://schemas.openxmlformats.org/officeDocument/2006/relationships/hyperlink" Target="https://gld.legislaturacba.gob.ar/Publics/Actas.aspx?id=jSQNeDmPxaY=" TargetMode="External"/><Relationship Id="rId545" Type="http://schemas.openxmlformats.org/officeDocument/2006/relationships/hyperlink" Targe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2" Type="http://schemas.openxmlformats.org/officeDocument/2006/relationships/hyperlink" Targe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75" Type="http://schemas.openxmlformats.org/officeDocument/2006/relationships/hyperlink" Target="https://gld.legislaturacba.gob.ar/Publics/Actas.aspx?id=A6oGqZj-pg0=" TargetMode="External"/><Relationship Id="rId1382" Type="http://schemas.openxmlformats.org/officeDocument/2006/relationships/hyperlink" Target="https://www.youtube.com/watch?v=6jC6n3GJlf8" TargetMode="External"/><Relationship Id="rId405" Type="http://schemas.openxmlformats.org/officeDocument/2006/relationships/hyperlink" Target="https://www.youtube.com/watch?v=Omfec_-J5cg" TargetMode="External"/><Relationship Id="rId612" Type="http://schemas.openxmlformats.org/officeDocument/2006/relationships/hyperlink" Target="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35" Type="http://schemas.openxmlformats.org/officeDocument/2006/relationships/hyperlink" Target="https://www.youtube.com/watch?v=P0UD-8wJH0Q" TargetMode="External"/><Relationship Id="rId1242" Type="http://schemas.openxmlformats.org/officeDocument/2006/relationships/hyperlink" Target="https://gld.legislaturacba.gob.ar/Publics/Actas.aspx?id=5Piti9k-yKQ=" TargetMode="External"/><Relationship Id="rId917" Type="http://schemas.openxmlformats.org/officeDocument/2006/relationships/hyperlink" Targe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TargetMode="External"/><Relationship Id="rId1102" Type="http://schemas.openxmlformats.org/officeDocument/2006/relationships/hyperlink" Target="https://gld.legislaturacba.gob.ar/Publics/Actas.aspx?id=wTMQnXOn_A0=;https://gld.legislaturacba.gob.ar/Publics/Actas.aspx?id=XHPgz72QTNk=;https://gld.legislaturacba.gob.ar/Publics/Actas.aspx?id=KYmTUHFV7u8=" TargetMode="External"/><Relationship Id="rId46" Type="http://schemas.openxmlformats.org/officeDocument/2006/relationships/hyperlink" Target="https://www.youtube.com/watch?v=SkrYOJFqb18"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ld.legislaturacba.gob.ar/Publics/Actas.aspx?id=dqHyPnrDPqI=;NA;https://gld.legislaturacba.gob.ar/Publics/Actas.aspx?id=R1RXFTLfAXY=" TargetMode="External"/><Relationship Id="rId2" Type="http://schemas.openxmlformats.org/officeDocument/2006/relationships/hyperlink" Target="https://gld.legislaturacba.gob.ar/Publics/Actas.aspx?id=vZ07Tij7Eco=;NA;https://gld.legislaturacba.gob.ar/Publics/Actas.aspx?id=0xFk-ftoloo=" TargetMode="External"/><Relationship Id="rId1" Type="http://schemas.openxmlformats.org/officeDocument/2006/relationships/hyperlink" Target="https://gld.legislaturacba.gob.ar/Publics/Actas.aspx?id=3H3EtxsQShU=;NA" TargetMode="External"/><Relationship Id="rId6" Type="http://schemas.openxmlformats.org/officeDocument/2006/relationships/hyperlink" Target="https://gld.legislaturacba.gob.ar/Publics/Actas.aspx?id=6mBtBdMW8F0=;NA" TargetMode="External"/><Relationship Id="rId5" Type="http://schemas.openxmlformats.org/officeDocument/2006/relationships/hyperlink" Target="https://gld.legislaturacba.gob.ar/Publics/Actas.aspx?id=7qijYLHbHtk=;NA;https://gld.legislaturacba.gob.ar/Publics/Actas.aspx?id=LXI1h9zoY44=" TargetMode="External"/><Relationship Id="rId4" Type="http://schemas.openxmlformats.org/officeDocument/2006/relationships/hyperlink" Target="https://gld.legislaturacba.gob.ar/Publics/Actas.aspx?id=9llPjy8V0Wk=;NA"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www.youtube.com/watch?v=nzvTQ6qYE6E" TargetMode="External"/><Relationship Id="rId170" Type="http://schemas.openxmlformats.org/officeDocument/2006/relationships/hyperlink" Target="https://gld.legislaturacba.gob.ar/Publics/Actas.aspx?id=PbdH3VBZK-4=" TargetMode="External"/><Relationship Id="rId987" Type="http://schemas.openxmlformats.org/officeDocument/2006/relationships/hyperlink" Target="https://gld.legislaturacba.gob.ar/Publics/Actas.aspx?id=uFwO0cOM7W0=" TargetMode="External"/><Relationship Id="rId847" Type="http://schemas.openxmlformats.org/officeDocument/2006/relationships/hyperlink" Target="https://www.youtube.com/watch?v=H_zet5Ehoyc&amp;t" TargetMode="External"/><Relationship Id="rId1477" Type="http://schemas.openxmlformats.org/officeDocument/2006/relationships/hyperlink" Target="https://www.youtube.com/watch?v=BVvs9yi6I5A" TargetMode="External"/><Relationship Id="rId1684" Type="http://schemas.openxmlformats.org/officeDocument/2006/relationships/hyperlink" Target="https://www.youtube.com/watch?v=YM8qUUW6j6I" TargetMode="External"/><Relationship Id="rId1891" Type="http://schemas.openxmlformats.org/officeDocument/2006/relationships/hyperlink" Target="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07" Type="http://schemas.openxmlformats.org/officeDocument/2006/relationships/hyperlink" Target="https://gld.legislaturacba.gob.ar/Publics/Actas.aspx?id=HTTcZL031CY=" TargetMode="External"/><Relationship Id="rId914" Type="http://schemas.openxmlformats.org/officeDocument/2006/relationships/hyperlink" Target="https://gld.legislaturacba.gob.ar/Publics/Actas.aspx?id=hbOXMv5KW9c=;https://gld.legislaturacba.gob.ar/Publics/Actas.aspx?id=uLY5DAtMs7Q=" TargetMode="External"/><Relationship Id="rId1337" Type="http://schemas.openxmlformats.org/officeDocument/2006/relationships/hyperlink" Target="https://www.youtube.com/watch?v=1k406hRGYWM" TargetMode="External"/><Relationship Id="rId1544" Type="http://schemas.openxmlformats.org/officeDocument/2006/relationships/hyperlink" Target="https://www.youtube.com/watch?v=zBIbdlVOWWc" TargetMode="External"/><Relationship Id="rId1751" Type="http://schemas.openxmlformats.org/officeDocument/2006/relationships/hyperlink" Target="https://gld.legislaturacba.gob.ar/Publics/Actas.aspx?id=dTEncuLgz1Y=" TargetMode="External"/><Relationship Id="rId43" Type="http://schemas.openxmlformats.org/officeDocument/2006/relationships/hyperlink" Target="https://gld.legislaturacba.gob.ar/Publics/Actas.aspx?id=FNYJSALtxmg=" TargetMode="External"/><Relationship Id="rId1404" Type="http://schemas.openxmlformats.org/officeDocument/2006/relationships/hyperlink" Target="https://gld.legislaturacba.gob.ar/Publics/Actas.aspx?id=U_NcY2N3mrE=" TargetMode="External"/><Relationship Id="rId1611" Type="http://schemas.openxmlformats.org/officeDocument/2006/relationships/hyperlink" Targe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TargetMode="External"/><Relationship Id="rId497" Type="http://schemas.openxmlformats.org/officeDocument/2006/relationships/hyperlink" Target="https://gld.legislaturacba.gob.ar/Publics/Actas.aspx?id=uIZJJ1AwGRU=;https://gld.legislaturacba.gob.ar/Publics/Actas.aspx?id=Nrz2T7u9xPY=;https://gld.legislaturacba.gob.ar/Publics/Actas.aspx?id=u5gZHsRGm1g=;https://gld.legislaturacba.gob.ar/Publics/Actas.aspx?id=ndgs485_fYg=" TargetMode="External"/><Relationship Id="rId357" Type="http://schemas.openxmlformats.org/officeDocument/2006/relationships/hyperlink" Target="https://gld.legislaturacba.gob.ar/Publics/Actas.aspx?id=_F3IkUyE1Gg=" TargetMode="External"/><Relationship Id="rId1194" Type="http://schemas.openxmlformats.org/officeDocument/2006/relationships/hyperlink" Target="https://gld.legislaturacba.gob.ar/Publics/Actas.aspx?id=1OTgub3R7z8=;https://gld.legislaturacba.gob.ar/Publics/Actas.aspx?id=HyHHKtUWcq0=" TargetMode="External"/><Relationship Id="rId2038" Type="http://schemas.openxmlformats.org/officeDocument/2006/relationships/hyperlink" Target="https://www.youtube.com/watch?v=2jO3NiGJ57A" TargetMode="External"/><Relationship Id="rId217" Type="http://schemas.openxmlformats.org/officeDocument/2006/relationships/hyperlink" Targe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64" Type="http://schemas.openxmlformats.org/officeDocument/2006/relationships/hyperlink" Target="https://gld.legislaturacba.gob.ar/Publics/Actas.aspx?id=t3KkWjTiIdA=;https://gld.legislaturacba.gob.ar/Publics/Actas.aspx?id=aAo1ZyUaIfw=" TargetMode="External"/><Relationship Id="rId771" Type="http://schemas.openxmlformats.org/officeDocument/2006/relationships/hyperlink" Target="https://gld.legislaturacba.gob.ar/Publics/Actas.aspx?id=p0zdKjfrf64=" TargetMode="External"/><Relationship Id="rId424" Type="http://schemas.openxmlformats.org/officeDocument/2006/relationships/hyperlink" Targe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1" Type="http://schemas.openxmlformats.org/officeDocument/2006/relationships/hyperlink" Target="https://www.youtube.com/watch?v=VvE2UhEXwfc" TargetMode="External"/><Relationship Id="rId1054" Type="http://schemas.openxmlformats.org/officeDocument/2006/relationships/hyperlink" Target="https://gld.legislaturacba.gob.ar/Publics/Actas.aspx?id=D-fAcS2XjdY=" TargetMode="External"/><Relationship Id="rId1261" Type="http://schemas.openxmlformats.org/officeDocument/2006/relationships/hyperlink" Target="https://gld.legislaturacba.gob.ar/Publics/Actas.aspx?id=wgf_oPP6nfM=;https://gld.legislaturacba.gob.ar/Publics/Actas.aspx?id=ePV20AjbRBU=;https://gld.legislaturacba.gob.ar/Publics/Actas.aspx?id=tCflfyZD6yY=" TargetMode="External"/><Relationship Id="rId2105" Type="http://schemas.openxmlformats.org/officeDocument/2006/relationships/hyperlink" Target="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1121" Type="http://schemas.openxmlformats.org/officeDocument/2006/relationships/hyperlink" Target="https://www.youtube.com/watch?v=3J1PcDev7w0" TargetMode="External"/><Relationship Id="rId1938" Type="http://schemas.openxmlformats.org/officeDocument/2006/relationships/hyperlink" Target="https://gld.legislaturacba.gob.ar/Publics/Actas.aspx?id=qPxCrPMhmEY=" TargetMode="External"/><Relationship Id="rId281" Type="http://schemas.openxmlformats.org/officeDocument/2006/relationships/hyperlink" Targe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 Type="http://schemas.openxmlformats.org/officeDocument/2006/relationships/hyperlink" Targe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 Type="http://schemas.openxmlformats.org/officeDocument/2006/relationships/hyperlink" Target="https://gld.legislaturacba.gob.ar/Publics/Actas.aspx?id=aENQzRi7rMU=" TargetMode="External"/><Relationship Id="rId958" Type="http://schemas.openxmlformats.org/officeDocument/2006/relationships/hyperlink" Target="https://gld.legislaturacba.gob.ar/Publics/Actas.aspx?id=kme3c8Ikhpw=" TargetMode="External"/><Relationship Id="rId1588" Type="http://schemas.openxmlformats.org/officeDocument/2006/relationships/hyperlink" Target="https://www.youtube.com/watch?v=GEl__GwS0Pw" TargetMode="External"/><Relationship Id="rId1795" Type="http://schemas.openxmlformats.org/officeDocument/2006/relationships/hyperlink" Target="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7" Type="http://schemas.openxmlformats.org/officeDocument/2006/relationships/hyperlink" Targe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13" Type="http://schemas.openxmlformats.org/officeDocument/2006/relationships/hyperlink" Target="https://www.youtube.com/watch?v=VROvyhUcSAM" TargetMode="External"/><Relationship Id="rId720" Type="http://schemas.openxmlformats.org/officeDocument/2006/relationships/hyperlink" Targe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8" Type="http://schemas.openxmlformats.org/officeDocument/2006/relationships/hyperlink" Target="https://gld.legislaturacba.gob.ar/Publics/Actas.aspx?id=Ph909DpZrKc=" TargetMode="External"/><Relationship Id="rId1350" Type="http://schemas.openxmlformats.org/officeDocument/2006/relationships/hyperlink" Target="https://gld.legislaturacba.gob.ar/Publics/Actas.aspx?id=usH9e5uYKYQ=" TargetMode="External"/><Relationship Id="rId1448" Type="http://schemas.openxmlformats.org/officeDocument/2006/relationships/hyperlink" Target="https://www.youtube.com/watch?v=Rg2sqFr4MC0" TargetMode="External"/><Relationship Id="rId1655" Type="http://schemas.openxmlformats.org/officeDocument/2006/relationships/hyperlink" Target="https://gld.legislaturacba.gob.ar/Publics/Actas.aspx?id=NilBp1bstm8=" TargetMode="External"/><Relationship Id="rId1003" Type="http://schemas.openxmlformats.org/officeDocument/2006/relationships/hyperlink" Target="https://gld.legislaturacba.gob.ar/Publics/Actas.aspx?id=StUPC8B_VLQ=" TargetMode="External"/><Relationship Id="rId1210" Type="http://schemas.openxmlformats.org/officeDocument/2006/relationships/hyperlink" Targe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308" Type="http://schemas.openxmlformats.org/officeDocument/2006/relationships/hyperlink" Target="https://www.youtube.com/watch?v=a0t-RI6dfbU" TargetMode="External"/><Relationship Id="rId1862" Type="http://schemas.openxmlformats.org/officeDocument/2006/relationships/hyperlink" Target="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15" Type="http://schemas.openxmlformats.org/officeDocument/2006/relationships/hyperlink" Target="https://gld.legislaturacba.gob.ar/Publics/Actas.aspx?id=MHxgwUEgkts=" TargetMode="External"/><Relationship Id="rId1722" Type="http://schemas.openxmlformats.org/officeDocument/2006/relationships/hyperlink" Target="https://www.youtube.com/watch?v=lmUSzXF2a1Q" TargetMode="External"/><Relationship Id="rId14" Type="http://schemas.openxmlformats.org/officeDocument/2006/relationships/hyperlink" Target="https://gld.legislaturacba.gob.ar/Publics/Actas.aspx?id=JNNsy1gVu-8=" TargetMode="External"/><Relationship Id="rId163" Type="http://schemas.openxmlformats.org/officeDocument/2006/relationships/hyperlink" Target="https://www.youtube.com/watch?v=KhyBGPJ-5rw" TargetMode="External"/><Relationship Id="rId370" Type="http://schemas.openxmlformats.org/officeDocument/2006/relationships/hyperlink" Target="https://gld.legislaturacba.gob.ar/Publics/Actas.aspx?id=zSmPNu3mlTU=" TargetMode="External"/><Relationship Id="rId2051" Type="http://schemas.openxmlformats.org/officeDocument/2006/relationships/hyperlink" Target="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30" Type="http://schemas.openxmlformats.org/officeDocument/2006/relationships/hyperlink" Target="https://gld.legislaturacba.gob.ar/Publics/Actas.aspx?id=8nQcwAu1nTI=;https://gld.legislaturacba.gob.ar/Publics/Actas.aspx?id=N8wLaiR_NRk=" TargetMode="External"/><Relationship Id="rId468" Type="http://schemas.openxmlformats.org/officeDocument/2006/relationships/hyperlink" Target="https://gld.legislaturacba.gob.ar/Publics/Actas.aspx?id=jPEbZB6m_IA=" TargetMode="External"/><Relationship Id="rId675" Type="http://schemas.openxmlformats.org/officeDocument/2006/relationships/hyperlink" Targe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2" Type="http://schemas.openxmlformats.org/officeDocument/2006/relationships/hyperlink" Targe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8" Type="http://schemas.openxmlformats.org/officeDocument/2006/relationships/hyperlink" Target="https://www.youtube.com/watch?v=z0SO279TV8g" TargetMode="External"/><Relationship Id="rId328" Type="http://schemas.openxmlformats.org/officeDocument/2006/relationships/hyperlink" Targe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5" Type="http://schemas.openxmlformats.org/officeDocument/2006/relationships/hyperlink" Target="https://gld.legislaturacba.gob.ar/Publics/Actas.aspx?id=6QzzmziEcuY=;https://gld.legislaturacba.gob.ar/Publics/Actas.aspx?id=NDLFgCeW_h8=" TargetMode="External"/><Relationship Id="rId742" Type="http://schemas.openxmlformats.org/officeDocument/2006/relationships/hyperlink" Targe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65" Type="http://schemas.openxmlformats.org/officeDocument/2006/relationships/hyperlink" Targe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72" Type="http://schemas.openxmlformats.org/officeDocument/2006/relationships/hyperlink" Target="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09" Type="http://schemas.openxmlformats.org/officeDocument/2006/relationships/hyperlink" Target="https://gld.legislaturacba.gob.ar/Publics/Actas.aspx?id=JJl1JSRcjxE=" TargetMode="External"/><Relationship Id="rId602" Type="http://schemas.openxmlformats.org/officeDocument/2006/relationships/hyperlink" Target="https://gld.legislaturacba.gob.ar/Publics/Actas.aspx?id=_07w-EJ80N0=" TargetMode="External"/><Relationship Id="rId1025" Type="http://schemas.openxmlformats.org/officeDocument/2006/relationships/hyperlink" Targe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2" Type="http://schemas.openxmlformats.org/officeDocument/2006/relationships/hyperlink" Target="https://www.youtube.com/watch?v=sMFnvY2aojU" TargetMode="External"/><Relationship Id="rId1677" Type="http://schemas.openxmlformats.org/officeDocument/2006/relationships/hyperlink" Target="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84" Type="http://schemas.openxmlformats.org/officeDocument/2006/relationships/hyperlink" Target="https://gld.legislaturacba.gob.ar/Publics/Actas.aspx?id=TgSiiAeUrcg=;https://gld.legislaturacba.gob.ar/Publics/Actas.aspx?id=1XoduSbfkXo=;https://gld.legislaturacba.gob.ar/Publics/Actas.aspx?id=X3Wm8TfEQ54=" TargetMode="External"/><Relationship Id="rId907" Type="http://schemas.openxmlformats.org/officeDocument/2006/relationships/hyperlink" Target="https://www.youtube.com/watch?v=H7eFMRJLF1c" TargetMode="External"/><Relationship Id="rId1537" Type="http://schemas.openxmlformats.org/officeDocument/2006/relationships/hyperlink" Target="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44" Type="http://schemas.openxmlformats.org/officeDocument/2006/relationships/hyperlink" Target="https://www.youtube.com/watch?v=FD23kQOoKOk" TargetMode="External"/><Relationship Id="rId1951" Type="http://schemas.openxmlformats.org/officeDocument/2006/relationships/hyperlink" Target="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6" Type="http://schemas.openxmlformats.org/officeDocument/2006/relationships/hyperlink" Target="https://www.youtube.com/watch?v=07Y2v4hV47s" TargetMode="External"/><Relationship Id="rId1604" Type="http://schemas.openxmlformats.org/officeDocument/2006/relationships/hyperlink" Target="https://gld.legislaturacba.gob.ar/Publics/Actas.aspx?id=qHM8bubvn44=" TargetMode="External"/><Relationship Id="rId185" Type="http://schemas.openxmlformats.org/officeDocument/2006/relationships/hyperlink" Targe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11" Type="http://schemas.openxmlformats.org/officeDocument/2006/relationships/hyperlink" Target="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09" Type="http://schemas.openxmlformats.org/officeDocument/2006/relationships/hyperlink" Target="https://gld.legislaturacba.gob.ar/Publics/Actas.aspx?id=axBesQQtQ1g=" TargetMode="External"/><Relationship Id="rId392" Type="http://schemas.openxmlformats.org/officeDocument/2006/relationships/hyperlink" Target="https://gld.legislaturacba.gob.ar/Publics/Actas.aspx?id=HTb-7LpDZlU=;https://gld.legislaturacba.gob.ar/Publics/Actas.aspx?id=JrWeZYzTiG8=" TargetMode="External"/><Relationship Id="rId697" Type="http://schemas.openxmlformats.org/officeDocument/2006/relationships/hyperlink" Target="https://www.youtube.com/watch?v=egSDKsZWo1o" TargetMode="External"/><Relationship Id="rId2073" Type="http://schemas.openxmlformats.org/officeDocument/2006/relationships/hyperlink" Target="https://gld.legislaturacba.gob.ar/Publics/Actas.aspx?id=z53Rrp7htu4=" TargetMode="External"/><Relationship Id="rId252" Type="http://schemas.openxmlformats.org/officeDocument/2006/relationships/hyperlink" Target="https://www.youtube.com/watch?v=tYVO6ybdetE" TargetMode="External"/><Relationship Id="rId1187" Type="http://schemas.openxmlformats.org/officeDocument/2006/relationships/hyperlink" Target="https://gld.legislaturacba.gob.ar/Publics/Actas.aspx?id=qCJx5eog3lM=" TargetMode="External"/><Relationship Id="rId112" Type="http://schemas.openxmlformats.org/officeDocument/2006/relationships/hyperlink" Targe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7" Type="http://schemas.openxmlformats.org/officeDocument/2006/relationships/hyperlink" Target="https://www.youtube.com/watch?v=nzFCULzmXXE" TargetMode="External"/><Relationship Id="rId764" Type="http://schemas.openxmlformats.org/officeDocument/2006/relationships/hyperlink" Target="https://www.youtube.com/watch?v=73OvmaDJ6Lg" TargetMode="External"/><Relationship Id="rId971" Type="http://schemas.openxmlformats.org/officeDocument/2006/relationships/hyperlink" Target="https://www.youtube.com/watch?v=F5w7L-lMMH8" TargetMode="External"/><Relationship Id="rId1394" Type="http://schemas.openxmlformats.org/officeDocument/2006/relationships/hyperlink" Target="https://www.youtube.com/watch?v=9o6c-dvzw4I" TargetMode="External"/><Relationship Id="rId1699" Type="http://schemas.openxmlformats.org/officeDocument/2006/relationships/hyperlink" Target="https://www.youtube.com/watch?v=iKNBbxQpsSo" TargetMode="External"/><Relationship Id="rId2000" Type="http://schemas.openxmlformats.org/officeDocument/2006/relationships/hyperlink" Target="https://www.youtube.com/watch?v=oltHJqJYgVk" TargetMode="External"/><Relationship Id="rId417" Type="http://schemas.openxmlformats.org/officeDocument/2006/relationships/hyperlink" Target="https://gld.legislaturacba.gob.ar/Publics/Actas.aspx?id=MK6iu-zNF6c=" TargetMode="External"/><Relationship Id="rId624" Type="http://schemas.openxmlformats.org/officeDocument/2006/relationships/hyperlink" Targe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1" Type="http://schemas.openxmlformats.org/officeDocument/2006/relationships/hyperlink" Targe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7" Type="http://schemas.openxmlformats.org/officeDocument/2006/relationships/hyperlink" Target="https://www.youtube.com/watch?v=ger3Q8VHvmY" TargetMode="External"/><Relationship Id="rId1254" Type="http://schemas.openxmlformats.org/officeDocument/2006/relationships/hyperlink" Target="https://gld.legislaturacba.gob.ar/Publics/Actas.aspx?id=gE-JusxylqU=" TargetMode="External"/><Relationship Id="rId1461" Type="http://schemas.openxmlformats.org/officeDocument/2006/relationships/hyperlink" Target="https://gld.legislaturacba.gob.ar/Publics/Actas.aspx?id=wSKt53gs87g=;https://gld.legislaturacba.gob.ar/Publics/Actas.aspx?id=rWp8Gnx-aaE=" TargetMode="External"/><Relationship Id="rId929" Type="http://schemas.openxmlformats.org/officeDocument/2006/relationships/hyperlink" Target="https://gld.legislaturacba.gob.ar/Publics/Actas.aspx?id=QCTs98fKiiE=" TargetMode="External"/><Relationship Id="rId1114" Type="http://schemas.openxmlformats.org/officeDocument/2006/relationships/hyperlink" Targe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1" Type="http://schemas.openxmlformats.org/officeDocument/2006/relationships/hyperlink" Targe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59" Type="http://schemas.openxmlformats.org/officeDocument/2006/relationships/hyperlink" Target="https://www.youtube.com/watch?v=h-6FPhE91gw" TargetMode="External"/><Relationship Id="rId1766" Type="http://schemas.openxmlformats.org/officeDocument/2006/relationships/hyperlink" Target="https://www.youtube.com/watch?v=3Kr_1DAGkkM" TargetMode="External"/><Relationship Id="rId1973" Type="http://schemas.openxmlformats.org/officeDocument/2006/relationships/hyperlink" Target="https://gld.legislaturacba.gob.ar/Publics/Actas.aspx?id=yB1BgeQePNE=;https://gld.legislaturacba.gob.ar/Publics/Actas.aspx?id=z6fk_alVdKc=;https://gld.legislaturacba.gob.ar/Publics/Actas.aspx?id=z6fk_alVdKc=" TargetMode="External"/><Relationship Id="rId58" Type="http://schemas.openxmlformats.org/officeDocument/2006/relationships/hyperlink" Target="https://gld.legislaturacba.gob.ar/Publics/Actas.aspx?id=DUDipVNTFbo=" TargetMode="External"/><Relationship Id="rId1419" Type="http://schemas.openxmlformats.org/officeDocument/2006/relationships/hyperlink" Target="https://gld.legislaturacba.gob.ar/Publics/Actas.aspx?id=FQI3Lxt5BeE=" TargetMode="External"/><Relationship Id="rId1626" Type="http://schemas.openxmlformats.org/officeDocument/2006/relationships/hyperlink" Targe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TargetMode="External"/><Relationship Id="rId1833" Type="http://schemas.openxmlformats.org/officeDocument/2006/relationships/hyperlink" Target="https://www.youtube.com/watch?v=ej7xQoOqer4" TargetMode="External"/><Relationship Id="rId1900" Type="http://schemas.openxmlformats.org/officeDocument/2006/relationships/hyperlink" Target="https://www.youtube.com/watch?v=s-lFYTMCcwY" TargetMode="External"/><Relationship Id="rId2095" Type="http://schemas.openxmlformats.org/officeDocument/2006/relationships/hyperlink" Target="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74" Type="http://schemas.openxmlformats.org/officeDocument/2006/relationships/hyperlink" Target="https://www.youtube.com/watch?v=at6uURE5PNU" TargetMode="External"/><Relationship Id="rId481" Type="http://schemas.openxmlformats.org/officeDocument/2006/relationships/hyperlink" Target="https://www.youtube.com/watch?v=gg01u0jaffA" TargetMode="External"/><Relationship Id="rId134" Type="http://schemas.openxmlformats.org/officeDocument/2006/relationships/hyperlink" Target="https://gld.legislaturacba.gob.ar/Publics/Actas.aspx?id=RH5Ckn56qkI=;https://gld.legislaturacba.gob.ar/Publics/Actas.aspx?id=y7J7vEeLhpw=" TargetMode="External"/><Relationship Id="rId579" Type="http://schemas.openxmlformats.org/officeDocument/2006/relationships/hyperlink" Target="https://gld.legislaturacba.gob.ar/Publics/Actas.aspx?id=8yT951U-4Po=" TargetMode="External"/><Relationship Id="rId786" Type="http://schemas.openxmlformats.org/officeDocument/2006/relationships/hyperlink" Target="https://gld.legislaturacba.gob.ar/Publics/Actas.aspx?id=ZNRAiPnfqp8=" TargetMode="External"/><Relationship Id="rId993" Type="http://schemas.openxmlformats.org/officeDocument/2006/relationships/hyperlink" Targe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41" Type="http://schemas.openxmlformats.org/officeDocument/2006/relationships/hyperlink" Target="https://www.youtube.com/watch?v=mC1lqGMl2XU" TargetMode="External"/><Relationship Id="rId439" Type="http://schemas.openxmlformats.org/officeDocument/2006/relationships/hyperlink" Targe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6" Type="http://schemas.openxmlformats.org/officeDocument/2006/relationships/hyperlink" Targe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69" Type="http://schemas.openxmlformats.org/officeDocument/2006/relationships/hyperlink" Target="https://www.youtube.com/watch?v=weduzrR5L4s" TargetMode="External"/><Relationship Id="rId1276" Type="http://schemas.openxmlformats.org/officeDocument/2006/relationships/hyperlink" Target="https://gld.legislaturacba.gob.ar/Publics/Actas.aspx?id=p0IR4fOJjfo=" TargetMode="External"/><Relationship Id="rId1483" Type="http://schemas.openxmlformats.org/officeDocument/2006/relationships/hyperlink" Target="https://www.youtube.com/watch?v=JEsmkGBnn9I" TargetMode="External"/><Relationship Id="rId2022" Type="http://schemas.openxmlformats.org/officeDocument/2006/relationships/hyperlink" Target="https://www.youtube.com/watch?v=10cGrFgWJ4Y" TargetMode="External"/><Relationship Id="rId201" Type="http://schemas.openxmlformats.org/officeDocument/2006/relationships/hyperlink" Targe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6" Type="http://schemas.openxmlformats.org/officeDocument/2006/relationships/hyperlink" Target="https://gld.legislaturacba.gob.ar/Publics/Actas.aspx?id=nrbf9fDfWNA=;https://gld.legislaturacba.gob.ar/Publics/Actas.aspx?id=u3jIW2vDUYs=;https://gld.legislaturacba.gob.ar/Publics/Actas.aspx?id=ZkQJ2-g36ng=;https://gld.legislaturacba.gob.ar/Publics/Actas.aspx?id=sJxvGuebqdI=" TargetMode="External"/><Relationship Id="rId853" Type="http://schemas.openxmlformats.org/officeDocument/2006/relationships/hyperlink" Target="https://www.youtube.com/watch?v=hVHDGGx3SLU" TargetMode="External"/><Relationship Id="rId1136" Type="http://schemas.openxmlformats.org/officeDocument/2006/relationships/hyperlink" Targe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690" Type="http://schemas.openxmlformats.org/officeDocument/2006/relationships/hyperlink" Target="https://www.youtube.com/watch?v=o_7Fz-4WxlU" TargetMode="External"/><Relationship Id="rId1788" Type="http://schemas.openxmlformats.org/officeDocument/2006/relationships/hyperlink" Target="https://gld.legislaturacba.gob.ar/Publics/Actas.aspx?id=ZqO5QdfCCxE=" TargetMode="External"/><Relationship Id="rId1995" Type="http://schemas.openxmlformats.org/officeDocument/2006/relationships/hyperlink" Target="https://gld.legislaturacba.gob.ar/Publics/Actas.aspx?id=dqHyPnrDPqI=;NA;https://gld.legislaturacba.gob.ar/Publics/Actas.aspx?id=R1RXFTLfAXY=" TargetMode="External"/><Relationship Id="rId713" Type="http://schemas.openxmlformats.org/officeDocument/2006/relationships/hyperlink" Target="https://gld.legislaturacba.gob.ar/Publics/Actas.aspx?id=H3wvZrIkEXI=;https://gld.legislaturacba.gob.ar/Publics/Actas.aspx?id=YXjituqVqLA=;https://gld.legislaturacba.gob.ar/Publics/Actas.aspx?id=cNcJB24EhOs=" TargetMode="External"/><Relationship Id="rId920" Type="http://schemas.openxmlformats.org/officeDocument/2006/relationships/hyperlink" Target="https://gld.legislaturacba.gob.ar/Publics/Actas.aspx?id=-gOcIVQm39s=" TargetMode="External"/><Relationship Id="rId1343" Type="http://schemas.openxmlformats.org/officeDocument/2006/relationships/hyperlink" Target="https://www.youtube.com/watch?v=cy5zTvFOZNU" TargetMode="External"/><Relationship Id="rId1550" Type="http://schemas.openxmlformats.org/officeDocument/2006/relationships/hyperlink" Target="https://www.youtube.com/watch?v=cGzOM5QLcS0" TargetMode="External"/><Relationship Id="rId1648" Type="http://schemas.openxmlformats.org/officeDocument/2006/relationships/hyperlink" Target="https://www.youtube.com/watch?v=6n-FCU7M0Rk" TargetMode="External"/><Relationship Id="rId1203" Type="http://schemas.openxmlformats.org/officeDocument/2006/relationships/hyperlink" Target="https://gld.legislaturacba.gob.ar/Publics/Actas.aspx?id=nNauRpG_tMA=" TargetMode="External"/><Relationship Id="rId1410" Type="http://schemas.openxmlformats.org/officeDocument/2006/relationships/hyperlink" Target="https://gld.legislaturacba.gob.ar/Publics/Actas.aspx?id=TPbr0_k2yUY=" TargetMode="External"/><Relationship Id="rId1508" Type="http://schemas.openxmlformats.org/officeDocument/2006/relationships/hyperlink" Target="https://www.youtube.com/watch?v=AoxLcz4Cbzg" TargetMode="External"/><Relationship Id="rId1855" Type="http://schemas.openxmlformats.org/officeDocument/2006/relationships/hyperlink" Target="https://gld.legislaturacba.gob.ar/Publics/Actas.aspx?id=jaDcK5HEGuc=;https://gld.legislaturacba.gob.ar/Publics/Actas.aspx?id=OA-PIU3jVlg=;https://gld.legislaturacba.gob.ar/Publics/Actas.aspx?id=SCkf6oRxZhQ=" TargetMode="External"/><Relationship Id="rId1715" Type="http://schemas.openxmlformats.org/officeDocument/2006/relationships/hyperlink" Target="https://gld.legislaturacba.gob.ar/Publics/Actas.aspx?id=UoWdxo7lXGQ=;https://gld.legislaturacba.gob.ar/Publics/Actas.aspx?id=HjsGx7ytAVI=" TargetMode="External"/><Relationship Id="rId1922" Type="http://schemas.openxmlformats.org/officeDocument/2006/relationships/hyperlink" Target="https://gld.legislaturacba.gob.ar/Publics/Actas.aspx" TargetMode="External"/><Relationship Id="rId296" Type="http://schemas.openxmlformats.org/officeDocument/2006/relationships/hyperlink" Target="https://www.youtube.com/watch?v=QB7BthKNc6M" TargetMode="External"/><Relationship Id="rId156" Type="http://schemas.openxmlformats.org/officeDocument/2006/relationships/hyperlink" Target="https://gld.legislaturacba.gob.ar/Publics/Actas.aspx?id=P8ysM8CNC2k=" TargetMode="External"/><Relationship Id="rId363" Type="http://schemas.openxmlformats.org/officeDocument/2006/relationships/hyperlink" Targe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0" Type="http://schemas.openxmlformats.org/officeDocument/2006/relationships/hyperlink" Target="https://gld.legislaturacba.gob.ar/Publics/Actas.aspx?id=paSF89WS83w=;https://gld.legislaturacba.gob.ar/Publics/Actas.aspx?id=cQdkeIwh2TA=" TargetMode="External"/><Relationship Id="rId2044" Type="http://schemas.openxmlformats.org/officeDocument/2006/relationships/hyperlink" Target="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23" Type="http://schemas.openxmlformats.org/officeDocument/2006/relationships/hyperlink" Target="https://www.youtube.com/watch?v=R29x-R8GsbY" TargetMode="External"/><Relationship Id="rId430" Type="http://schemas.openxmlformats.org/officeDocument/2006/relationships/hyperlink" Targe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8" Type="http://schemas.openxmlformats.org/officeDocument/2006/relationships/hyperlink" Target="https://www.youtube.com/watch?v=XcMWuIIJoSY" TargetMode="External"/><Relationship Id="rId875" Type="http://schemas.openxmlformats.org/officeDocument/2006/relationships/hyperlink" Target="https://gld.legislaturacba.gob.ar/Publics/Actas.aspx?id=iWGObTgdoVg=" TargetMode="External"/><Relationship Id="rId1060" Type="http://schemas.openxmlformats.org/officeDocument/2006/relationships/hyperlink" Targe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98" Type="http://schemas.openxmlformats.org/officeDocument/2006/relationships/hyperlink" Targe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11" Type="http://schemas.openxmlformats.org/officeDocument/2006/relationships/hyperlink" Target="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28" Type="http://schemas.openxmlformats.org/officeDocument/2006/relationships/hyperlink" Targe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5" Type="http://schemas.openxmlformats.org/officeDocument/2006/relationships/hyperlink" Target="https://gld.legislaturacba.gob.ar/Publics/Actas.aspx?id=YXpDAMDKgGY=" TargetMode="External"/><Relationship Id="rId942" Type="http://schemas.openxmlformats.org/officeDocument/2006/relationships/hyperlink" Target="https://www.youtube.com/watch?v=6facA5HNrcw" TargetMode="External"/><Relationship Id="rId1158" Type="http://schemas.openxmlformats.org/officeDocument/2006/relationships/hyperlink" Target="https://gld.legislaturacba.gob.ar/Publics/Actas.aspx?id=Qg3_yTAgZRc=" TargetMode="External"/><Relationship Id="rId1365" Type="http://schemas.openxmlformats.org/officeDocument/2006/relationships/hyperlink" Target="https://gld.legislaturacba.gob.ar/Publics/Actas.aspx?id=YsvpWmoxxI0=" TargetMode="External"/><Relationship Id="rId1572" Type="http://schemas.openxmlformats.org/officeDocument/2006/relationships/hyperlink" Target="https://gld.legislaturacba.gob.ar/Publics/Actas.aspx?id=_vC9t3fGh48=" TargetMode="External"/><Relationship Id="rId1018" Type="http://schemas.openxmlformats.org/officeDocument/2006/relationships/hyperlink" Target="https://www.youtube.com/watch?v=zB64CC5gLMc" TargetMode="External"/><Relationship Id="rId1225" Type="http://schemas.openxmlformats.org/officeDocument/2006/relationships/hyperlink" Targe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32" Type="http://schemas.openxmlformats.org/officeDocument/2006/relationships/hyperlink" Target="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877" Type="http://schemas.openxmlformats.org/officeDocument/2006/relationships/hyperlink" Target="https://www.youtube.com/watch?v=p5cNu3Z53L0" TargetMode="External"/><Relationship Id="rId71" Type="http://schemas.openxmlformats.org/officeDocument/2006/relationships/hyperlink" Targe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2" Type="http://schemas.openxmlformats.org/officeDocument/2006/relationships/hyperlink" Targe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737" Type="http://schemas.openxmlformats.org/officeDocument/2006/relationships/hyperlink" Target="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44" Type="http://schemas.openxmlformats.org/officeDocument/2006/relationships/hyperlink" Target="https://gld.legislaturacba.gob.ar/Publics/Actas.aspx?id=53LSrSe3RL8=" TargetMode="External"/><Relationship Id="rId29" Type="http://schemas.openxmlformats.org/officeDocument/2006/relationships/hyperlink" Target="https://gld.legislaturacba.gob.ar/Publics/Actas.aspx?id=xWTBMHPcxQg=" TargetMode="External"/><Relationship Id="rId178" Type="http://schemas.openxmlformats.org/officeDocument/2006/relationships/hyperlink" Target="https://gld.legislaturacba.gob.ar/Publics/Actas.aspx?id=5dOvOWXhWSw=" TargetMode="External"/><Relationship Id="rId1804" Type="http://schemas.openxmlformats.org/officeDocument/2006/relationships/hyperlink" Target="https://gld.legislaturacba.gob.ar/Publics/Actas.aspx?id=kvhAyvHGT28=;https://gld.legislaturacba.gob.ar/Publics/Actas.aspx?id=QAMrCSS2804=;https://gld.legislaturacba.gob.ar/Publics/Actas.aspx?id=BCBlV9g1fKE=" TargetMode="External"/><Relationship Id="rId385" Type="http://schemas.openxmlformats.org/officeDocument/2006/relationships/hyperlink" Target="https://gld.legislaturacba.gob.ar/Publics/Actas.aspx?id=8ioP74G5gVo=;https://gld.legislaturacba.gob.ar/Publics/Actas.aspx?id=7Yl2Y4D5iDs=" TargetMode="External"/><Relationship Id="rId592" Type="http://schemas.openxmlformats.org/officeDocument/2006/relationships/hyperlink" Target="https://www.youtube.com/watch?v=h74bcy7XpnY" TargetMode="External"/><Relationship Id="rId2066" Type="http://schemas.openxmlformats.org/officeDocument/2006/relationships/hyperlink" Target="https://gld.legislaturacba.gob.ar/Publics/Actas.aspx?id=BIuBmm8Xvcc=" TargetMode="External"/><Relationship Id="rId245" Type="http://schemas.openxmlformats.org/officeDocument/2006/relationships/hyperlink" Targe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2" Type="http://schemas.openxmlformats.org/officeDocument/2006/relationships/hyperlink" Targe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7" Type="http://schemas.openxmlformats.org/officeDocument/2006/relationships/hyperlink" Targe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82" Type="http://schemas.openxmlformats.org/officeDocument/2006/relationships/hyperlink" Targe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 Type="http://schemas.openxmlformats.org/officeDocument/2006/relationships/hyperlink" Targe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2" Type="http://schemas.openxmlformats.org/officeDocument/2006/relationships/hyperlink" Target="https://gld.legislaturacba.gob.ar/Publics/Actas.aspx?id=_vCTw4hZxXQ=" TargetMode="External"/><Relationship Id="rId757" Type="http://schemas.openxmlformats.org/officeDocument/2006/relationships/hyperlink" Targe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4" Type="http://schemas.openxmlformats.org/officeDocument/2006/relationships/hyperlink" Targe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87" Type="http://schemas.openxmlformats.org/officeDocument/2006/relationships/hyperlink" Target="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94" Type="http://schemas.openxmlformats.org/officeDocument/2006/relationships/hyperlink" Target="https://www.youtube.com/watch?v=orwRqVxQgRI" TargetMode="External"/><Relationship Id="rId93" Type="http://schemas.openxmlformats.org/officeDocument/2006/relationships/hyperlink" Targe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17" Type="http://schemas.openxmlformats.org/officeDocument/2006/relationships/hyperlink" Target="https://gld.legislaturacba.gob.ar/Publics/Actas.aspx?id=HvlzIJwn0B8=;https://gld.legislaturacba.gob.ar/Publics/Actas.aspx?id=MtV-LMjQE3Q=;https://gld.legislaturacba.gob.ar/Publics/Actas.aspx?id=Rbx75w7zhVo=" TargetMode="External"/><Relationship Id="rId824" Type="http://schemas.openxmlformats.org/officeDocument/2006/relationships/hyperlink" Target="https://gld.legislaturacba.gob.ar/Publics/Actas.aspx?id=O68jA3lgyQ4=;https://gld.legislaturacba.gob.ar/Publics/Actas.aspx?id=V5B3-COl4E8=" TargetMode="External"/><Relationship Id="rId1247" Type="http://schemas.openxmlformats.org/officeDocument/2006/relationships/hyperlink" Target="https://www.youtube.com/watch?v=5THPgphSsE8" TargetMode="External"/><Relationship Id="rId1454" Type="http://schemas.openxmlformats.org/officeDocument/2006/relationships/hyperlink" Target="https://www.youtube.com/watch?v=hv18gtREfnY" TargetMode="External"/><Relationship Id="rId1661" Type="http://schemas.openxmlformats.org/officeDocument/2006/relationships/hyperlink" Target="https://gld.legislaturacba.gob.ar/Publics/Actas.aspx?id=8_8Cx3meStw=;https://gld.legislaturacba.gob.ar/Publics/Actas.aspx?id=gF5e_JUY_3g=" TargetMode="External"/><Relationship Id="rId1899" Type="http://schemas.openxmlformats.org/officeDocument/2006/relationships/hyperlink" Target="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07" Type="http://schemas.openxmlformats.org/officeDocument/2006/relationships/hyperlink" Target="https://gld.legislaturacba.gob.ar/Publics/Actas.aspx?id=J3ig1WHpuiI=;https://gld.legislaturacba.gob.ar/Publics/Actas.aspx?id=MsNcmhcXa0A=" TargetMode="External"/><Relationship Id="rId1314" Type="http://schemas.openxmlformats.org/officeDocument/2006/relationships/hyperlink" Target="https://gld.legislaturacba.gob.ar/Publics/Actas.aspx?id=7P2toU_e3tc=" TargetMode="External"/><Relationship Id="rId1521" Type="http://schemas.openxmlformats.org/officeDocument/2006/relationships/hyperlink" Target="https://gld.legislaturacba.gob.ar/Publics/Actas.aspx?id=VUWHbvGbTxg=;https://gld.legislaturacba.gob.ar/Publics/Actas.aspx?id=YF8N18be7fg=;https://gld.legislaturacba.gob.ar/Publics/Actas.aspx?id=MjwbbU318MA=" TargetMode="External"/><Relationship Id="rId1759" Type="http://schemas.openxmlformats.org/officeDocument/2006/relationships/hyperlink" Target="https://gld.legislaturacba.gob.ar/Publics/Actas.aspx?id=MlKBsXrupXw=;https://gld.legislaturacba.gob.ar/Publics/Actas.aspx?id=_JgI_c7uUC0=" TargetMode="External"/><Relationship Id="rId1966" Type="http://schemas.openxmlformats.org/officeDocument/2006/relationships/hyperlink" Target="https://www.youtube.com/watch?v=BOr8zB7xM7w" TargetMode="External"/><Relationship Id="rId1619" Type="http://schemas.openxmlformats.org/officeDocument/2006/relationships/hyperlink" Targe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TargetMode="External"/><Relationship Id="rId1826" Type="http://schemas.openxmlformats.org/officeDocument/2006/relationships/hyperlink" Target="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20" Type="http://schemas.openxmlformats.org/officeDocument/2006/relationships/hyperlink" Target="https://gld.legislaturacba.gob.ar/Publics/Actas.aspx?id=xTxPX0xF6_k=" TargetMode="External"/><Relationship Id="rId2088" Type="http://schemas.openxmlformats.org/officeDocument/2006/relationships/hyperlink" Target="https://www.youtube.com/watch?v=ZW4ZeuiWDgw" TargetMode="External"/><Relationship Id="rId267" Type="http://schemas.openxmlformats.org/officeDocument/2006/relationships/hyperlink" Targe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4" Type="http://schemas.openxmlformats.org/officeDocument/2006/relationships/hyperlink" Target="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27" Type="http://schemas.openxmlformats.org/officeDocument/2006/relationships/hyperlink" Targe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1" Type="http://schemas.openxmlformats.org/officeDocument/2006/relationships/hyperlink" Targe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79" Type="http://schemas.openxmlformats.org/officeDocument/2006/relationships/hyperlink" Target="https://www.youtube.com/watch?v=Bw5WP_9-BLo" TargetMode="External"/><Relationship Id="rId986" Type="http://schemas.openxmlformats.org/officeDocument/2006/relationships/hyperlink" Target="https://www.youtube.com/watch?v=Mr6bvaOjNDs" TargetMode="External"/><Relationship Id="rId334" Type="http://schemas.openxmlformats.org/officeDocument/2006/relationships/hyperlink" Targe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1" Type="http://schemas.openxmlformats.org/officeDocument/2006/relationships/hyperlink" Targe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9" Type="http://schemas.openxmlformats.org/officeDocument/2006/relationships/hyperlink" Targe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1" Type="http://schemas.openxmlformats.org/officeDocument/2006/relationships/hyperlink" Targe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9" Type="http://schemas.openxmlformats.org/officeDocument/2006/relationships/hyperlink" Target="https://www.youtube.com/watch?v=yhQjW3QRn4w" TargetMode="External"/><Relationship Id="rId1476" Type="http://schemas.openxmlformats.org/officeDocument/2006/relationships/hyperlink" Target="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15" Type="http://schemas.openxmlformats.org/officeDocument/2006/relationships/hyperlink" Target="https://gld.legislaturacba.gob.ar/Publics/Actas.aspx?id=41mYgvB1B-E=" TargetMode="External"/><Relationship Id="rId401" Type="http://schemas.openxmlformats.org/officeDocument/2006/relationships/hyperlink" Target="https://gld.legislaturacba.gob.ar/Publics/Actas.aspx?id=xLZ1_VE6FJo=;https://gld.legislaturacba.gob.ar/Publics/Actas.aspx?id=gPgF7xyrmY8=" TargetMode="External"/><Relationship Id="rId846" Type="http://schemas.openxmlformats.org/officeDocument/2006/relationships/hyperlink" Targe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1" Type="http://schemas.openxmlformats.org/officeDocument/2006/relationships/hyperlink" Targe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29" Type="http://schemas.openxmlformats.org/officeDocument/2006/relationships/hyperlink" Targe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683" Type="http://schemas.openxmlformats.org/officeDocument/2006/relationships/hyperlink" Target="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90" Type="http://schemas.openxmlformats.org/officeDocument/2006/relationships/hyperlink" Target="https://gld.legislaturacba.gob.ar/Publics/Actas.aspx?id=5vHxuL67dEA=;https://gld.legislaturacba.gob.ar/Publics/Actas.aspx?id=d1H4C305EcY=" TargetMode="External"/><Relationship Id="rId1988" Type="http://schemas.openxmlformats.org/officeDocument/2006/relationships/hyperlink" Target="https://gld.legislaturacba.gob.ar/Publics/Actas.aspx?id=5Piti9k-yKQ=" TargetMode="External"/><Relationship Id="rId706" Type="http://schemas.openxmlformats.org/officeDocument/2006/relationships/hyperlink" Target="https://www.youtube.com/watch?v=NrYBF1ivJXg" TargetMode="External"/><Relationship Id="rId913" Type="http://schemas.openxmlformats.org/officeDocument/2006/relationships/hyperlink" Target="https://www.youtube.com/watch?v=U4xTMyx7Nw4" TargetMode="External"/><Relationship Id="rId1336" Type="http://schemas.openxmlformats.org/officeDocument/2006/relationships/hyperlink" Targe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43" Type="http://schemas.openxmlformats.org/officeDocument/2006/relationships/hyperlink" Target="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0" Type="http://schemas.openxmlformats.org/officeDocument/2006/relationships/hyperlink" Target="https://www.youtube.com/watch?v=NROZfnalITM" TargetMode="External"/><Relationship Id="rId42" Type="http://schemas.openxmlformats.org/officeDocument/2006/relationships/hyperlink" Target="https://www.youtube.com/watch?v=-DVljyOAsvY" TargetMode="External"/><Relationship Id="rId1403" Type="http://schemas.openxmlformats.org/officeDocument/2006/relationships/hyperlink" Target="https://www.youtube.com/watch?v=qW9rwFjCGNg" TargetMode="External"/><Relationship Id="rId1610" Type="http://schemas.openxmlformats.org/officeDocument/2006/relationships/hyperlink" Target="https://gld.legislaturacba.gob.ar/Publics/Actas.aspx?id=ljLMNn1PxAw=;https://gld.legislaturacba.gob.ar/Publics/Actas.aspx?id=Ac4AjNputzM=" TargetMode="External"/><Relationship Id="rId1848" Type="http://schemas.openxmlformats.org/officeDocument/2006/relationships/hyperlink" Target="https://gld.legislaturacba.gob.ar/Publics/Actas.aspx?id=wTMQnXOn_A0=;https://gld.legislaturacba.gob.ar/Publics/Actas.aspx?id=XHPgz72QTNk=;https://gld.legislaturacba.gob.ar/Publics/Actas.aspx?id=KYmTUHFV7u8=" TargetMode="External"/><Relationship Id="rId191" Type="http://schemas.openxmlformats.org/officeDocument/2006/relationships/hyperlink" Target="https://www.youtube.com/watch?v=vWt3AhB8_4E" TargetMode="External"/><Relationship Id="rId1708" Type="http://schemas.openxmlformats.org/officeDocument/2006/relationships/hyperlink" Target="https://gld.legislaturacba.gob.ar/Publics/Actas.aspx?id=waoITHmxHTg=;https://gld.legislaturacba.gob.ar/Publics/Actas.aspx?id=LkvP2ayX5fY=" TargetMode="External"/><Relationship Id="rId1915" Type="http://schemas.openxmlformats.org/officeDocument/2006/relationships/hyperlink" Target="https://gld.legislaturacba.gob.ar/Publics/Actas.aspx?id=F6zYpE8Qy9U=" TargetMode="External"/><Relationship Id="rId289" Type="http://schemas.openxmlformats.org/officeDocument/2006/relationships/hyperlink" Targe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6" Type="http://schemas.openxmlformats.org/officeDocument/2006/relationships/hyperlink" Target="https://www.youtube.com/watch?v=pOX0tSIj1FA" TargetMode="External"/><Relationship Id="rId149" Type="http://schemas.openxmlformats.org/officeDocument/2006/relationships/hyperlink" Targe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6" Type="http://schemas.openxmlformats.org/officeDocument/2006/relationships/hyperlink" Targe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3" Type="http://schemas.openxmlformats.org/officeDocument/2006/relationships/hyperlink" Target="https://www.youtube.com/watch?v=dMJCr7zlwBc" TargetMode="External"/><Relationship Id="rId770" Type="http://schemas.openxmlformats.org/officeDocument/2006/relationships/hyperlink" Target="https://www.youtube.com/watch?v=iadx4ufSMS4&amp;t" TargetMode="External"/><Relationship Id="rId1193" Type="http://schemas.openxmlformats.org/officeDocument/2006/relationships/hyperlink" Target="https://www.youtube.com/watch?v=OUC-7SuXnP4" TargetMode="External"/><Relationship Id="rId2037" Type="http://schemas.openxmlformats.org/officeDocument/2006/relationships/hyperlink" Target="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16" Type="http://schemas.openxmlformats.org/officeDocument/2006/relationships/hyperlink" Target="https://gld.legislaturacba.gob.ar/Publics/Actas.aspx?id=RkUKcIaoVmk=;https://gld.legislaturacba.gob.ar/Publics/Actas.aspx?id=20REfmQAdnk=" TargetMode="External"/><Relationship Id="rId423" Type="http://schemas.openxmlformats.org/officeDocument/2006/relationships/hyperlink" Target="https://gld.legislaturacba.gob.ar/Publics/Actas.aspx?id=gY-mkOp6Dm0=" TargetMode="External"/><Relationship Id="rId868" Type="http://schemas.openxmlformats.org/officeDocument/2006/relationships/hyperlink" Target="https://www.youtube.com/watch?v=OdgLXQ17aRo" TargetMode="External"/><Relationship Id="rId1053" Type="http://schemas.openxmlformats.org/officeDocument/2006/relationships/hyperlink" Target="https://www.youtube.com/watch?v=sfv6khuJACM" TargetMode="External"/><Relationship Id="rId1260" Type="http://schemas.openxmlformats.org/officeDocument/2006/relationships/hyperlink" Target="https://www.youtube.com/watch?v=dOKHcKXZ4lA" TargetMode="External"/><Relationship Id="rId1498" Type="http://schemas.openxmlformats.org/officeDocument/2006/relationships/hyperlink" Target="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104" Type="http://schemas.openxmlformats.org/officeDocument/2006/relationships/hyperlink" Target="https://gld.legislaturacba.gob.ar/Publics/Actas.aspx?id=zgCGuFulQeQ=" TargetMode="External"/><Relationship Id="rId630" Type="http://schemas.openxmlformats.org/officeDocument/2006/relationships/hyperlink" Targe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8" Type="http://schemas.openxmlformats.org/officeDocument/2006/relationships/hyperlink" Target="https://gld.legislaturacba.gob.ar/Publics/Actas.aspx?id=C_Te7r3_eIc=;https://gld.legislaturacba.gob.ar/Publics/Actas.aspx?id=nogFaU1KWH8=" TargetMode="External"/><Relationship Id="rId935" Type="http://schemas.openxmlformats.org/officeDocument/2006/relationships/hyperlink" Target="https://gld.legislaturacba.gob.ar/Publics/Actas.aspx?id=ychTSNxDbbY=" TargetMode="External"/><Relationship Id="rId1358" Type="http://schemas.openxmlformats.org/officeDocument/2006/relationships/hyperlink" Target="https://www.youtube.com/watch?v=3VqpupDkTas" TargetMode="External"/><Relationship Id="rId1565" Type="http://schemas.openxmlformats.org/officeDocument/2006/relationships/hyperlink" Target="https://www.youtube.com/watch?v=BPEak9i5Fzk" TargetMode="External"/><Relationship Id="rId1772" Type="http://schemas.openxmlformats.org/officeDocument/2006/relationships/hyperlink" Target="https://www.youtube.com/watch?v=PMPczWSyfxw" TargetMode="External"/><Relationship Id="rId64" Type="http://schemas.openxmlformats.org/officeDocument/2006/relationships/hyperlink" Targe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20" Type="http://schemas.openxmlformats.org/officeDocument/2006/relationships/hyperlink" Targe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18" Type="http://schemas.openxmlformats.org/officeDocument/2006/relationships/hyperlink" Target="https://gld.legislaturacba.gob.ar/Publics/Actas.aspx?id=mOfwLNhtqWg=;https://gld.legislaturacba.gob.ar/Publics/Actas.aspx?id=vuqGpfJRQYI=" TargetMode="External"/><Relationship Id="rId1425" Type="http://schemas.openxmlformats.org/officeDocument/2006/relationships/hyperlink" Target="https://gld.legislaturacba.gob.ar/Publics/Actas.aspx?id=0N7IUoc5pOQ=;https://gld.legislaturacba.gob.ar/Publics/Actas.aspx?id=hx2jFjD5HJs=;https://gld.legislaturacba.gob.ar/Publics/Actas.aspx?id=YALKj-svRLw=;https://gld.legislaturacba.gob.ar/Publics/Actas.aspx?id=HTASXCcsfhM=" TargetMode="External"/><Relationship Id="rId1632" Type="http://schemas.openxmlformats.org/officeDocument/2006/relationships/hyperlink" Targe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37" Type="http://schemas.openxmlformats.org/officeDocument/2006/relationships/hyperlink" Target="https://www.youtube.com/watch?v=jZhrwfp-dV8" TargetMode="External"/><Relationship Id="rId280" Type="http://schemas.openxmlformats.org/officeDocument/2006/relationships/hyperlink" Target="https://gld.legislaturacba.gob.ar/Publics/Actas.aspx?id=K6CYXQ9mI7U=" TargetMode="External"/><Relationship Id="rId140" Type="http://schemas.openxmlformats.org/officeDocument/2006/relationships/hyperlink" Target="https://gld.legislaturacba.gob.ar/Publics/Actas.aspx?id=f0JBO8UM84U=" TargetMode="External"/><Relationship Id="rId378" Type="http://schemas.openxmlformats.org/officeDocument/2006/relationships/hyperlink" Target="https://www.youtube.com/watch?v=1agIyMT9ALs" TargetMode="External"/><Relationship Id="rId585" Type="http://schemas.openxmlformats.org/officeDocument/2006/relationships/hyperlink" Target="https://gld.legislaturacba.gob.ar/Publics/Actas.aspx?id=E2VMdAENyZg=" TargetMode="External"/><Relationship Id="rId792" Type="http://schemas.openxmlformats.org/officeDocument/2006/relationships/hyperlink" Target="https://gld.legislaturacba.gob.ar/Publics/Actas.aspx?id=-tO-u9tCG5I=;https://gld.legislaturacba.gob.ar/Publics/Actas.aspx?id=xri-dUzY9rE=;https://gld.legislaturacba.gob.ar/Publics/Actas.aspx?id=uQ-J89ED0Rg=" TargetMode="External"/><Relationship Id="rId2059" Type="http://schemas.openxmlformats.org/officeDocument/2006/relationships/hyperlink" Target="https://www.youtube.com/watch?v=ZHvaRIWNx1A" TargetMode="External"/><Relationship Id="rId6" Type="http://schemas.openxmlformats.org/officeDocument/2006/relationships/hyperlink" Target="https://gld.legislaturacba.gob.ar/Publics/Actas.aspx?id=RVqlQS6cGV4=" TargetMode="External"/><Relationship Id="rId238" Type="http://schemas.openxmlformats.org/officeDocument/2006/relationships/hyperlink" Target="https://www.youtube.com/watch?v=ILEuuchUnMw" TargetMode="External"/><Relationship Id="rId445" Type="http://schemas.openxmlformats.org/officeDocument/2006/relationships/hyperlink" Targe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52" Type="http://schemas.openxmlformats.org/officeDocument/2006/relationships/hyperlink" Targe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5" Type="http://schemas.openxmlformats.org/officeDocument/2006/relationships/hyperlink" Target="https://www.youtube.com/watch?v=0EVza5T55BY" TargetMode="External"/><Relationship Id="rId1282" Type="http://schemas.openxmlformats.org/officeDocument/2006/relationships/hyperlink" Target="https://gld.legislaturacba.gob.ar/Publics/Actas.aspx?id=4faQmedo_qM=;https://gld.legislaturacba.gob.ar/Publics/Actas.aspx?id=LSS08cIqf3Q=;https://gld.legislaturacba.gob.ar/Publics/Actas.aspx?id=zogP2NPMbs0=;https://gld.legislaturacba.gob.ar/Publics/Actas.aspx?id=qmw-ZpsrreU=" TargetMode="External"/><Relationship Id="rId2126" Type="http://schemas.openxmlformats.org/officeDocument/2006/relationships/hyperlink" Target="https://www.youtube.com/watch?v=aMhIlX3dwVU" TargetMode="External"/><Relationship Id="rId305" Type="http://schemas.openxmlformats.org/officeDocument/2006/relationships/hyperlink" Target="https://gld.legislaturacba.gob.ar/Publics/Actas.aspx?id=i-QcwcG44qA=" TargetMode="External"/><Relationship Id="rId512" Type="http://schemas.openxmlformats.org/officeDocument/2006/relationships/hyperlink" Targe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7" Type="http://schemas.openxmlformats.org/officeDocument/2006/relationships/hyperlink" Target="https://www.youtube.com/watch?v=5LsFxiL_y4g" TargetMode="External"/><Relationship Id="rId1142" Type="http://schemas.openxmlformats.org/officeDocument/2006/relationships/hyperlink" Targe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87" Type="http://schemas.openxmlformats.org/officeDocument/2006/relationships/hyperlink" Targe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TargetMode="External"/><Relationship Id="rId1794" Type="http://schemas.openxmlformats.org/officeDocument/2006/relationships/hyperlink" Target="https://gld.legislaturacba.gob.ar/Publics/Actas.aspx?id=dktoq6sh_3A=" TargetMode="External"/><Relationship Id="rId86" Type="http://schemas.openxmlformats.org/officeDocument/2006/relationships/hyperlink" Targe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17" Type="http://schemas.openxmlformats.org/officeDocument/2006/relationships/hyperlink" Target="https://www.youtube.com/watch?v=tXGIgKFQmBU" TargetMode="External"/><Relationship Id="rId1002" Type="http://schemas.openxmlformats.org/officeDocument/2006/relationships/hyperlink" Target="https://www.youtube.com/watch?v=gUh1hjf8RO4" TargetMode="External"/><Relationship Id="rId1447" Type="http://schemas.openxmlformats.org/officeDocument/2006/relationships/hyperlink" Target="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54" Type="http://schemas.openxmlformats.org/officeDocument/2006/relationships/hyperlink" Target="https://www.youtube.com/watch?v=GJ34d8N-1X4" TargetMode="External"/><Relationship Id="rId1861" Type="http://schemas.openxmlformats.org/officeDocument/2006/relationships/hyperlink" Target="https://gld.legislaturacba.gob.ar/Publics/Actas.aspx?id=Mk08PToRx0g=;https://gld.legislaturacba.gob.ar/Publics/Actas.aspx?id=lrBbScnVL1E=;https://gld.legislaturacba.gob.ar/Publics/Actas.aspx?id=Mk08PToRx0g=" TargetMode="External"/><Relationship Id="rId1307" Type="http://schemas.openxmlformats.org/officeDocument/2006/relationships/hyperlink" Targe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14" Type="http://schemas.openxmlformats.org/officeDocument/2006/relationships/hyperlink" Target="https://www.youtube.com/watch?v=uLsUzWGnqCc" TargetMode="External"/><Relationship Id="rId1721" Type="http://schemas.openxmlformats.org/officeDocument/2006/relationships/hyperlink" Targe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9" Type="http://schemas.openxmlformats.org/officeDocument/2006/relationships/hyperlink" Target="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3" Type="http://schemas.openxmlformats.org/officeDocument/2006/relationships/hyperlink" Target="https://gld.legislaturacba.gob.ar/Publics/Actas.aspx?id=r1pdSVzNQnk=" TargetMode="External"/><Relationship Id="rId1819" Type="http://schemas.openxmlformats.org/officeDocument/2006/relationships/hyperlink" Target="https://gld.legislaturacba.gob.ar/Publics/Actas.aspx?id=uFx4CgbAQ7s=" TargetMode="External"/><Relationship Id="rId162" Type="http://schemas.openxmlformats.org/officeDocument/2006/relationships/hyperlink" Targe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7" Type="http://schemas.openxmlformats.org/officeDocument/2006/relationships/hyperlink" Target="https://www.youtube.com/watch?v=79hjkY3rQXY" TargetMode="External"/><Relationship Id="rId1097" Type="http://schemas.openxmlformats.org/officeDocument/2006/relationships/hyperlink" Targe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50" Type="http://schemas.openxmlformats.org/officeDocument/2006/relationships/hyperlink" Target="https://gld.legislaturacba.gob.ar/Publics/Actas.aspx?id=JogCi8832KI=;https://gld.legislaturacba.gob.ar/Publics/Actas.aspx?id=GR2UAU6hhcM=;https://gld.legislaturacba.gob.ar/Publics/Actas.aspx?id=RHHlKix1G3Q=" TargetMode="External"/><Relationship Id="rId674" Type="http://schemas.openxmlformats.org/officeDocument/2006/relationships/hyperlink" Target="https://gld.legislaturacba.gob.ar/Publics/Actas.aspx?id=yKYIKW8GehA=" TargetMode="External"/><Relationship Id="rId881" Type="http://schemas.openxmlformats.org/officeDocument/2006/relationships/hyperlink" Target="https://gld.legislaturacba.gob.ar/Publics/Actas.aspx?id=Q4eyR8Wa4JM=" TargetMode="External"/><Relationship Id="rId979" Type="http://schemas.openxmlformats.org/officeDocument/2006/relationships/hyperlink" Targe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27" Type="http://schemas.openxmlformats.org/officeDocument/2006/relationships/hyperlink" Target="https://gld.legislaturacba.gob.ar/Publics/Actas.aspx?id=JGIGmQKoAic=" TargetMode="External"/><Relationship Id="rId534" Type="http://schemas.openxmlformats.org/officeDocument/2006/relationships/hyperlink" Target="https://www.youtube.com/watch?v=ewowi9uoS6k" TargetMode="External"/><Relationship Id="rId741" Type="http://schemas.openxmlformats.org/officeDocument/2006/relationships/hyperlink" Target="https://gld.legislaturacba.gob.ar/Publics/Actas.aspx?id=0v2KYbzPpfE=" TargetMode="External"/><Relationship Id="rId839" Type="http://schemas.openxmlformats.org/officeDocument/2006/relationships/hyperlink" Target="https://gld.legislaturacba.gob.ar/Publics/Actas.aspx?id=CisuF8bNJ_Q=" TargetMode="External"/><Relationship Id="rId1164" Type="http://schemas.openxmlformats.org/officeDocument/2006/relationships/hyperlink" Target="https://gld.legislaturacba.gob.ar/Publics/Actas.aspx?id=CG-k-1Uqe4Q=;https://gld.legislaturacba.gob.ar/Publics/Actas.aspx?id=GW8yv50WBSU=;https://gld.legislaturacba.gob.ar/Publics/Actas.aspx?id=fVD_iwIdhEE=" TargetMode="External"/><Relationship Id="rId1371" Type="http://schemas.openxmlformats.org/officeDocument/2006/relationships/hyperlink" Target="https://gld.legislaturacba.gob.ar/Publics/Actas.aspx?id=ZByNTvKZ5ao=;https://gld.legislaturacba.gob.ar/Publics/Actas.aspx?id=F9JwTZE2cnI=" TargetMode="External"/><Relationship Id="rId1469" Type="http://schemas.openxmlformats.org/officeDocument/2006/relationships/hyperlink" Target="https://gld.legislaturacba.gob.ar/Publics/Actas.aspx?id=QIo0FygDkaU=" TargetMode="External"/><Relationship Id="rId2008" Type="http://schemas.openxmlformats.org/officeDocument/2006/relationships/hyperlink" Target="https://www.youtube.com/watch?v=klPnxClitwc" TargetMode="External"/><Relationship Id="rId601" Type="http://schemas.openxmlformats.org/officeDocument/2006/relationships/hyperlink" Target="https://www.youtube.com/watch?v=7ad0nBIg_vQ" TargetMode="External"/><Relationship Id="rId1024" Type="http://schemas.openxmlformats.org/officeDocument/2006/relationships/hyperlink" Target="https://gld.legislaturacba.gob.ar/Publics/Actas.aspx?id=1r0Q75d_onI=" TargetMode="External"/><Relationship Id="rId1231" Type="http://schemas.openxmlformats.org/officeDocument/2006/relationships/hyperlink" Targe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676" Type="http://schemas.openxmlformats.org/officeDocument/2006/relationships/hyperlink" Target="https://gld.legislaturacba.gob.ar/Publics/Actas.aspx?id=GSwZbLGLyUg=" TargetMode="External"/><Relationship Id="rId1883" Type="http://schemas.openxmlformats.org/officeDocument/2006/relationships/hyperlink" Target="https://www.youtube.com/watch?v=O4sN6vpiaaA" TargetMode="External"/><Relationship Id="rId906" Type="http://schemas.openxmlformats.org/officeDocument/2006/relationships/hyperlink" Targe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9" Type="http://schemas.openxmlformats.org/officeDocument/2006/relationships/hyperlink" Target="https://gld.legislaturacba.gob.ar/Publics/Actas.aspx?id=IOJBEyo2tgo=;https://gld.legislaturacba.gob.ar/Publics/Actas.aspx?id=kQTTtivnsCI=" TargetMode="External"/><Relationship Id="rId1536" Type="http://schemas.openxmlformats.org/officeDocument/2006/relationships/hyperlink" Target="https://gld.legislaturacba.gob.ar/Publics/Actas.aspx?id=5gKiJRUoh9A=" TargetMode="External"/><Relationship Id="rId1743" Type="http://schemas.openxmlformats.org/officeDocument/2006/relationships/hyperlink" Target="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0" Type="http://schemas.openxmlformats.org/officeDocument/2006/relationships/hyperlink" Target="https://gld.legislaturacba.gob.ar/Publics/Actas.aspx?id=dZ7dhF731Fc=" TargetMode="External"/><Relationship Id="rId35" Type="http://schemas.openxmlformats.org/officeDocument/2006/relationships/hyperlink" Targe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3" Type="http://schemas.openxmlformats.org/officeDocument/2006/relationships/hyperlink" Target="https://www.youtube.com/watch?v=QlasozFmDPU" TargetMode="External"/><Relationship Id="rId1810" Type="http://schemas.openxmlformats.org/officeDocument/2006/relationships/hyperlink" Target="https://gld.legislaturacba.gob.ar/Publics/Actas.aspx?id=PWPQHaKv77c=" TargetMode="External"/><Relationship Id="rId184" Type="http://schemas.openxmlformats.org/officeDocument/2006/relationships/hyperlink" Target="https://gld.legislaturacba.gob.ar/Publics/Actas.aspx?id=ExNm1jSkjic=" TargetMode="External"/><Relationship Id="rId391" Type="http://schemas.openxmlformats.org/officeDocument/2006/relationships/hyperlink" Target="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08" Type="http://schemas.openxmlformats.org/officeDocument/2006/relationships/hyperlink" Target="https://www.youtube.com/watch?v=608SwmAWfrs" TargetMode="External"/><Relationship Id="rId2072" Type="http://schemas.openxmlformats.org/officeDocument/2006/relationships/hyperlink" Target="https://www.youtube.com/watch?v=uYDcJ3nX-Lw" TargetMode="External"/><Relationship Id="rId251" Type="http://schemas.openxmlformats.org/officeDocument/2006/relationships/hyperlink" Targe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9" Type="http://schemas.openxmlformats.org/officeDocument/2006/relationships/hyperlink" Targe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6" Type="http://schemas.openxmlformats.org/officeDocument/2006/relationships/hyperlink" Targe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349" Type="http://schemas.openxmlformats.org/officeDocument/2006/relationships/hyperlink" Target="https://www.youtube.com/watch?v=t2NCVhlsLZ4" TargetMode="External"/><Relationship Id="rId556" Type="http://schemas.openxmlformats.org/officeDocument/2006/relationships/hyperlink" Targe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TargetMode="External"/><Relationship Id="rId763"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6" Type="http://schemas.openxmlformats.org/officeDocument/2006/relationships/hyperlink" Target="https://www.youtube.com/watch?v=j6uXeNk6Dt4" TargetMode="External"/><Relationship Id="rId1393" Type="http://schemas.openxmlformats.org/officeDocument/2006/relationships/hyperlink" Target="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1" Type="http://schemas.openxmlformats.org/officeDocument/2006/relationships/hyperlink" Target="https://gld.legislaturacba.gob.ar/Publics/Actas.aspx?id=oEuuZUfnAtw=;https://gld.legislaturacba.gob.ar/Publics/Actas.aspx?id=4RVXc8Iwp_w=" TargetMode="External"/><Relationship Id="rId209" Type="http://schemas.openxmlformats.org/officeDocument/2006/relationships/hyperlink" Target="https://www.youtube.com/watch?v=RjL2cgpjhY0" TargetMode="External"/><Relationship Id="rId416" Type="http://schemas.openxmlformats.org/officeDocument/2006/relationships/hyperlink" Targe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0" Type="http://schemas.openxmlformats.org/officeDocument/2006/relationships/hyperlink" Targe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6" Type="http://schemas.openxmlformats.org/officeDocument/2006/relationships/hyperlink" Targe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53" Type="http://schemas.openxmlformats.org/officeDocument/2006/relationships/hyperlink" Target="https://www.youtube.com/watch?v=E9NU4IJ3MWY" TargetMode="External"/><Relationship Id="rId1698" Type="http://schemas.openxmlformats.org/officeDocument/2006/relationships/hyperlink" Target="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3" Type="http://schemas.openxmlformats.org/officeDocument/2006/relationships/hyperlink" Target="https://gld.legislaturacba.gob.ar/Publics/Actas.aspx?id=y05J9ZCKxwU=" TargetMode="External"/><Relationship Id="rId830" Type="http://schemas.openxmlformats.org/officeDocument/2006/relationships/hyperlink" Target="https://gld.legislaturacba.gob.ar/Publics/Actas.aspx?id=QmOQjDADpv8=" TargetMode="External"/><Relationship Id="rId928" Type="http://schemas.openxmlformats.org/officeDocument/2006/relationships/hyperlink" Target="https://www.youtube.com/watch?v=cv4LL6LJwr0" TargetMode="External"/><Relationship Id="rId1460" Type="http://schemas.openxmlformats.org/officeDocument/2006/relationships/hyperlink" Target="https://www.youtube.com/watch?v=HRXsVaI01v8" TargetMode="External"/><Relationship Id="rId1558" Type="http://schemas.openxmlformats.org/officeDocument/2006/relationships/hyperlink" Targe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TargetMode="External"/><Relationship Id="rId1765" Type="http://schemas.openxmlformats.org/officeDocument/2006/relationships/hyperlink" Target="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57" Type="http://schemas.openxmlformats.org/officeDocument/2006/relationships/hyperlink" Target="https://www.youtube.com/watch?v=AWkJOiQ1eXY" TargetMode="External"/><Relationship Id="rId1113" Type="http://schemas.openxmlformats.org/officeDocument/2006/relationships/hyperlink" Target="https://gld.legislaturacba.gob.ar/Publics/Actas.aspx?id=rW1rylYtXNA=;https://gld.legislaturacba.gob.ar/Publics/Actas.aspx?id=qXz5meCh4cc=" TargetMode="External"/><Relationship Id="rId1320" Type="http://schemas.openxmlformats.org/officeDocument/2006/relationships/hyperlink" Target="https://gld.legislaturacba.gob.ar/Publics/Actas.aspx?id=_IAMwlVivao=;https://gld.legislaturacba.gob.ar/Publics/Actas.aspx?id=RPOkn2gov8U=" TargetMode="External"/><Relationship Id="rId1418" Type="http://schemas.openxmlformats.org/officeDocument/2006/relationships/hyperlink" Target="https://www.youtube.com/watch?v=FRry8NuePeQ" TargetMode="External"/><Relationship Id="rId1972" Type="http://schemas.openxmlformats.org/officeDocument/2006/relationships/hyperlink" Target="https://www.youtube.com/watch?v=tMptCfzJO3w" TargetMode="External"/><Relationship Id="rId1625" Type="http://schemas.openxmlformats.org/officeDocument/2006/relationships/hyperlink" Target="https://gld.legislaturacba.gob.ar/Publics/Actas.aspx?id=yZM8oiIEy0k=" TargetMode="External"/><Relationship Id="rId1832" Type="http://schemas.openxmlformats.org/officeDocument/2006/relationships/hyperlink" Target="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2094" Type="http://schemas.openxmlformats.org/officeDocument/2006/relationships/hyperlink" Target="https://www.youtube.com/watch?v=7GRY1HLT-ic" TargetMode="External"/><Relationship Id="rId273" Type="http://schemas.openxmlformats.org/officeDocument/2006/relationships/hyperlink" Targe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0" Type="http://schemas.openxmlformats.org/officeDocument/2006/relationships/hyperlink" Targe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3" Type="http://schemas.openxmlformats.org/officeDocument/2006/relationships/hyperlink" Target="https://www.youtube.com/watch?v=kUFP9SN9sTU" TargetMode="External"/><Relationship Id="rId340" Type="http://schemas.openxmlformats.org/officeDocument/2006/relationships/hyperlink" Targe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8" Type="http://schemas.openxmlformats.org/officeDocument/2006/relationships/hyperlink" Target="https://www.youtube.com/watch?v=CESEC-eZuKM" TargetMode="External"/><Relationship Id="rId785" Type="http://schemas.openxmlformats.org/officeDocument/2006/relationships/hyperlink" Target="https://www.youtube.com/watch?v=8hyanCgu1A0" TargetMode="External"/><Relationship Id="rId992" Type="http://schemas.openxmlformats.org/officeDocument/2006/relationships/hyperlink" Target="https://gld.legislaturacba.gob.ar/Publics/Actas.aspx?id=21vQB_UnUHg=;https://gld.legislaturacba.gob.ar/Publics/Actas.aspx?id=6lIWWol7bmI=" TargetMode="External"/><Relationship Id="rId2021" Type="http://schemas.openxmlformats.org/officeDocument/2006/relationships/hyperlink" Target="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00" Type="http://schemas.openxmlformats.org/officeDocument/2006/relationships/hyperlink" Target="https://gld.legislaturacba.gob.ar/Publics/Actas.aspx?id=FjNTYTG40Ko=" TargetMode="External"/><Relationship Id="rId438" Type="http://schemas.openxmlformats.org/officeDocument/2006/relationships/hyperlink" Target="https://gld.legislaturacba.gob.ar/Publics/Actas.aspx?id=PrNgFh9d6ko=" TargetMode="External"/><Relationship Id="rId645" Type="http://schemas.openxmlformats.org/officeDocument/2006/relationships/hyperlink" Target="https://gld.legislaturacba.gob.ar/Publics/Actas.aspx?id=Jnoj4bytPrQ=" TargetMode="External"/><Relationship Id="rId852" Type="http://schemas.openxmlformats.org/officeDocument/2006/relationships/hyperlink" Targe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68" Type="http://schemas.openxmlformats.org/officeDocument/2006/relationships/hyperlink" Targe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75" Type="http://schemas.openxmlformats.org/officeDocument/2006/relationships/hyperlink" Target="https://www.youtube.com/watch?v=gFv7xWp2ZZA" TargetMode="External"/><Relationship Id="rId1482" Type="http://schemas.openxmlformats.org/officeDocument/2006/relationships/hyperlink" Target="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119" Type="http://schemas.openxmlformats.org/officeDocument/2006/relationships/hyperlink" Target="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05" Type="http://schemas.openxmlformats.org/officeDocument/2006/relationships/hyperlink" Target="https://www.youtube.com/watch?v=wylVSPTKQSE" TargetMode="External"/><Relationship Id="rId712" Type="http://schemas.openxmlformats.org/officeDocument/2006/relationships/hyperlink" Target="https://www.youtube.com/watch?v=oHVVJSN4cpc" TargetMode="External"/><Relationship Id="rId1135" Type="http://schemas.openxmlformats.org/officeDocument/2006/relationships/hyperlink" Target="https://gld.legislaturacba.gob.ar/Publics/Actas.aspx?id=IYlSty09jVY=;https://gld.legislaturacba.gob.ar/Publics/Actas.aspx?id=V8vjjqFYawQ=;https://gld.legislaturacba.gob.ar/Publics/Actas.aspx?id=1ZJ67PB5bdg=" TargetMode="External"/><Relationship Id="rId1342" Type="http://schemas.openxmlformats.org/officeDocument/2006/relationships/hyperlink" Targe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87" Type="http://schemas.openxmlformats.org/officeDocument/2006/relationships/hyperlink" Target="https://www.youtube.com/watch?v=Qdy0hq-8z1E" TargetMode="External"/><Relationship Id="rId1994" Type="http://schemas.openxmlformats.org/officeDocument/2006/relationships/hyperlink" Target="https://www.youtube.com/watch?v=uBmUm4iU7K0" TargetMode="External"/><Relationship Id="rId79" Type="http://schemas.openxmlformats.org/officeDocument/2006/relationships/hyperlink" Target="https://www.youtube.com/watch?v=aL7VO4R-0B0&amp;t=782s" TargetMode="External"/><Relationship Id="rId1202" Type="http://schemas.openxmlformats.org/officeDocument/2006/relationships/hyperlink" Target="https://www.youtube.com/watch?v=FjWWIxeW0L8" TargetMode="External"/><Relationship Id="rId1647" Type="http://schemas.openxmlformats.org/officeDocument/2006/relationships/hyperlink" Target="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54" Type="http://schemas.openxmlformats.org/officeDocument/2006/relationships/hyperlink" Target="https://www.youtube.com/watch?v=YALrkPtCwqw" TargetMode="External"/><Relationship Id="rId1507" Type="http://schemas.openxmlformats.org/officeDocument/2006/relationships/hyperlink" Target="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14" Type="http://schemas.openxmlformats.org/officeDocument/2006/relationships/hyperlink" Target="https://www.youtube.com/watch?v=QSUCghIEIkU" TargetMode="External"/><Relationship Id="rId295" Type="http://schemas.openxmlformats.org/officeDocument/2006/relationships/hyperlink" Targe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21" Type="http://schemas.openxmlformats.org/officeDocument/2006/relationships/hyperlink" Target="https://gld.legislaturacba.gob.ar/Publics/Actas.aspx?id=A6oGqZj-pg0=" TargetMode="External"/><Relationship Id="rId155" Type="http://schemas.openxmlformats.org/officeDocument/2006/relationships/hyperlink" Target="https://www.youtube.com/watch?v=z5fsoDIIb_0" TargetMode="External"/><Relationship Id="rId362" Type="http://schemas.openxmlformats.org/officeDocument/2006/relationships/hyperlink" Target="https://gld.legislaturacba.gob.ar/Publics/Actas.aspx?id=DZTzji7wweg=" TargetMode="External"/><Relationship Id="rId1297" Type="http://schemas.openxmlformats.org/officeDocument/2006/relationships/hyperlink" Target="https://gld.legislaturacba.gob.ar/Publics/Actas.aspx?id=BNnqYyqpa68=;https://gld.legislaturacba.gob.ar/Publics/Actas.aspx?id=8zlvkhnbYr8=" TargetMode="External"/><Relationship Id="rId2043" Type="http://schemas.openxmlformats.org/officeDocument/2006/relationships/hyperlink" Target="https://gld.legislaturacba.gob.ar/Publics/Actas.aspx?id=wzMmH5wG9FA=" TargetMode="External"/><Relationship Id="rId222" Type="http://schemas.openxmlformats.org/officeDocument/2006/relationships/hyperlink" Targe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7" Type="http://schemas.openxmlformats.org/officeDocument/2006/relationships/hyperlink" Targe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4" Type="http://schemas.openxmlformats.org/officeDocument/2006/relationships/hyperlink" Target="https://www.youtube.com/watch?v=zxgQj20ydWs" TargetMode="External"/><Relationship Id="rId2110" Type="http://schemas.openxmlformats.org/officeDocument/2006/relationships/hyperlink" Target="https://www.youtube.com/watch?v=mxzmjGCbTCo" TargetMode="External"/><Relationship Id="rId527" Type="http://schemas.openxmlformats.org/officeDocument/2006/relationships/hyperlink" Target="https://gld.legislaturacba.gob.ar/Publics/Actas.aspx?id=tlx7Doiixrk=;https://gld.legislaturacba.gob.ar/Publics/Actas.aspx?id=GCjgcJ3yoJ4=" TargetMode="External"/><Relationship Id="rId734" Type="http://schemas.openxmlformats.org/officeDocument/2006/relationships/hyperlink" Target="https://gld.legislaturacba.gob.ar/Publics/Actas.aspx?id=vfiXeZ2GdVo=;https://gld.legislaturacba.gob.ar/Publics/Actas.aspx?id=l9FxfYHVEAM=" TargetMode="External"/><Relationship Id="rId941" Type="http://schemas.openxmlformats.org/officeDocument/2006/relationships/hyperlink" Targe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57" Type="http://schemas.openxmlformats.org/officeDocument/2006/relationships/hyperlink" Target="https://www.youtube.com/watch?v=7EZqjW_hsb8" TargetMode="External"/><Relationship Id="rId1364" Type="http://schemas.openxmlformats.org/officeDocument/2006/relationships/hyperlink" Target="https://www.youtube.com/watch?v=RA1IQw5hEVU" TargetMode="External"/><Relationship Id="rId1571" Type="http://schemas.openxmlformats.org/officeDocument/2006/relationships/hyperlink" Target="https://www.youtube.com/watch?v=gsJ0xDA4uNA" TargetMode="External"/><Relationship Id="rId70" Type="http://schemas.openxmlformats.org/officeDocument/2006/relationships/hyperlink" Target="https://gld.legislaturacba.gob.ar/Publics/Actas.aspx?id=EXfKU0xc7rc=" TargetMode="External"/><Relationship Id="rId801" Type="http://schemas.openxmlformats.org/officeDocument/2006/relationships/hyperlink" Target="https://gld.legislaturacba.gob.ar/Publics/Actas.aspx?id=UyVHJe5Ma78=" TargetMode="External"/><Relationship Id="rId1017" Type="http://schemas.openxmlformats.org/officeDocument/2006/relationships/hyperlink" Targe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24" Type="http://schemas.openxmlformats.org/officeDocument/2006/relationships/hyperlink" Target="https://gld.legislaturacba.gob.ar/Publics/Actas.aspx?id=jOjBdY6r1gQ=;https://gld.legislaturacba.gob.ar/Publics/Actas.aspx?id=VHaKBpy7Q7U=" TargetMode="External"/><Relationship Id="rId1431" Type="http://schemas.openxmlformats.org/officeDocument/2006/relationships/hyperlink" Target="https://gld.legislaturacba.gob.ar/Publics/Actas.aspx?id=WRx8XypJhuY=;https://gld.legislaturacba.gob.ar/Publics/Actas.aspx?id=BRQ3pxgfcqo=" TargetMode="External"/><Relationship Id="rId1669" Type="http://schemas.openxmlformats.org/officeDocument/2006/relationships/hyperlink" Target="https://www.youtube.com/watch?v=GAn3lentJVw" TargetMode="External"/><Relationship Id="rId1876" Type="http://schemas.openxmlformats.org/officeDocument/2006/relationships/hyperlink" Target="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29" Type="http://schemas.openxmlformats.org/officeDocument/2006/relationships/hyperlink" Target="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36" Type="http://schemas.openxmlformats.org/officeDocument/2006/relationships/hyperlink" Target="https://gld.legislaturacba.gob.ar/Publics/Actas.aspx?id=OGqfME3idG4=" TargetMode="External"/><Relationship Id="rId1943" Type="http://schemas.openxmlformats.org/officeDocument/2006/relationships/hyperlink" Target="https://www.youtube.com/watch?v=LOEISRMcIaE" TargetMode="External"/><Relationship Id="rId28" Type="http://schemas.openxmlformats.org/officeDocument/2006/relationships/hyperlink" Target="https://gld.legislaturacba.gob.ar/Publics/Actas.aspx?id=zAIADgRNzXs=" TargetMode="External"/><Relationship Id="rId1803" Type="http://schemas.openxmlformats.org/officeDocument/2006/relationships/hyperlink" Target="https://gld.legislaturacba.gob.ar/Publics/Actas.aspx?id=T-RA1y7D3Ww=" TargetMode="External"/><Relationship Id="rId177" Type="http://schemas.openxmlformats.org/officeDocument/2006/relationships/hyperlink" Target="https://www.youtube.com/watch?v=l3hml7StaKU" TargetMode="External"/><Relationship Id="rId384" Type="http://schemas.openxmlformats.org/officeDocument/2006/relationships/hyperlink" Target="https://www.youtube.com/watch?v=ptLTcEVcM84" TargetMode="External"/><Relationship Id="rId591" Type="http://schemas.openxmlformats.org/officeDocument/2006/relationships/hyperlink" Targe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65" Type="http://schemas.openxmlformats.org/officeDocument/2006/relationships/hyperlink" Target="https://www.youtube.com/watch?v=-ZPNsYFFtjc" TargetMode="External"/><Relationship Id="rId244" Type="http://schemas.openxmlformats.org/officeDocument/2006/relationships/hyperlink" Target="https://gld.legislaturacba.gob.ar/Publics/Actas.aspx?id=_6jqoXJBmsU=" TargetMode="External"/><Relationship Id="rId689" Type="http://schemas.openxmlformats.org/officeDocument/2006/relationships/hyperlink" Target="https://gld.legislaturacba.gob.ar/Publics/Actas.aspx?id=PqyYEfC4BkY=" TargetMode="External"/><Relationship Id="rId896" Type="http://schemas.openxmlformats.org/officeDocument/2006/relationships/hyperlink" Target="https://gld.legislaturacba.gob.ar/Publics/Actas.aspx?id=OzkubSl0BBM=;https://gld.legislaturacba.gob.ar/Publics/Actas.aspx?id=oqGD5vZovfA=" TargetMode="External"/><Relationship Id="rId1081" Type="http://schemas.openxmlformats.org/officeDocument/2006/relationships/hyperlink" Target="https://gld.legislaturacba.gob.ar/Publics/Actas.aspx?id=G1v1KJEXDcU=" TargetMode="External"/><Relationship Id="rId451" Type="http://schemas.openxmlformats.org/officeDocument/2006/relationships/hyperlink" Target="https://gld.legislaturacba.gob.ar/Publics/Actas.aspx?id=BP1XifldLe0=;https://gld.legislaturacba.gob.ar/Publics/Actas.aspx?id=Dn4S321keFY=" TargetMode="External"/><Relationship Id="rId549" Type="http://schemas.openxmlformats.org/officeDocument/2006/relationships/hyperlink" Target="https://gld.legislaturacba.gob.ar/Publics/Actas.aspx?id=-ckAifYRhWI=;https://gld.legislaturacba.gob.ar/Publics/Actas.aspx?id=VkTCxJ5-Ru4=" TargetMode="External"/><Relationship Id="rId756" Type="http://schemas.openxmlformats.org/officeDocument/2006/relationships/hyperlink" Target="https://gld.legislaturacba.gob.ar/Publics/Actas.aspx?id=EDJLlBoIzZA=" TargetMode="External"/><Relationship Id="rId1179" Type="http://schemas.openxmlformats.org/officeDocument/2006/relationships/hyperlink" Targe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6" Type="http://schemas.openxmlformats.org/officeDocument/2006/relationships/hyperlink" Target="https://gld.legislaturacba.gob.ar/Publics/Actas.aspx?id=siL8zYfnNSc=" TargetMode="External"/><Relationship Id="rId1593" Type="http://schemas.openxmlformats.org/officeDocument/2006/relationships/hyperlink" Targe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TargetMode="External"/><Relationship Id="rId104" Type="http://schemas.openxmlformats.org/officeDocument/2006/relationships/hyperlink" Target="https://gld.legislaturacba.gob.ar/Publics/Actas.aspx?id=CWofJDIRJh0=" TargetMode="External"/><Relationship Id="rId311" Type="http://schemas.openxmlformats.org/officeDocument/2006/relationships/hyperlink" Target="https://www.youtube.com/watch?v=ACHEZpNSiC8" TargetMode="External"/><Relationship Id="rId409" Type="http://schemas.openxmlformats.org/officeDocument/2006/relationships/hyperlink" Targe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63" Type="http://schemas.openxmlformats.org/officeDocument/2006/relationships/hyperlink" Target="https://gld.legislaturacba.gob.ar/Publics/Actas.aspx?id=ckHHJVdWA98=" TargetMode="External"/><Relationship Id="rId1039" Type="http://schemas.openxmlformats.org/officeDocument/2006/relationships/hyperlink" Target="https://gld.legislaturacba.gob.ar/Publics/Actas.aspx?id=PJhlRlUBtNs=" TargetMode="External"/><Relationship Id="rId1246" Type="http://schemas.openxmlformats.org/officeDocument/2006/relationships/hyperlink" Targe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98" Type="http://schemas.openxmlformats.org/officeDocument/2006/relationships/hyperlink" Target="https://gld.legislaturacba.gob.ar/Publics/Actas.aspx?id=0El0RZAZIwA=" TargetMode="External"/><Relationship Id="rId92" Type="http://schemas.openxmlformats.org/officeDocument/2006/relationships/hyperlink" Target="https://gld.legislaturacba.gob.ar/Publics/Actas.aspx?id=adSWnGOJjr0=" TargetMode="External"/><Relationship Id="rId616" Type="http://schemas.openxmlformats.org/officeDocument/2006/relationships/hyperlink" Target="https://www.youtube.com/watch?v=7yFqQWm_lvw" TargetMode="External"/><Relationship Id="rId823" Type="http://schemas.openxmlformats.org/officeDocument/2006/relationships/hyperlink" Target="https://www.youtube.com/watch?v=8hmDJuMvLhI" TargetMode="External"/><Relationship Id="rId1453" Type="http://schemas.openxmlformats.org/officeDocument/2006/relationships/hyperlink" Target="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60" Type="http://schemas.openxmlformats.org/officeDocument/2006/relationships/hyperlink" Target="https://www.youtube.com/watch?v=icnPbW1bkRA" TargetMode="External"/><Relationship Id="rId1758" Type="http://schemas.openxmlformats.org/officeDocument/2006/relationships/hyperlink" Target="https://www.youtube.com/watch?v=GcydzqM2hA8" TargetMode="External"/><Relationship Id="rId1106" Type="http://schemas.openxmlformats.org/officeDocument/2006/relationships/hyperlink" Target="https://www.youtube.com/watch?v=ggJ8_X2pdVw" TargetMode="External"/><Relationship Id="rId1313" Type="http://schemas.openxmlformats.org/officeDocument/2006/relationships/hyperlink" Target="https://www.youtube.com/watch?v=3n5fA_YwBoM" TargetMode="External"/><Relationship Id="rId1520" Type="http://schemas.openxmlformats.org/officeDocument/2006/relationships/hyperlink" Target="https://www.youtube.com/watch?v=ft2Pq_W4BzI" TargetMode="External"/><Relationship Id="rId1965" Type="http://schemas.openxmlformats.org/officeDocument/2006/relationships/hyperlink" Target="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618" Type="http://schemas.openxmlformats.org/officeDocument/2006/relationships/hyperlink" Target="https://gld.legislaturacba.gob.ar/Publics/Actas.aspx?id=FMAKmNMpYNY=;https://gld.legislaturacba.gob.ar/Publics/Actas.aspx?id=dqweA0L4Qfo=" TargetMode="External"/><Relationship Id="rId1825" Type="http://schemas.openxmlformats.org/officeDocument/2006/relationships/hyperlink" Target="https://gld.legislaturacba.gob.ar/Publics/Actas.aspx?id=77akFJ2p7bc=" TargetMode="External"/><Relationship Id="rId199" Type="http://schemas.openxmlformats.org/officeDocument/2006/relationships/hyperlink" Target="https://www.youtube.com/watch?v=RjL2cgpjhY0" TargetMode="External"/><Relationship Id="rId2087" Type="http://schemas.openxmlformats.org/officeDocument/2006/relationships/hyperlink" Target="https://gld.legislaturacba.gob.ar/Publics/Actas.aspx?id=2pyGhT8Y67Y=" TargetMode="External"/><Relationship Id="rId266" Type="http://schemas.openxmlformats.org/officeDocument/2006/relationships/hyperlink" Target="https://gld.legislaturacba.gob.ar/Publics/Actas.aspx?id=pKtkb6NnWRI=" TargetMode="External"/><Relationship Id="rId473" Type="http://schemas.openxmlformats.org/officeDocument/2006/relationships/hyperlink" Target="https://gld.legislaturacba.gob.ar/Publics/Actas.aspx?id=2eNCdt31xww=;https://gld.legislaturacba.gob.ar/Publics/Actas.aspx?id=tps85x5vD3M=;https://gld.legislaturacba.gob.ar/Publics/Actas.aspx?id=uibVFnxsUYI=;https://gld.legislaturacba.gob.ar/Publics/Actas.aspx?id=3ZUMjIbuvxs=" TargetMode="External"/><Relationship Id="rId680" Type="http://schemas.openxmlformats.org/officeDocument/2006/relationships/hyperlink" Target="https://gld.legislaturacba.gob.ar/Publics/Actas.aspx?id=d8mym5rBvwI=" TargetMode="External"/><Relationship Id="rId126" Type="http://schemas.openxmlformats.org/officeDocument/2006/relationships/hyperlink" Target="https://gld.legislaturacba.gob.ar/Publics/Actas.aspx?id=gvWgld1E_58=;https://gld.legislaturacba.gob.ar/Publics/Actas.aspx?id=0ZRIEIuurWE=;https://gld.legislaturacba.gob.ar/Publics/Actas.aspx?id=IXdwozlhmSI=" TargetMode="External"/><Relationship Id="rId333" Type="http://schemas.openxmlformats.org/officeDocument/2006/relationships/hyperlink" Target="https://gld.legislaturacba.gob.ar/Publics/Actas.aspx?id=JnDh9TMz0Sw=" TargetMode="External"/><Relationship Id="rId540" Type="http://schemas.openxmlformats.org/officeDocument/2006/relationships/hyperlink" Target="https://gld.legislaturacba.gob.ar/Publics/Actas.aspx?id=8PamxFMF7nk=;https://gld.legislaturacba.gob.ar/Publics/Actas.aspx?id=BS-_ilaBSwk=" TargetMode="External"/><Relationship Id="rId778" Type="http://schemas.openxmlformats.org/officeDocument/2006/relationships/hyperlink" Targe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5" Type="http://schemas.openxmlformats.org/officeDocument/2006/relationships/hyperlink" Targe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70" Type="http://schemas.openxmlformats.org/officeDocument/2006/relationships/hyperlink" Target="https://gld.legislaturacba.gob.ar/Publics/Actas.aspx?id=OlGIMS9VXNE=;https://gld.legislaturacba.gob.ar/Publics/Actas.aspx?id=cRExoTyiQo8=" TargetMode="External"/><Relationship Id="rId2014" Type="http://schemas.openxmlformats.org/officeDocument/2006/relationships/hyperlink" Target="https://www.youtube.com/watch?v=TZWHxpf4wxk" TargetMode="External"/><Relationship Id="rId638" Type="http://schemas.openxmlformats.org/officeDocument/2006/relationships/hyperlink" Target="https://gld.legislaturacba.gob.ar/Publics/Actas.aspx?id=F4zYpuQRl58=;https://gld.legislaturacba.gob.ar/Publics/Actas.aspx?id=brVZmKu3QNs=;https://gld.legislaturacba.gob.ar/Publics/Actas.aspx?id=es5tfMYKJz8=" TargetMode="External"/><Relationship Id="rId845" Type="http://schemas.openxmlformats.org/officeDocument/2006/relationships/hyperlink" Target="https://gld.legislaturacba.gob.ar/Publics/Actas.aspx?id=c2sy20-TxxE=" TargetMode="External"/><Relationship Id="rId1030" Type="http://schemas.openxmlformats.org/officeDocument/2006/relationships/hyperlink" Target="https://gld.legislaturacba.gob.ar/Publics/Actas.aspx?id=umaHansLNwU=" TargetMode="External"/><Relationship Id="rId1268" Type="http://schemas.openxmlformats.org/officeDocument/2006/relationships/hyperlink" Targe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75" Type="http://schemas.openxmlformats.org/officeDocument/2006/relationships/hyperlink" Target="https://gld.legislaturacba.gob.ar/Publics/Actas.aspx?id=Z8EmV0MubKA=" TargetMode="External"/><Relationship Id="rId1682" Type="http://schemas.openxmlformats.org/officeDocument/2006/relationships/hyperlink" Target="https://gld.legislaturacba.gob.ar/Publics/Actas.aspx?id=tV9UXuXnkHU=" TargetMode="External"/><Relationship Id="rId400" Type="http://schemas.openxmlformats.org/officeDocument/2006/relationships/hyperlink" Target="https://www.youtube.com/watch?v=Grhmua781ng" TargetMode="External"/><Relationship Id="rId705" Type="http://schemas.openxmlformats.org/officeDocument/2006/relationships/hyperlink" Targe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28" Type="http://schemas.openxmlformats.org/officeDocument/2006/relationships/hyperlink" Target="https://gld.legislaturacba.gob.ar/Publics/Actas.aspx?id=rAV-XP0TDIM=;https://gld.legislaturacba.gob.ar/Publics/Actas.aspx?id=Bx1jLn_9yQg=" TargetMode="External"/><Relationship Id="rId1335" Type="http://schemas.openxmlformats.org/officeDocument/2006/relationships/hyperlink" Target="https://gld.legislaturacba.gob.ar/Publics/Actas.aspx?id=ceja36M45po=" TargetMode="External"/><Relationship Id="rId1542" Type="http://schemas.openxmlformats.org/officeDocument/2006/relationships/hyperlink" Target="https://gld.legislaturacba.gob.ar/Publics/Actas.aspx?id=hqgh0blE_Ls=" TargetMode="External"/><Relationship Id="rId1987" Type="http://schemas.openxmlformats.org/officeDocument/2006/relationships/hyperlink" Target="https://www.youtube.com/watch?v=EqzZWSD-0gQ" TargetMode="External"/><Relationship Id="rId912" Type="http://schemas.openxmlformats.org/officeDocument/2006/relationships/hyperlink" Targe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847" Type="http://schemas.openxmlformats.org/officeDocument/2006/relationships/hyperlink" Target="https://www.youtube.com/watch?v=JKyGDE7Ct9Q" TargetMode="External"/><Relationship Id="rId41" Type="http://schemas.openxmlformats.org/officeDocument/2006/relationships/hyperlink" Targe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2" Type="http://schemas.openxmlformats.org/officeDocument/2006/relationships/hyperlink" Target="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07" Type="http://schemas.openxmlformats.org/officeDocument/2006/relationships/hyperlink" Target="https://www.youtube.com/watch?v=4Qt3gpG6ifY" TargetMode="External"/><Relationship Id="rId190" Type="http://schemas.openxmlformats.org/officeDocument/2006/relationships/hyperlink" Targe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8" Type="http://schemas.openxmlformats.org/officeDocument/2006/relationships/hyperlink" Target="https://gld.legislaturacba.gob.ar/Publics/Actas.aspx?id=gTl7fVOeuB8=" TargetMode="External"/><Relationship Id="rId1914" Type="http://schemas.openxmlformats.org/officeDocument/2006/relationships/hyperlink" Target="https://www.youtube.com/watch?v=ro_2IzPR0WM" TargetMode="External"/><Relationship Id="rId495" Type="http://schemas.openxmlformats.org/officeDocument/2006/relationships/hyperlink" Targe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8" Type="http://schemas.openxmlformats.org/officeDocument/2006/relationships/hyperlink" Target="https://gld.legislaturacba.gob.ar/Publics/Actas.aspx?id=YUldpHklaps=" TargetMode="External"/><Relationship Id="rId355" Type="http://schemas.openxmlformats.org/officeDocument/2006/relationships/hyperlink" Target="https://gld.legislaturacba.gob.ar/Publics/Actas.aspx?id=nzbIpSSH61Y=;https://gld.legislaturacba.gob.ar/Publics/Actas.aspx?id=9teJ6yZAUm0=" TargetMode="External"/><Relationship Id="rId562" Type="http://schemas.openxmlformats.org/officeDocument/2006/relationships/hyperlink" Targe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2" Type="http://schemas.openxmlformats.org/officeDocument/2006/relationships/hyperlink" Targe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36" Type="http://schemas.openxmlformats.org/officeDocument/2006/relationships/hyperlink" Target="https://gld.legislaturacba.gob.ar/Publics/Actas.aspx?id=2LRGDNbzyew=" TargetMode="External"/><Relationship Id="rId215" Type="http://schemas.openxmlformats.org/officeDocument/2006/relationships/hyperlink" Target="https://www.youtube.com/watch?v=w3r2sMJBkmo" TargetMode="External"/><Relationship Id="rId422" Type="http://schemas.openxmlformats.org/officeDocument/2006/relationships/hyperlink" Target="https://www.youtube.com/watch?v=_8-BA5ti370" TargetMode="External"/><Relationship Id="rId867" Type="http://schemas.openxmlformats.org/officeDocument/2006/relationships/hyperlink" Targe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2" Type="http://schemas.openxmlformats.org/officeDocument/2006/relationships/hyperlink" Targe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97" Type="http://schemas.openxmlformats.org/officeDocument/2006/relationships/hyperlink" Target="https://gld.legislaturacba.gob.ar/Publics/Actas.aspx?id=NPJJje7QdRk=" TargetMode="External"/><Relationship Id="rId2103" Type="http://schemas.openxmlformats.org/officeDocument/2006/relationships/hyperlink" Target="https://www.youtube.com/watch?v=tZ_K77v7gzc" TargetMode="External"/><Relationship Id="rId727" Type="http://schemas.openxmlformats.org/officeDocument/2006/relationships/hyperlink" Target="https://www.youtube.com/watch?v=Kb5iG6fo_dM" TargetMode="External"/><Relationship Id="rId934" Type="http://schemas.openxmlformats.org/officeDocument/2006/relationships/hyperlink" Target="https://www.youtube.com/watch?v=JYtdIUZw2mE" TargetMode="External"/><Relationship Id="rId1357" Type="http://schemas.openxmlformats.org/officeDocument/2006/relationships/hyperlink" Target="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 TargetMode="External"/><Relationship Id="rId1564" Type="http://schemas.openxmlformats.org/officeDocument/2006/relationships/hyperlink" Targe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TargetMode="External"/><Relationship Id="rId1771" Type="http://schemas.openxmlformats.org/officeDocument/2006/relationships/hyperlink" Target="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3" Type="http://schemas.openxmlformats.org/officeDocument/2006/relationships/hyperlink" Target="https://gld.legislaturacba.gob.ar/Publics/Actas.aspx?id=AQL7pGfFENQ=;https://gld.legislaturacba.gob.ar/Publics/Actas.aspx?id=Ph0rko7w0Ks=" TargetMode="External"/><Relationship Id="rId1217" Type="http://schemas.openxmlformats.org/officeDocument/2006/relationships/hyperlink" Target="https://www.youtube.com/watch?v=4ONVLvpgSCE" TargetMode="External"/><Relationship Id="rId1424" Type="http://schemas.openxmlformats.org/officeDocument/2006/relationships/hyperlink" Target="https://www.youtube.com/watch?v=CSR7U2YljCk" TargetMode="External"/><Relationship Id="rId1631" Type="http://schemas.openxmlformats.org/officeDocument/2006/relationships/hyperlink" Target="https://gld.legislaturacba.gob.ar/Publics/Actas.aspx?id=_UwL7fFvCf8=" TargetMode="External"/><Relationship Id="rId1869" Type="http://schemas.openxmlformats.org/officeDocument/2006/relationships/hyperlink" Target="https://gld.legislaturacba.gob.ar/Publics/Actas.aspx?id=508ZW6emrrk=;https://gld.legislaturacba.gob.ar/Publics/Actas.aspx?id=jAuWtXDRfOg=;https://gld.legislaturacba.gob.ar/Publics/Actas.aspx?id=-ojVCtNQpUY=" TargetMode="External"/><Relationship Id="rId1729" Type="http://schemas.openxmlformats.org/officeDocument/2006/relationships/hyperlink" Target="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36" Type="http://schemas.openxmlformats.org/officeDocument/2006/relationships/hyperlink" Target="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77" Type="http://schemas.openxmlformats.org/officeDocument/2006/relationships/hyperlink" Targe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4" Type="http://schemas.openxmlformats.org/officeDocument/2006/relationships/hyperlink" Target="https://www.youtube.com/watch?v=x2CPOHSZDAs" TargetMode="External"/><Relationship Id="rId2058" Type="http://schemas.openxmlformats.org/officeDocument/2006/relationships/hyperlink" Target="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 Type="http://schemas.openxmlformats.org/officeDocument/2006/relationships/hyperlink" Target="https://gld.legislaturacba.gob.ar/Publics/Actas.aspx?id=_X_Hz7uI5t8=" TargetMode="External"/><Relationship Id="rId237" Type="http://schemas.openxmlformats.org/officeDocument/2006/relationships/hyperlink" Targe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1" Type="http://schemas.openxmlformats.org/officeDocument/2006/relationships/hyperlink" Target="https://www.youtube.com/watch?v=TVjYbXhXzW0" TargetMode="External"/><Relationship Id="rId889" Type="http://schemas.openxmlformats.org/officeDocument/2006/relationships/hyperlink" Target="https://www.youtube.com/watch?v=YEnc-B_sUzY" TargetMode="External"/><Relationship Id="rId1074" Type="http://schemas.openxmlformats.org/officeDocument/2006/relationships/hyperlink" Targe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44" Type="http://schemas.openxmlformats.org/officeDocument/2006/relationships/hyperlink" Target="https://gld.legislaturacba.gob.ar/Publics/Actas.aspx?id=Vuf9O8p_mAo=;https://gld.legislaturacba.gob.ar/Publics/Actas.aspx?id=NADWaQgqOWE=" TargetMode="External"/><Relationship Id="rId651" Type="http://schemas.openxmlformats.org/officeDocument/2006/relationships/hyperlink" Target="https://gld.legislaturacba.gob.ar/Publics/Actas.aspx?id=1Fmj5So4iFk=" TargetMode="External"/><Relationship Id="rId749" Type="http://schemas.openxmlformats.org/officeDocument/2006/relationships/hyperlink" Target="https://www.youtube.com/watch?v=sWzTnAMbm2M" TargetMode="External"/><Relationship Id="rId1281" Type="http://schemas.openxmlformats.org/officeDocument/2006/relationships/hyperlink" Target="https://www.youtube.com/watch?v=Ic2x24zNtKY" TargetMode="External"/><Relationship Id="rId1379" Type="http://schemas.openxmlformats.org/officeDocument/2006/relationships/hyperlink" Target="https://www.youtube.com/watch?v=McDIKNZ5Pz8" TargetMode="External"/><Relationship Id="rId1586" Type="http://schemas.openxmlformats.org/officeDocument/2006/relationships/hyperlink" Target="https://gld.legislaturacba.gob.ar/Publics/Actas.aspx?id=JFhoXBHPppY=" TargetMode="External"/><Relationship Id="rId2125" Type="http://schemas.openxmlformats.org/officeDocument/2006/relationships/hyperlink" Target="https://gld.legislaturacba.gob.ar/Publics/Actas.aspx?id=K8aIKiJ0wZw=" TargetMode="External"/><Relationship Id="rId304" Type="http://schemas.openxmlformats.org/officeDocument/2006/relationships/hyperlink" Target="https://www.youtube.com/watch?v=60uQjzyPatM" TargetMode="External"/><Relationship Id="rId511" Type="http://schemas.openxmlformats.org/officeDocument/2006/relationships/hyperlink" Target="https://gld.legislaturacba.gob.ar/Publics/Actas.aspx?id=L88pFOJtCP4=;https://gld.legislaturacba.gob.ar/Publics/Actas.aspx?id=q3wxkQZLdL0=" TargetMode="External"/><Relationship Id="rId609" Type="http://schemas.openxmlformats.org/officeDocument/2006/relationships/hyperlink" Targe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6" Type="http://schemas.openxmlformats.org/officeDocument/2006/relationships/hyperlink" Targe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41" Type="http://schemas.openxmlformats.org/officeDocument/2006/relationships/hyperlink" Target="https://gld.legislaturacba.gob.ar/Publics/Actas.aspx?id=lJYYHFPpRU8=" TargetMode="External"/><Relationship Id="rId1239" Type="http://schemas.openxmlformats.org/officeDocument/2006/relationships/hyperlink" Target="https://gld.legislaturacba.gob.ar/Publics/Actas.aspx?id=o0WXVCNLu3Q=;https://gld.legislaturacba.gob.ar/Publics/Actas.aspx?id=4Syh2iwpXjU=" TargetMode="External"/><Relationship Id="rId1793" Type="http://schemas.openxmlformats.org/officeDocument/2006/relationships/hyperlink" Target="https://www.youtube.com/watch?v=4KqKguVI5vQ" TargetMode="External"/><Relationship Id="rId85" Type="http://schemas.openxmlformats.org/officeDocument/2006/relationships/hyperlink" Target="https://gld.legislaturacba.gob.ar/Publics/Actas.aspx?id=yw6LckpotcU=" TargetMode="External"/><Relationship Id="rId816" Type="http://schemas.openxmlformats.org/officeDocument/2006/relationships/hyperlink" Target="https://gld.legislaturacba.gob.ar/Publics/Actas.aspx?id=nvL7mGMeKZU=" TargetMode="External"/><Relationship Id="rId1001" Type="http://schemas.openxmlformats.org/officeDocument/2006/relationships/hyperlink" Target="https://gld.legislaturacba.gob.ar/Publics/Actas.aspx?id=gCbCya6ccP8=" TargetMode="External"/><Relationship Id="rId1446" Type="http://schemas.openxmlformats.org/officeDocument/2006/relationships/hyperlink" Target="https://gld.legislaturacba.gob.ar/Publics/Actas.aspx?id=4Mtau8GC5iA=" TargetMode="External"/><Relationship Id="rId1653"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60" Type="http://schemas.openxmlformats.org/officeDocument/2006/relationships/hyperlink" Target="https://www.youtube.com/watch?v=AVntnG6Pdxk" TargetMode="External"/><Relationship Id="rId1306" Type="http://schemas.openxmlformats.org/officeDocument/2006/relationships/hyperlink" Target="https://gld.legislaturacba.gob.ar/Publics/Actas.aspx?id=lN5yBtC2pp8=;https://gld.legislaturacba.gob.ar/Publics/Actas.aspx?id=3sqBt4fuH8I=;https://gld.legislaturacba.gob.ar/Publics/Actas.aspx?id=TMKpFFmJ-Tc=" TargetMode="External"/><Relationship Id="rId1513" Type="http://schemas.openxmlformats.org/officeDocument/2006/relationships/hyperlink" Target="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 TargetMode="External"/><Relationship Id="rId1720" Type="http://schemas.openxmlformats.org/officeDocument/2006/relationships/hyperlink" Target="https://gld.legislaturacba.gob.ar/Publics/Actas.aspx?id=5TyD928e9g0=" TargetMode="External"/><Relationship Id="rId1958" Type="http://schemas.openxmlformats.org/officeDocument/2006/relationships/hyperlink" Target="https://gld.legislaturacba.gob.ar/Publics/Actas.aspx?id=-ZiT8_-kK1k=;https://gld.legislaturacba.gob.ar/Publics/Actas.aspx?id=pHOomACeSls=;https://gld.legislaturacba.gob.ar/Publics/Actas.aspx?id=AxR35nrgJfI=" TargetMode="External"/><Relationship Id="rId12" Type="http://schemas.openxmlformats.org/officeDocument/2006/relationships/hyperlink" Target="https://gld.legislaturacba.gob.ar/Publics/Actas.aspx?id=8o7mfejY_uA=" TargetMode="External"/><Relationship Id="rId1818" Type="http://schemas.openxmlformats.org/officeDocument/2006/relationships/hyperlink" Target="https://www.youtube.com/watch?v=0FThba7H7Sk" TargetMode="External"/><Relationship Id="rId161" Type="http://schemas.openxmlformats.org/officeDocument/2006/relationships/hyperlink" Target="https://gld.legislaturacba.gob.ar/Publics/Actas.aspx?id=r-Vt3cIYRKs=" TargetMode="External"/><Relationship Id="rId399" Type="http://schemas.openxmlformats.org/officeDocument/2006/relationships/hyperlink" Targe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59" Type="http://schemas.openxmlformats.org/officeDocument/2006/relationships/hyperlink" Target="https://gld.legislaturacba.gob.ar/Publics/Actas.aspx?id=g5tPDVv3axc=" TargetMode="External"/><Relationship Id="rId466"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3" Type="http://schemas.openxmlformats.org/officeDocument/2006/relationships/hyperlink" Targe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0" Type="http://schemas.openxmlformats.org/officeDocument/2006/relationships/hyperlink" Target="https://www.youtube.com/watch?v=WBA9I6x_gBU" TargetMode="External"/><Relationship Id="rId1096" Type="http://schemas.openxmlformats.org/officeDocument/2006/relationships/hyperlink" Target="https://gld.legislaturacba.gob.ar/Publics/Actas.aspx?id=TmK7Mm-JOSI=" TargetMode="External"/><Relationship Id="rId119" Type="http://schemas.openxmlformats.org/officeDocument/2006/relationships/hyperlink" Targe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6" Type="http://schemas.openxmlformats.org/officeDocument/2006/relationships/hyperlink" Target="https://www.youtube.com/watch?v=h3EUrMgHoKw" TargetMode="External"/><Relationship Id="rId533" Type="http://schemas.openxmlformats.org/officeDocument/2006/relationships/hyperlink" Targe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8" Type="http://schemas.openxmlformats.org/officeDocument/2006/relationships/hyperlink" Target="https://gld.legislaturacba.gob.ar/Publics/Actas.aspx?id=eOE4rnH980s=" TargetMode="External"/><Relationship Id="rId1163" Type="http://schemas.openxmlformats.org/officeDocument/2006/relationships/hyperlink" Target="https://www.youtube.com/watch?v=weLYICQT1qI" TargetMode="External"/><Relationship Id="rId1370" Type="http://schemas.openxmlformats.org/officeDocument/2006/relationships/hyperlink" Target="https://www.youtube.com/watch?v=Vf5KMzjkTI4" TargetMode="External"/><Relationship Id="rId2007" Type="http://schemas.openxmlformats.org/officeDocument/2006/relationships/hyperlink" Target="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740" Type="http://schemas.openxmlformats.org/officeDocument/2006/relationships/hyperlink" Target="https://www.youtube.com/watch?v=o1HhqFAeAaw" TargetMode="External"/><Relationship Id="rId838" Type="http://schemas.openxmlformats.org/officeDocument/2006/relationships/hyperlink" Target="https://www.youtube.com/watch?v=oaBZUsu-7_s" TargetMode="External"/><Relationship Id="rId1023" Type="http://schemas.openxmlformats.org/officeDocument/2006/relationships/hyperlink" Target="https://www.youtube.com/watch?v=nHOpTto2WOA" TargetMode="External"/><Relationship Id="rId1468" Type="http://schemas.openxmlformats.org/officeDocument/2006/relationships/hyperlink" Target="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75" Type="http://schemas.openxmlformats.org/officeDocument/2006/relationships/hyperlink" Target="https://www.youtube.com/watch?v=wd88zuyLdfQ" TargetMode="External"/><Relationship Id="rId1882" Type="http://schemas.openxmlformats.org/officeDocument/2006/relationships/hyperlink" Target="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00" Type="http://schemas.openxmlformats.org/officeDocument/2006/relationships/hyperlink" Targe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0" Type="http://schemas.openxmlformats.org/officeDocument/2006/relationships/hyperlink" Target="https://gld.legislaturacba.gob.ar/Publics/Actas.aspx?id=oAiBx-bhP_I=;https://gld.legislaturacba.gob.ar/Publics/Actas.aspx?id=y_aDywNOZ28=;https://gld.legislaturacba.gob.ar/Publics/Actas.aspx?id=7iPYs0mt9Cw=;https://gld.legislaturacba.gob.ar/Publics/Actas.aspx?id=WyDlY4evEQI=" TargetMode="External"/><Relationship Id="rId1328" Type="http://schemas.openxmlformats.org/officeDocument/2006/relationships/hyperlink" Target="https://www.youtube.com/watch?v=CCAfByfE6yI" TargetMode="External"/><Relationship Id="rId1535" Type="http://schemas.openxmlformats.org/officeDocument/2006/relationships/hyperlink" Target="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05" Type="http://schemas.openxmlformats.org/officeDocument/2006/relationships/hyperlink" Target="https://gld.legislaturacba.gob.ar/Publics/Actas.aspx?id=lK7dLC7PYWk=;https://gld.legislaturacba.gob.ar/Publics/Actas.aspx?id=wBlgR4RFwtw=;https://gld.legislaturacba.gob.ar/Publics/Actas.aspx?id=2fKoNedgjpQ=" TargetMode="External"/><Relationship Id="rId1742" Type="http://schemas.openxmlformats.org/officeDocument/2006/relationships/hyperlink" Target="https://gld.legislaturacba.gob.ar/Publics/Actas.aspx?id=fVJtVgKnKZw=;https://gld.legislaturacba.gob.ar/Publics/Actas.aspx?id=gAhhvPd7vVg=" TargetMode="External"/><Relationship Id="rId34" Type="http://schemas.openxmlformats.org/officeDocument/2006/relationships/hyperlink" Target="https://gld.legislaturacba.gob.ar/Publics/Actas.aspx?id=WnuvlgHXSNY=" TargetMode="External"/><Relationship Id="rId1602" Type="http://schemas.openxmlformats.org/officeDocument/2006/relationships/hyperlink" Target="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 TargetMode="External"/><Relationship Id="rId183" Type="http://schemas.openxmlformats.org/officeDocument/2006/relationships/hyperlink" Target="https://www.youtube.com/watch?v=XiuWk0lAs_E&amp;t=4460s" TargetMode="External"/><Relationship Id="rId390" Type="http://schemas.openxmlformats.org/officeDocument/2006/relationships/hyperlink" Target="https://gld.legislaturacba.gob.ar/Publics/Actas.aspx?id=fS8oTmCdn80=" TargetMode="External"/><Relationship Id="rId1907" Type="http://schemas.openxmlformats.org/officeDocument/2006/relationships/hyperlink" Target="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71" Type="http://schemas.openxmlformats.org/officeDocument/2006/relationships/hyperlink" Target="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0" Type="http://schemas.openxmlformats.org/officeDocument/2006/relationships/hyperlink" Target="https://gld.legislaturacba.gob.ar/Publics/Actas.aspx?id=lW79jZPzvmw=;https://gld.legislaturacba.gob.ar/Publics/Actas.aspx?id=zXbeKwXB5-s=" TargetMode="External"/><Relationship Id="rId488" Type="http://schemas.openxmlformats.org/officeDocument/2006/relationships/hyperlink" Target="https://gld.legislaturacba.gob.ar/Publics/Actas.aspx?id=NkYTWIUucoY=" TargetMode="External"/><Relationship Id="rId695" Type="http://schemas.openxmlformats.org/officeDocument/2006/relationships/hyperlink" Target="https://gld.legislaturacba.gob.ar/Publics/Actas.aspx?id=O1Z_yZyEycQ=;https://gld.legislaturacba.gob.ar/Publics/Actas.aspx?id=mVrYOzWhiR4=" TargetMode="External"/><Relationship Id="rId110" Type="http://schemas.openxmlformats.org/officeDocument/2006/relationships/hyperlink" Targe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8" Type="http://schemas.openxmlformats.org/officeDocument/2006/relationships/hyperlink" Targe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5" Type="http://schemas.openxmlformats.org/officeDocument/2006/relationships/hyperlink" Target="https://gld.legislaturacba.gob.ar/Publics/Actas.aspx?id=WQtgUWeFlDY=;https://gld.legislaturacba.gob.ar/Publics/Actas.aspx?id=EPrDaV81Amo=;https://gld.legislaturacba.gob.ar/Publics/Actas.aspx?id=jSQNeDmPxaY=;https://gld.legislaturacba.gob.ar/Publics/Actas.aspx?id=hcz69s82ueQ=" TargetMode="External"/><Relationship Id="rId762" Type="http://schemas.openxmlformats.org/officeDocument/2006/relationships/hyperlink" Target="https://gld.legislaturacba.gob.ar/Publics/Actas.aspx?id=Q5cmBEbDN1M=;https://gld.legislaturacba.gob.ar/Publics/Actas.aspx?id=mHEHkYJZxjw=" TargetMode="External"/><Relationship Id="rId1185" Type="http://schemas.openxmlformats.org/officeDocument/2006/relationships/hyperlink" Targe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392" Type="http://schemas.openxmlformats.org/officeDocument/2006/relationships/hyperlink" Target="https://gld.legislaturacba.gob.ar/Publics/Actas.aspx?id=dbduHshi-oU=" TargetMode="External"/><Relationship Id="rId2029" Type="http://schemas.openxmlformats.org/officeDocument/2006/relationships/hyperlink" Target="https://www.youtube.com/watch?v=5ck83Zn7iPc" TargetMode="External"/><Relationship Id="rId208" Type="http://schemas.openxmlformats.org/officeDocument/2006/relationships/hyperlink" Target="https://gld.legislaturacba.gob.ar/Publics/Actas.aspx?id=OxSdeH2CGs0=;https://gld.legislaturacba.gob.ar/Publics/Actas.aspx?id=X9xNBQZV8EI=" TargetMode="External"/><Relationship Id="rId415" Type="http://schemas.openxmlformats.org/officeDocument/2006/relationships/hyperlink" Target="https://gld.legislaturacba.gob.ar/Publics/Actas.aspx?id=2xGPeo0MNDM=" TargetMode="External"/><Relationship Id="rId622" Type="http://schemas.openxmlformats.org/officeDocument/2006/relationships/hyperlink" Target="https://www.youtube.com/watch?v=NNQZBII8_eE" TargetMode="External"/><Relationship Id="rId1045" Type="http://schemas.openxmlformats.org/officeDocument/2006/relationships/hyperlink" Target="https://gld.legislaturacba.gob.ar/Publics/Actas.aspx?id=Cv9D6ApKRew=;https://gld.legislaturacba.gob.ar/Publics/Actas.aspx?id=q5WfCqCu8Tw=;https://gld.legislaturacba.gob.ar/Publics/Actas.aspx?id=MhN0F7i8cwg=;https://gld.legislaturacba.gob.ar/Publics/Actas.aspx?id=jwPaScIegQw=" TargetMode="External"/><Relationship Id="rId1252" Type="http://schemas.openxmlformats.org/officeDocument/2006/relationships/hyperlink" Targe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97" Type="http://schemas.openxmlformats.org/officeDocument/2006/relationships/hyperlink" Target="https://gld.legislaturacba.gob.ar/Publics/Actas.aspx?id=XCZYIU5xg-s=" TargetMode="External"/><Relationship Id="rId927" Type="http://schemas.openxmlformats.org/officeDocument/2006/relationships/hyperlink" Targe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2" Type="http://schemas.openxmlformats.org/officeDocument/2006/relationships/hyperlink" Target="https://www.youtube.com/watch?v=bulqZXWDBjM" TargetMode="External"/><Relationship Id="rId1557" Type="http://schemas.openxmlformats.org/officeDocument/2006/relationships/hyperlink" Target="https://gld.legislaturacba.gob.ar/Publics/Actas.aspx?id=fJbLAIwWtpc=;https://gld.legislaturacba.gob.ar/Publics/Actas.aspx?id=-5dpOxaHarw=" TargetMode="External"/><Relationship Id="rId1764" Type="http://schemas.openxmlformats.org/officeDocument/2006/relationships/hyperlink" Target="https://gld.legislaturacba.gob.ar/Publics/Actas.aspx?id=WkZK3DqQvfM=" TargetMode="External"/><Relationship Id="rId1971" Type="http://schemas.openxmlformats.org/officeDocument/2006/relationships/hyperlink" Target="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6" Type="http://schemas.openxmlformats.org/officeDocument/2006/relationships/hyperlink" Targe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7" Type="http://schemas.openxmlformats.org/officeDocument/2006/relationships/hyperlink" Target="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24" Type="http://schemas.openxmlformats.org/officeDocument/2006/relationships/hyperlink" Target="https://gld.legislaturacba.gob.ar/Publics/Actas.aspx?id=2i2ILyd1Qtg=;https://gld.legislaturacba.gob.ar/Publics/Actas.aspx?id=JFT0eAopAyk=;https://gld.legislaturacba.gob.ar/Publics/Actas.aspx?id=Gr3QIOt_K8I=" TargetMode="External"/><Relationship Id="rId1831" Type="http://schemas.openxmlformats.org/officeDocument/2006/relationships/hyperlink" Target="https://gld.legislaturacba.gob.ar/Publics/Actas.aspx?id=CZn94RQiBpE=" TargetMode="External"/><Relationship Id="rId1929" Type="http://schemas.openxmlformats.org/officeDocument/2006/relationships/hyperlink" Target="https://gld.legislaturacba.gob.ar/Publics/Actas.aspx?id=5d_Q6uo9uww=" TargetMode="External"/><Relationship Id="rId2093" Type="http://schemas.openxmlformats.org/officeDocument/2006/relationships/hyperlink" Target="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272" Type="http://schemas.openxmlformats.org/officeDocument/2006/relationships/hyperlink" Target="https://gld.legislaturacba.gob.ar/Publics/Actas.aspx?id=uEgH03TMWzo=" TargetMode="External"/><Relationship Id="rId577" Type="http://schemas.openxmlformats.org/officeDocument/2006/relationships/hyperlink" Target="https://gld.legislaturacba.gob.ar/Publics/Actas.aspx?id=2FcDyv_1594=;https://gld.legislaturacba.gob.ar/Publics/Actas.aspx?id=l0gF7Wqayvk=" TargetMode="External"/><Relationship Id="rId132" Type="http://schemas.openxmlformats.org/officeDocument/2006/relationships/hyperlink" Targe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4" Type="http://schemas.openxmlformats.org/officeDocument/2006/relationships/hyperlink" Targe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91" Type="http://schemas.openxmlformats.org/officeDocument/2006/relationships/hyperlink" Target="https://www.youtube.com/watch?v=-r-iKO6zaSc" TargetMode="External"/><Relationship Id="rId1067" Type="http://schemas.openxmlformats.org/officeDocument/2006/relationships/hyperlink" Target="https://gld.legislaturacba.gob.ar/Publics/Actas.aspx?id=9rtykumbLY8=" TargetMode="External"/><Relationship Id="rId2020" Type="http://schemas.openxmlformats.org/officeDocument/2006/relationships/hyperlink" Target="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37" Type="http://schemas.openxmlformats.org/officeDocument/2006/relationships/hyperlink" Target="https://www.youtube.com/watch?v=G23umqZ1_Ew" TargetMode="External"/><Relationship Id="rId644" Type="http://schemas.openxmlformats.org/officeDocument/2006/relationships/hyperlink" Targe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1" Type="http://schemas.openxmlformats.org/officeDocument/2006/relationships/hyperlink" Target="https://gld.legislaturacba.gob.ar/Publics/Actas.aspx?id=8sXuhTUWCtU=" TargetMode="External"/><Relationship Id="rId1274" Type="http://schemas.openxmlformats.org/officeDocument/2006/relationships/hyperlink" Targe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81" Type="http://schemas.openxmlformats.org/officeDocument/2006/relationships/hyperlink" Target="https://gld.legislaturacba.gob.ar/Publics/Actas.aspx?id=18VJg0RTLZg=" TargetMode="External"/><Relationship Id="rId1579" Type="http://schemas.openxmlformats.org/officeDocument/2006/relationships/hyperlink" Targe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TargetMode="External"/><Relationship Id="rId2118" Type="http://schemas.openxmlformats.org/officeDocument/2006/relationships/hyperlink" Target="https://gld.legislaturacba.gob.ar/Publics/Actas.aspx?id=lIUfKXi9S1E=" TargetMode="External"/><Relationship Id="rId504" Type="http://schemas.openxmlformats.org/officeDocument/2006/relationships/hyperlink" Targe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1" Type="http://schemas.openxmlformats.org/officeDocument/2006/relationships/hyperlink" Targe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49" Type="http://schemas.openxmlformats.org/officeDocument/2006/relationships/hyperlink" Target="https://gld.legislaturacba.gob.ar/Publics/Actas.aspx?id=eU5sopwFFZ8=" TargetMode="External"/><Relationship Id="rId1134" Type="http://schemas.openxmlformats.org/officeDocument/2006/relationships/hyperlink" Target="https://gld.legislaturacba.gob.ar/Publics/Actas.aspx?id=NQPSyIQkvTc=" TargetMode="External"/><Relationship Id="rId1341" Type="http://schemas.openxmlformats.org/officeDocument/2006/relationships/hyperlink" Target="https://gld.legislaturacba.gob.ar/Publics/Actas.aspx?id=aniw85wvOYg=;https://gld.legislaturacba.gob.ar/Publics/Actas.aspx?id=20OSoX9bKV8=;https://gld.legislaturacba.gob.ar/Publics/Actas.aspx?id=O5i0_uHY1HY=" TargetMode="External"/><Relationship Id="rId1786" Type="http://schemas.openxmlformats.org/officeDocument/2006/relationships/hyperlink" Target="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93" Type="http://schemas.openxmlformats.org/officeDocument/2006/relationships/hyperlink" Target="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78" Type="http://schemas.openxmlformats.org/officeDocument/2006/relationships/hyperlink" Targe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9" Type="http://schemas.openxmlformats.org/officeDocument/2006/relationships/hyperlink" Target="https://www.youtube.com/watch?v=vVLOwgGTI_8" TargetMode="External"/><Relationship Id="rId1201" Type="http://schemas.openxmlformats.org/officeDocument/2006/relationships/hyperlink" Targe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39" Type="http://schemas.openxmlformats.org/officeDocument/2006/relationships/hyperlink" Target="https://www.youtube.com/watch?v=n_hTzU-lDf4" TargetMode="External"/><Relationship Id="rId1646" Type="http://schemas.openxmlformats.org/officeDocument/2006/relationships/hyperlink" Target="https://gld.legislaturacba.gob.ar/Publics/Actas.aspx?id=RECgEjex-Eg=;https://gld.legislaturacba.gob.ar/Publics/Actas.aspx?id=agmxgj2xeQc=" TargetMode="External"/><Relationship Id="rId1853" Type="http://schemas.openxmlformats.org/officeDocument/2006/relationships/hyperlink" Target="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6" Type="http://schemas.openxmlformats.org/officeDocument/2006/relationships/hyperlink" Target="https://gld.legislaturacba.gob.ar/Publics/Actas.aspx?id=BsVomgZyZPQ=" TargetMode="External"/><Relationship Id="rId1713" Type="http://schemas.openxmlformats.org/officeDocument/2006/relationships/hyperlink" Target="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20" Type="http://schemas.openxmlformats.org/officeDocument/2006/relationships/hyperlink" Target="https://www.youtube.com/watch?v=FjC-m8cj4sY" TargetMode="External"/><Relationship Id="rId294" Type="http://schemas.openxmlformats.org/officeDocument/2006/relationships/hyperlink" Target="https://gld.legislaturacba.gob.ar/Publics/Actas.aspx?id=Inh6degDYrY=" TargetMode="External"/><Relationship Id="rId154" Type="http://schemas.openxmlformats.org/officeDocument/2006/relationships/hyperlink" Targe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1" Type="http://schemas.openxmlformats.org/officeDocument/2006/relationships/hyperlink" Target="https://www.youtube.com/watch?v=yzKYesrRo6g" TargetMode="External"/><Relationship Id="rId599" Type="http://schemas.openxmlformats.org/officeDocument/2006/relationships/hyperlink" Target="https://gld.legislaturacba.gob.ar/Publics/Actas.aspx?id=z4GHTPXCiFc=" TargetMode="External"/><Relationship Id="rId2042" Type="http://schemas.openxmlformats.org/officeDocument/2006/relationships/hyperlink" Target="https://www.youtube.com/watch?v=oPz1VLQY_HY" TargetMode="External"/><Relationship Id="rId459" Type="http://schemas.openxmlformats.org/officeDocument/2006/relationships/hyperlink" Target="https://gld.legislaturacba.gob.ar/Publics/Actas.aspx?id=lyPfx5Dfn9k=;https://gld.legislaturacba.gob.ar/Publics/Actas.aspx?id=zQwkSahtAEc=" TargetMode="External"/><Relationship Id="rId666" Type="http://schemas.openxmlformats.org/officeDocument/2006/relationships/hyperlink" Target="https://gld.legislaturacba.gob.ar/Publics/Actas.aspx?id=_6YoKEm83xA=" TargetMode="External"/><Relationship Id="rId873" Type="http://schemas.openxmlformats.org/officeDocument/2006/relationships/hyperlink" Targe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9" Type="http://schemas.openxmlformats.org/officeDocument/2006/relationships/hyperlink" Target="https://www.youtube.com/watch?v=YvkLmQjo8Zg" TargetMode="External"/><Relationship Id="rId1296" Type="http://schemas.openxmlformats.org/officeDocument/2006/relationships/hyperlink" Targe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1" Type="http://schemas.openxmlformats.org/officeDocument/2006/relationships/hyperlink" Target="https://gld.legislaturacba.gob.ar/Publics/Actas.aspx?id=nfSz2FXyFFo=" TargetMode="External"/><Relationship Id="rId319" Type="http://schemas.openxmlformats.org/officeDocument/2006/relationships/hyperlink" Targe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6" Type="http://schemas.openxmlformats.org/officeDocument/2006/relationships/hyperlink" Target="https://www.youtube.com/watch?v=5WtiaYhhxXo" TargetMode="External"/><Relationship Id="rId1156" Type="http://schemas.openxmlformats.org/officeDocument/2006/relationships/hyperlink" Targe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63" Type="http://schemas.openxmlformats.org/officeDocument/2006/relationships/hyperlink" Target="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3" Type="http://schemas.openxmlformats.org/officeDocument/2006/relationships/hyperlink" Target="https://www.youtube.com/watch?v=ZdP8dg475xk" TargetMode="External"/><Relationship Id="rId940" Type="http://schemas.openxmlformats.org/officeDocument/2006/relationships/hyperlink" Target="https://gld.legislaturacba.gob.ar/Publics/Actas.aspx?id=1G9t-oodHPM=" TargetMode="External"/><Relationship Id="rId1016" Type="http://schemas.openxmlformats.org/officeDocument/2006/relationships/hyperlink" Target="https://gld.legislaturacba.gob.ar/Publics/Actas.aspx?id=V16OhtnbYTI=" TargetMode="External"/><Relationship Id="rId1570" Type="http://schemas.openxmlformats.org/officeDocument/2006/relationships/hyperlink" Targe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TargetMode="External"/><Relationship Id="rId1668" Type="http://schemas.openxmlformats.org/officeDocument/2006/relationships/hyperlink" Target="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75" Type="http://schemas.openxmlformats.org/officeDocument/2006/relationships/hyperlink" Target="https://gld.legislaturacba.gob.ar/Publics/Actas.aspx?id=GXaR9BqpPfk=;https://gld.legislaturacba.gob.ar/Publics/Actas.aspx?id=8iIOthmVQgM=;https://gld.legislaturacba.gob.ar/Publics/Actas.aspx?id=j7_Nd1mnVBc=" TargetMode="External"/><Relationship Id="rId800" Type="http://schemas.openxmlformats.org/officeDocument/2006/relationships/hyperlink" Target="https://www.youtube.com/watch?v=3YSZcKTchRM" TargetMode="External"/><Relationship Id="rId1223" Type="http://schemas.openxmlformats.org/officeDocument/2006/relationships/hyperlink" Target="https://www.youtube.com/watch?v=3PfXWSj0H_0" TargetMode="External"/><Relationship Id="rId1430" Type="http://schemas.openxmlformats.org/officeDocument/2006/relationships/hyperlink" Target="https://gld.legislaturacba.gob.ar/Publics/Actas.aspx?id=bHnaVJ0Do14=;https://gld.legislaturacba.gob.ar/Publics/Actas.aspx?id=wk2jj1DxDcE=" TargetMode="External"/><Relationship Id="rId1528" Type="http://schemas.openxmlformats.org/officeDocument/2006/relationships/hyperlink" Target="https://gld.legislaturacba.gob.ar/Publics/Actas.aspx?id=NXaamBLscxw=;https://gld.legislaturacba.gob.ar/Publics/Actas.aspx?id=hX7-TB4pOJU=" TargetMode="External"/><Relationship Id="rId1735" Type="http://schemas.openxmlformats.org/officeDocument/2006/relationships/hyperlink" Target="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42" Type="http://schemas.openxmlformats.org/officeDocument/2006/relationships/hyperlink" Target="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7" Type="http://schemas.openxmlformats.org/officeDocument/2006/relationships/hyperlink" Target="https://gld.legislaturacba.gob.ar/Publics/Actas.aspx?id=qbLjKQgPZaA=" TargetMode="External"/><Relationship Id="rId1802" Type="http://schemas.openxmlformats.org/officeDocument/2006/relationships/hyperlink" Target="https://www.youtube.com/watch?v=Nc1KP6_cm-U" TargetMode="External"/><Relationship Id="rId176" Type="http://schemas.openxmlformats.org/officeDocument/2006/relationships/hyperlink" Targe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3" Type="http://schemas.openxmlformats.org/officeDocument/2006/relationships/hyperlink" Targe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0" Type="http://schemas.openxmlformats.org/officeDocument/2006/relationships/hyperlink" Target="https://gld.legislaturacba.gob.ar/Publics/Actas.aspx?id=Ws1exwyoNkI=" TargetMode="External"/><Relationship Id="rId2064" Type="http://schemas.openxmlformats.org/officeDocument/2006/relationships/hyperlink" Target="https://gld.legislaturacba.gob.ar/Publics/Actas.aspx?id=UqsHMMQwe0c=" TargetMode="External"/><Relationship Id="rId243" Type="http://schemas.openxmlformats.org/officeDocument/2006/relationships/hyperlink" Targe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0" Type="http://schemas.openxmlformats.org/officeDocument/2006/relationships/hyperlink" Targe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8" Type="http://schemas.openxmlformats.org/officeDocument/2006/relationships/hyperlink" Target="https://www.youtube.com/watch?v=lo0x62TsoD4" TargetMode="External"/><Relationship Id="rId895" Type="http://schemas.openxmlformats.org/officeDocument/2006/relationships/hyperlink" Target="https://www.youtube.com/watch?v=i5wrOaQ_mYg" TargetMode="External"/><Relationship Id="rId1080" Type="http://schemas.openxmlformats.org/officeDocument/2006/relationships/hyperlink" Target="https://www.youtube.com/watch?v=xQ6bCxG93cE" TargetMode="External"/><Relationship Id="rId103" Type="http://schemas.openxmlformats.org/officeDocument/2006/relationships/hyperlink" Target="https://www.youtube.com/watch?v=84hysprcySM" TargetMode="External"/><Relationship Id="rId310" Type="http://schemas.openxmlformats.org/officeDocument/2006/relationships/hyperlink" Targe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8" Type="http://schemas.openxmlformats.org/officeDocument/2006/relationships/hyperlink" Targe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5" Type="http://schemas.openxmlformats.org/officeDocument/2006/relationships/hyperlink" Target="https://www.youtube.com/watch?v=H3DXqasN9SQ" TargetMode="External"/><Relationship Id="rId962" Type="http://schemas.openxmlformats.org/officeDocument/2006/relationships/hyperlink" Target="https://www.youtube.com/watch?v=79AYMU_puV0" TargetMode="External"/><Relationship Id="rId1178" Type="http://schemas.openxmlformats.org/officeDocument/2006/relationships/hyperlink" Target="https://gld.legislaturacba.gob.ar/Publics/Actas.aspx?id=GF1sxSxYnvc=" TargetMode="External"/><Relationship Id="rId1385" Type="http://schemas.openxmlformats.org/officeDocument/2006/relationships/hyperlink" Target="https://www.youtube.com/watch?v=SATmszd9LTQ" TargetMode="External"/><Relationship Id="rId1592" Type="http://schemas.openxmlformats.org/officeDocument/2006/relationships/hyperlink" Target="https://gld.legislaturacba.gob.ar/Publics/Actas.aspx?id=F0lOBA6aVvs=" TargetMode="External"/><Relationship Id="rId91" Type="http://schemas.openxmlformats.org/officeDocument/2006/relationships/hyperlink" Target="https://www.youtube.com/watch?v=wUo-YGm8jxA" TargetMode="External"/><Relationship Id="rId408" Type="http://schemas.openxmlformats.org/officeDocument/2006/relationships/hyperlink" Target="https://gld.legislaturacba.gob.ar/Publics/Actas.aspx?id=cJxDuKjiino=" TargetMode="External"/><Relationship Id="rId615" Type="http://schemas.openxmlformats.org/officeDocument/2006/relationships/hyperlink" Targe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2" Type="http://schemas.openxmlformats.org/officeDocument/2006/relationships/hyperlink" Targe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8" Type="http://schemas.openxmlformats.org/officeDocument/2006/relationships/hyperlink" Target="https://www.youtube.com/watch?v=nVuyO6Ais3U" TargetMode="External"/><Relationship Id="rId1245" Type="http://schemas.openxmlformats.org/officeDocument/2006/relationships/hyperlink" Target="https://gld.legislaturacba.gob.ar/Publics/Actas.aspx?id=srEQPgj190M=;https://gld.legislaturacba.gob.ar/Publics/Actas.aspx?id=lq0yZ26EM8k=;https://gld.legislaturacba.gob.ar/Publics/Actas.aspx?id=KQGxy3BovXo=" TargetMode="External"/><Relationship Id="rId1452" Type="http://schemas.openxmlformats.org/officeDocument/2006/relationships/hyperlink" Target="https://gld.legislaturacba.gob.ar/Publics/Actas.aspx?id=dcFNoW-kFBM=" TargetMode="External"/><Relationship Id="rId1897" Type="http://schemas.openxmlformats.org/officeDocument/2006/relationships/hyperlink" Target="https://www.youtube.com/watch?v=yvwCIoIcgns" TargetMode="External"/><Relationship Id="rId1105" Type="http://schemas.openxmlformats.org/officeDocument/2006/relationships/hyperlink" Targe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12" Type="http://schemas.openxmlformats.org/officeDocument/2006/relationships/hyperlink" Targe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7" Type="http://schemas.openxmlformats.org/officeDocument/2006/relationships/hyperlink" Target="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64" Type="http://schemas.openxmlformats.org/officeDocument/2006/relationships/hyperlink" Target="https://gld.legislaturacba.gob.ar/Publics/Actas.aspx?id=r0iJea1MX0I=" TargetMode="External"/><Relationship Id="rId49" Type="http://schemas.openxmlformats.org/officeDocument/2006/relationships/hyperlink" Target="https://gld.legislaturacba.gob.ar/Publics/Actas.aspx?id=Wn7zEuoaaXY=" TargetMode="External"/><Relationship Id="rId1617" Type="http://schemas.openxmlformats.org/officeDocument/2006/relationships/hyperlink" Target="https://www.youtube.com/watch?v=MveWz4f2klY" TargetMode="External"/><Relationship Id="rId1824" Type="http://schemas.openxmlformats.org/officeDocument/2006/relationships/hyperlink" Target="https://www.youtube.com/watch?v=X_WbYExIZ58" TargetMode="External"/><Relationship Id="rId198" Type="http://schemas.openxmlformats.org/officeDocument/2006/relationships/hyperlink" Targe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86" Type="http://schemas.openxmlformats.org/officeDocument/2006/relationships/hyperlink" Target="https://www.youtube.com/watch?v=LOCJvGd0Bsc" TargetMode="External"/><Relationship Id="rId265" Type="http://schemas.openxmlformats.org/officeDocument/2006/relationships/hyperlink" Targe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2" Type="http://schemas.openxmlformats.org/officeDocument/2006/relationships/hyperlink" Targe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5" Type="http://schemas.openxmlformats.org/officeDocument/2006/relationships/hyperlink" Target="https://www.youtube.com/watch?v=nPxpGApgkYs" TargetMode="External"/><Relationship Id="rId332" Type="http://schemas.openxmlformats.org/officeDocument/2006/relationships/hyperlink" Target="https://www.youtube.com/watch?v=yurBNP5nAnY" TargetMode="External"/><Relationship Id="rId777" Type="http://schemas.openxmlformats.org/officeDocument/2006/relationships/hyperlink" Target="https://gld.legislaturacba.gob.ar/Publics/Actas.aspx?id=EjevQj4ywKE=;https://gld.legislaturacba.gob.ar/Publics/Actas.aspx?id=J2pieaVdwgA=;https://gld.legislaturacba.gob.ar/Publics/Actas.aspx?id=rIsjyuCQXOY=" TargetMode="External"/><Relationship Id="rId984" Type="http://schemas.openxmlformats.org/officeDocument/2006/relationships/hyperlink" Target="https://gld.legislaturacba.gob.ar/Publics/Actas.aspx?id=AgInIdvqd3M=;https://gld.legislaturacba.gob.ar/Publics/Actas.aspx?id=dQumU0lhVYs=" TargetMode="External"/><Relationship Id="rId2013" Type="http://schemas.openxmlformats.org/officeDocument/2006/relationships/hyperlink" Target="https://gld.legislaturacba.gob.ar/Publics/Actas.aspx?id=rbSgSP7bGdg=;https://gld.legislaturacba.gob.ar/Publics/Actas.aspx?id=TT8zCPO3Crk=" TargetMode="External"/><Relationship Id="rId637" Type="http://schemas.openxmlformats.org/officeDocument/2006/relationships/hyperlink" Target="https://www.youtube.com/watch?v=Z2ibNcVzFZ4" TargetMode="External"/><Relationship Id="rId844" Type="http://schemas.openxmlformats.org/officeDocument/2006/relationships/hyperlink" Target="https://www.youtube.com/watch?v=LaH-cBur8W8" TargetMode="External"/><Relationship Id="rId1267" Type="http://schemas.openxmlformats.org/officeDocument/2006/relationships/hyperlink" Target="https://gld.legislaturacba.gob.ar/Publics/Actas.aspx?id=8yWCj-tylzM=;https://gld.legislaturacba.gob.ar/Publics/Actas.aspx?id=ciXLi16OkXY=;https://gld.legislaturacba.gob.ar/Publics/Actas.aspx?id=QW1BfD0z0xk=;https://gld.legislaturacba.gob.ar/Publics/Actas.aspx?id=lmasfc0WSwk=" TargetMode="External"/><Relationship Id="rId1474" Type="http://schemas.openxmlformats.org/officeDocument/2006/relationships/hyperlink" Target="https://www.youtube.com/watch?v=HxeCwO4ph_A" TargetMode="External"/><Relationship Id="rId1681" Type="http://schemas.openxmlformats.org/officeDocument/2006/relationships/hyperlink" Target="https://www.youtube.com/watch?v=W0ASEBtAbVU" TargetMode="External"/><Relationship Id="rId704" Type="http://schemas.openxmlformats.org/officeDocument/2006/relationships/hyperlink" Target="https://gld.legislaturacba.gob.ar/Publics/Actas.aspx?id=wv8ae8KiYfI=" TargetMode="External"/><Relationship Id="rId911" Type="http://schemas.openxmlformats.org/officeDocument/2006/relationships/hyperlink" Target="https://gld.legislaturacba.gob.ar/Publics/Actas.aspx?id=lJ8ILD-6yXo=;https://gld.legislaturacba.gob.ar/Publics/Actas.aspx?id=Kdf_XCaoJjU=" TargetMode="External"/><Relationship Id="rId1127" Type="http://schemas.openxmlformats.org/officeDocument/2006/relationships/hyperlink" Target="https://www.youtube.com/watch?v=hZKP2VnS_Uc" TargetMode="External"/><Relationship Id="rId1334" Type="http://schemas.openxmlformats.org/officeDocument/2006/relationships/hyperlink" Target="https://www.youtube.com/watch?v=TW1TavWcgYU" TargetMode="External"/><Relationship Id="rId1541" Type="http://schemas.openxmlformats.org/officeDocument/2006/relationships/hyperlink" Target="https://www.youtube.com/watch?v=P65-rMhRjWY" TargetMode="External"/><Relationship Id="rId1779" Type="http://schemas.openxmlformats.org/officeDocument/2006/relationships/hyperlink" Target="https://gld.legislaturacba.gob.ar/Publics/Actas.aspx?id=V7PkwWLummw=" TargetMode="External"/><Relationship Id="rId1986" Type="http://schemas.openxmlformats.org/officeDocument/2006/relationships/hyperlink" Target="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0" Type="http://schemas.openxmlformats.org/officeDocument/2006/relationships/hyperlink" Target="https://gld.legislaturacba.gob.ar/Publics/Actas.aspx?id=m6AwGSHemLo=" TargetMode="External"/><Relationship Id="rId1401" Type="http://schemas.openxmlformats.org/officeDocument/2006/relationships/hyperlink" Target="https://gld.legislaturacba.gob.ar/Publics/Actas.aspx?id=oNYlzCy9m8g=" TargetMode="External"/><Relationship Id="rId1639" Type="http://schemas.openxmlformats.org/officeDocument/2006/relationships/hyperlink" Target="https://www.youtube.com/watch?v=XvRwezdCAmI" TargetMode="External"/><Relationship Id="rId1846" Type="http://schemas.openxmlformats.org/officeDocument/2006/relationships/hyperlink" Target="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06" Type="http://schemas.openxmlformats.org/officeDocument/2006/relationships/hyperlink" Targe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13" Type="http://schemas.openxmlformats.org/officeDocument/2006/relationships/hyperlink" Target="https://gld.legislaturacba.gob.ar/Publics/Actas.aspx" TargetMode="External"/><Relationship Id="rId287" Type="http://schemas.openxmlformats.org/officeDocument/2006/relationships/hyperlink" Targe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4" Type="http://schemas.openxmlformats.org/officeDocument/2006/relationships/hyperlink" Target="https://gld.legislaturacba.gob.ar/Publics/Actas.aspx?id=Ns2u8LRwkMY=" TargetMode="External"/><Relationship Id="rId147" Type="http://schemas.openxmlformats.org/officeDocument/2006/relationships/hyperlink" Targe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4" Type="http://schemas.openxmlformats.org/officeDocument/2006/relationships/hyperlink" Target="https://www.youtube.com/watch?v=bRfYXfFoIpA" TargetMode="External"/><Relationship Id="rId799" Type="http://schemas.openxmlformats.org/officeDocument/2006/relationships/hyperlink" Targe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91" Type="http://schemas.openxmlformats.org/officeDocument/2006/relationships/hyperlink" Target="https://gld.legislaturacba.gob.ar/Publics/Actas.aspx?id=8bGR4zeAakw=;https://gld.legislaturacba.gob.ar/Publics/Actas.aspx?id=KDaK612TFjw=;https://gld.legislaturacba.gob.ar/Publics/Actas.aspx?id=GSONXLb-QBI=" TargetMode="External"/><Relationship Id="rId2035" Type="http://schemas.openxmlformats.org/officeDocument/2006/relationships/hyperlink" Target="https://www.youtube.com/watch?v=M4MKoqkyiEA" TargetMode="External"/><Relationship Id="rId561" Type="http://schemas.openxmlformats.org/officeDocument/2006/relationships/hyperlink" Target="https://gld.legislaturacba.gob.ar/Publics/Actas.aspx?id=M4SK_ts8Y8o=;https://gld.legislaturacba.gob.ar/Publics/Actas.aspx?id=SuScFNyv4lM=" TargetMode="External"/><Relationship Id="rId659" Type="http://schemas.openxmlformats.org/officeDocument/2006/relationships/hyperlink" Target="https://www.youtube.com/watch?v=bphiDXt8kbk" TargetMode="External"/><Relationship Id="rId866" Type="http://schemas.openxmlformats.org/officeDocument/2006/relationships/hyperlink" Target="https://gld.legislaturacba.gob.ar/Publics/Actas.aspx?id=itqRWHlE_eM=" TargetMode="External"/><Relationship Id="rId1289" Type="http://schemas.openxmlformats.org/officeDocument/2006/relationships/hyperlink" Target="https://gld.legislaturacba.gob.ar/Publics/Actas.aspx?id=un_TMZZNvmM=;https://gld.legislaturacba.gob.ar/Publics/Actas.aspx?id=jxyySxdN7RA=" TargetMode="External"/><Relationship Id="rId1496" Type="http://schemas.openxmlformats.org/officeDocument/2006/relationships/hyperlink" Target="https://www.youtube.com/watch?v=sz0vehC_52s" TargetMode="External"/><Relationship Id="rId214" Type="http://schemas.openxmlformats.org/officeDocument/2006/relationships/hyperlink" Targe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1"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9" Type="http://schemas.openxmlformats.org/officeDocument/2006/relationships/hyperlink" Targe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51" Type="http://schemas.openxmlformats.org/officeDocument/2006/relationships/hyperlink" Target="https://gld.legislaturacba.gob.ar/Publics/Actas.aspx?id=KbIxLCxOvO8=" TargetMode="External"/><Relationship Id="rId1149" Type="http://schemas.openxmlformats.org/officeDocument/2006/relationships/hyperlink" Target="https://gld.legislaturacba.gob.ar/Publics/Actas.aspx?id=9mIiX6bJfFU=" TargetMode="External"/><Relationship Id="rId1356" Type="http://schemas.openxmlformats.org/officeDocument/2006/relationships/hyperlink" Target="https://gld.legislaturacba.gob.ar/Publics/Actas.aspx?id=3Wo6yHPgUPQ=" TargetMode="External"/><Relationship Id="rId2102" Type="http://schemas.openxmlformats.org/officeDocument/2006/relationships/hyperlink" Target="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726" Type="http://schemas.openxmlformats.org/officeDocument/2006/relationships/hyperlink" Targe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3" Type="http://schemas.openxmlformats.org/officeDocument/2006/relationships/hyperlink" Targe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09" Type="http://schemas.openxmlformats.org/officeDocument/2006/relationships/hyperlink" Targe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63" Type="http://schemas.openxmlformats.org/officeDocument/2006/relationships/hyperlink" Target="https://gld.legislaturacba.gob.ar/Publics/Actas.aspx?id=trI671cQnas=" TargetMode="External"/><Relationship Id="rId1770" Type="http://schemas.openxmlformats.org/officeDocument/2006/relationships/hyperlink" Target="https://gld.legislaturacba.gob.ar/Publics/Actas.aspx?id=FDK7kTFmbzk=" TargetMode="External"/><Relationship Id="rId1868" Type="http://schemas.openxmlformats.org/officeDocument/2006/relationships/hyperlink" Target="https://www.youtube.com/watch?v=06GVseSwD4w" TargetMode="External"/><Relationship Id="rId62" Type="http://schemas.openxmlformats.org/officeDocument/2006/relationships/hyperlink" Targe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16" Type="http://schemas.openxmlformats.org/officeDocument/2006/relationships/hyperlink" Targe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3" Type="http://schemas.openxmlformats.org/officeDocument/2006/relationships/hyperlink" Target="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0" Type="http://schemas.openxmlformats.org/officeDocument/2006/relationships/hyperlink" Target="https://www.youtube.com/watch?v=3w6OjkrK_iI" TargetMode="External"/><Relationship Id="rId1728" Type="http://schemas.openxmlformats.org/officeDocument/2006/relationships/hyperlink" Target="https://gld.legislaturacba.gob.ar/Publics/Actas.aspx?id=PbfUWTwq3FI=;https://gld.legislaturacba.gob.ar/Publics/Actas.aspx?id=ZGlc3ZVej5M=;https://gld.legislaturacba.gob.ar/Publics/Actas.aspx?id=imgwDfsyw1w=" TargetMode="External"/><Relationship Id="rId1935" Type="http://schemas.openxmlformats.org/officeDocument/2006/relationships/hyperlink" Target="https://gld.legislaturacba.gob.ar/Publics/Actas.aspx?id=bcKQ9fOHpgM=" TargetMode="External"/><Relationship Id="rId169" Type="http://schemas.openxmlformats.org/officeDocument/2006/relationships/hyperlink" Target="https://www.youtube.com/watch?v=5wLEIV3c9Zw" TargetMode="External"/><Relationship Id="rId376" Type="http://schemas.openxmlformats.org/officeDocument/2006/relationships/hyperlink" Target="https://gld.legislaturacba.gob.ar/Publics/Actas.aspx?id=BjgopClBJPg=" TargetMode="External"/><Relationship Id="rId583" Type="http://schemas.openxmlformats.org/officeDocument/2006/relationships/hyperlink" Targe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0" Type="http://schemas.openxmlformats.org/officeDocument/2006/relationships/hyperlink" Targe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57" Type="http://schemas.openxmlformats.org/officeDocument/2006/relationships/hyperlink" Target="https://gld.legislaturacba.gob.ar/Publics/Actas.aspx?id=4_2MUNai5ro=;https://gld.legislaturacba.gob.ar/Publics/Actas.aspx?id=DhhOQNr1ljM=;https://gld.legislaturacba.gob.ar/Publics/Actas.aspx?id=HsyMNzMnh7M=" TargetMode="External"/><Relationship Id="rId4" Type="http://schemas.openxmlformats.org/officeDocument/2006/relationships/hyperlink" Target="https://gld.legislaturacba.gob.ar/Publics/Actas.aspx?id=7lxFU7OrFzw=" TargetMode="External"/><Relationship Id="rId236" Type="http://schemas.openxmlformats.org/officeDocument/2006/relationships/hyperlink" Target="https://gld.legislaturacba.gob.ar/Publics/Actas.aspx?id=QvfbQvSF3rM=" TargetMode="External"/><Relationship Id="rId443" Type="http://schemas.openxmlformats.org/officeDocument/2006/relationships/hyperlink" Target="https://www.youtube.com/watch?v=SA2qevq-HfY" TargetMode="External"/><Relationship Id="rId650" Type="http://schemas.openxmlformats.org/officeDocument/2006/relationships/hyperlink" Target="https://www.youtube.com/watch?v=AfN5PKyw2r8" TargetMode="External"/><Relationship Id="rId888" Type="http://schemas.openxmlformats.org/officeDocument/2006/relationships/hyperlink" Targe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3" Type="http://schemas.openxmlformats.org/officeDocument/2006/relationships/hyperlink" Target="https://gld.legislaturacba.gob.ar/Publics/Actas.aspx?id=uVszuvJcJqg=" TargetMode="External"/><Relationship Id="rId1280" Type="http://schemas.openxmlformats.org/officeDocument/2006/relationships/hyperlink" Targe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24" Type="http://schemas.openxmlformats.org/officeDocument/2006/relationships/hyperlink" Target="https://www.youtube.com/watch?v=5nkOG7vy1sI" TargetMode="External"/><Relationship Id="rId303" Type="http://schemas.openxmlformats.org/officeDocument/2006/relationships/hyperlink" Targe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8" Type="http://schemas.openxmlformats.org/officeDocument/2006/relationships/hyperlink" Targe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5" Type="http://schemas.openxmlformats.org/officeDocument/2006/relationships/hyperlink" Target="https://gld.legislaturacba.gob.ar/Publics/Actas.aspx?id=J3sEQeTl5po=" TargetMode="External"/><Relationship Id="rId1140" Type="http://schemas.openxmlformats.org/officeDocument/2006/relationships/hyperlink" Target="https://www.youtube.com/watch?v=5HHydFCuJfA" TargetMode="External"/><Relationship Id="rId1378" Type="http://schemas.openxmlformats.org/officeDocument/2006/relationships/hyperlink" Target="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85" Type="http://schemas.openxmlformats.org/officeDocument/2006/relationships/hyperlink" Targe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92" Type="http://schemas.openxmlformats.org/officeDocument/2006/relationships/hyperlink" Target="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4" Type="http://schemas.openxmlformats.org/officeDocument/2006/relationships/hyperlink" Target="https://www.youtube.com/watch?v=XvQJYkgwKV8" TargetMode="External"/><Relationship Id="rId510" Type="http://schemas.openxmlformats.org/officeDocument/2006/relationships/hyperlink" Targe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8" Type="http://schemas.openxmlformats.org/officeDocument/2006/relationships/hyperlink" Target="https://gld.legislaturacba.gob.ar/Publics/Actas.aspx?id=curhkRNGj_E=" TargetMode="External"/><Relationship Id="rId815" Type="http://schemas.openxmlformats.org/officeDocument/2006/relationships/hyperlink" Target="https://www.youtube.com/watch?v=6oN8T79ooxM" TargetMode="External"/><Relationship Id="rId1238" Type="http://schemas.openxmlformats.org/officeDocument/2006/relationships/hyperlink" Target="https://www.youtube.com/watch?v=0ZDQNIzWZwE&amp;t" TargetMode="External"/><Relationship Id="rId1445" Type="http://schemas.openxmlformats.org/officeDocument/2006/relationships/hyperlink" Target="https://www.youtube.com/watch?v=jCtEPBbEfOs" TargetMode="External"/><Relationship Id="rId1652" Type="http://schemas.openxmlformats.org/officeDocument/2006/relationships/hyperlink" Target="https://gld.legislaturacba.gob.ar/Publics/Actas.aspx?id=owHEuLeJVvk=;https://gld.legislaturacba.gob.ar/Publics/Actas.aspx?id=AOg_EHyf6SI=" TargetMode="External"/><Relationship Id="rId1000" Type="http://schemas.openxmlformats.org/officeDocument/2006/relationships/hyperlink" Target="https://www.youtube.com/watch?v=s5BY3eVemR0" TargetMode="External"/><Relationship Id="rId1305" Type="http://schemas.openxmlformats.org/officeDocument/2006/relationships/hyperlink" Target="https://www.youtube.com/watch?v=x-RSjRenOGQ" TargetMode="External"/><Relationship Id="rId1957" Type="http://schemas.openxmlformats.org/officeDocument/2006/relationships/hyperlink" Target="https://www.youtube.com/watch?v=tClob1QsRQI" TargetMode="External"/><Relationship Id="rId1512" Type="http://schemas.openxmlformats.org/officeDocument/2006/relationships/hyperlink" Target="https://gld.legislaturacba.gob.ar/Publics/Actas.aspx?id=vZL92_UR2Y4=;https://gld.legislaturacba.gob.ar/Publics/Actas.aspx?id=dvTsVkAoi-0=" TargetMode="External"/><Relationship Id="rId1817" Type="http://schemas.openxmlformats.org/officeDocument/2006/relationships/hyperlink" Target="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1" Type="http://schemas.openxmlformats.org/officeDocument/2006/relationships/hyperlink" Target="https://gld.legislaturacba.gob.ar/Publics/Actas.aspx?id=t3crsEi3xa8=" TargetMode="External"/><Relationship Id="rId398" Type="http://schemas.openxmlformats.org/officeDocument/2006/relationships/hyperlink" Target="https://gld.legislaturacba.gob.ar/Publics/Actas.aspx?id=odRJfQm7rdk=" TargetMode="External"/><Relationship Id="rId2079" Type="http://schemas.openxmlformats.org/officeDocument/2006/relationships/hyperlink" Target="https://gld.legislaturacba.gob.ar/Publics/Actas.aspx?id=XaBPEz762kg=;https://gld.legislaturacba.gob.ar/Publics/Actas.aspx?id=86Dwn3jxFag=" TargetMode="External"/><Relationship Id="rId160" Type="http://schemas.openxmlformats.org/officeDocument/2006/relationships/hyperlink" Target="https://www.youtube.com/watch?v=RO4SqDiLWFk" TargetMode="External"/><Relationship Id="rId258" Type="http://schemas.openxmlformats.org/officeDocument/2006/relationships/hyperlink" Target="https://www.youtube.com/watch?v=x037yjzcqME" TargetMode="External"/><Relationship Id="rId465" Type="http://schemas.openxmlformats.org/officeDocument/2006/relationships/hyperlink" Target="https://gld.legislaturacba.gob.ar/Publics/Actas.aspx?id=Vl3PpKPH4d4=;https://gld.legislaturacba.gob.ar/Publics/Actas.aspx?id=0yKJCMCTo7c=;https://gld.legislaturacba.gob.ar/Publics/Actas.aspx?id=n8P0BCfliUc=" TargetMode="External"/><Relationship Id="rId672" Type="http://schemas.openxmlformats.org/officeDocument/2006/relationships/hyperlink" Target="https://gld.legislaturacba.gob.ar/Publics/Actas.aspx?id=IsnheIm9Vmk=;https://gld.legislaturacba.gob.ar/Publics/Actas.aspx?id=IpArXdThrGQ=" TargetMode="External"/><Relationship Id="rId1095" Type="http://schemas.openxmlformats.org/officeDocument/2006/relationships/hyperlink" Target="https://www.youtube.com/watch?v=dKUzhjCscm8" TargetMode="External"/><Relationship Id="rId118" Type="http://schemas.openxmlformats.org/officeDocument/2006/relationships/hyperlink" Target="https://gld.legislaturacba.gob.ar/Publics/Actas.aspx?id=EwKsGWind_M=" TargetMode="External"/><Relationship Id="rId325" Type="http://schemas.openxmlformats.org/officeDocument/2006/relationships/hyperlink" Targe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2" Type="http://schemas.openxmlformats.org/officeDocument/2006/relationships/hyperlink" Target="https://gld.legislaturacba.gob.ar/Publics/Actas.aspx?id=H8z8IMs9VOA=" TargetMode="External"/><Relationship Id="rId977" Type="http://schemas.openxmlformats.org/officeDocument/2006/relationships/hyperlink" Target="https://www.youtube.com/watch?v=ENWm_46gYYM" TargetMode="External"/><Relationship Id="rId1162" Type="http://schemas.openxmlformats.org/officeDocument/2006/relationships/hyperlink" Targe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06" Type="http://schemas.openxmlformats.org/officeDocument/2006/relationships/hyperlink" Target="https://gld.legislaturacba.gob.ar/Publics/Actas.aspx?id=66G43huGb7E=;https://gld.legislaturacba.gob.ar/Publics/Actas.aspx?id=8fNONWsiq2U=" TargetMode="External"/><Relationship Id="rId837" Type="http://schemas.openxmlformats.org/officeDocument/2006/relationships/hyperlink" Targe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2" Type="http://schemas.openxmlformats.org/officeDocument/2006/relationships/hyperlink" Targe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67" Type="http://schemas.openxmlformats.org/officeDocument/2006/relationships/hyperlink" Target="https://gld.legislaturacba.gob.ar/Publics/Actas.aspx?id=74Y3G9JmV_o=;https://gld.legislaturacba.gob.ar/Publics/Actas.aspx?id=2_nl6EHFnQw=" TargetMode="External"/><Relationship Id="rId1674" Type="http://schemas.openxmlformats.org/officeDocument/2006/relationships/hyperlink" Target="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81" Type="http://schemas.openxmlformats.org/officeDocument/2006/relationships/hyperlink" Target="https://gld.legislaturacba.gob.ar/Publics/Actas.aspx?id=eIt4rSiGWnU=" TargetMode="External"/><Relationship Id="rId904" Type="http://schemas.openxmlformats.org/officeDocument/2006/relationships/hyperlink" Target="https://www.youtube.com/watch?v=2wkGrycC-Gg" TargetMode="External"/><Relationship Id="rId1327" Type="http://schemas.openxmlformats.org/officeDocument/2006/relationships/hyperlink" Targe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4" Type="http://schemas.openxmlformats.org/officeDocument/2006/relationships/hyperlink" Target="https://gld.legislaturacba.gob.ar/Publics/Actas.aspx?id=kP9eqltHv28=;https://gld.legislaturacba.gob.ar/Publics/Actas.aspx?id=YnRDOB-PfPA=" TargetMode="External"/><Relationship Id="rId1741" Type="http://schemas.openxmlformats.org/officeDocument/2006/relationships/hyperlink" Target="https://www.youtube.com/watch?v=LHWEconwuiM" TargetMode="External"/><Relationship Id="rId1979" Type="http://schemas.openxmlformats.org/officeDocument/2006/relationships/hyperlink" Target="https://gld.legislaturacba.gob.ar/Publics/Actas.aspx?id=LfQStOnRqW8=" TargetMode="External"/><Relationship Id="rId33" Type="http://schemas.openxmlformats.org/officeDocument/2006/relationships/hyperlink" Target="https://www.youtube.com/watch?v=vUB_INPxhE4" TargetMode="External"/><Relationship Id="rId1601" Type="http://schemas.openxmlformats.org/officeDocument/2006/relationships/hyperlink" Target="https://gld.legislaturacba.gob.ar/Publics/Actas.aspx?id=8T4HiUfJm2k=;https://gld.legislaturacba.gob.ar/Publics/Actas.aspx?id=suBlDTszjps=" TargetMode="External"/><Relationship Id="rId1839" Type="http://schemas.openxmlformats.org/officeDocument/2006/relationships/hyperlink" Target="https://gld.legislaturacba.gob.ar/Publics/Actas.aspx?id=U1pTdO0rcdA=" TargetMode="External"/><Relationship Id="rId182" Type="http://schemas.openxmlformats.org/officeDocument/2006/relationships/hyperlink" Targe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06" Type="http://schemas.openxmlformats.org/officeDocument/2006/relationships/hyperlink" Target="https://gld.legislaturacba.gob.ar/Publics/Actas.aspx?id=-x3GAk6A9fE=" TargetMode="External"/><Relationship Id="rId487" Type="http://schemas.openxmlformats.org/officeDocument/2006/relationships/hyperlink" Target="https://www.youtube.com/watch?v=-NKDvABYslM" TargetMode="External"/><Relationship Id="rId694" Type="http://schemas.openxmlformats.org/officeDocument/2006/relationships/hyperlink" Target="https://www.youtube.com/watch?v=mvO0DYQpr4c" TargetMode="External"/><Relationship Id="rId2070" Type="http://schemas.openxmlformats.org/officeDocument/2006/relationships/hyperlink" Target="https://gld.legislaturacba.gob.ar/Publics/Actas.aspx?id=2VCXbTtVbek=;https://gld.legislaturacba.gob.ar/Publics/Actas.aspx?id=jbz25Hj9nZ8=" TargetMode="External"/><Relationship Id="rId347" Type="http://schemas.openxmlformats.org/officeDocument/2006/relationships/hyperlink" Target="https://gld.legislaturacba.gob.ar/Publics/Actas.aspx?id=V1kKjZ1SDac=" TargetMode="External"/><Relationship Id="rId999" Type="http://schemas.openxmlformats.org/officeDocument/2006/relationships/hyperlink" Targe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4" Type="http://schemas.openxmlformats.org/officeDocument/2006/relationships/hyperlink" Target="https://gld.legislaturacba.gob.ar/Publics/Actas.aspx?id=HIuEYEVqA7c=;https://gld.legislaturacba.gob.ar/Publics/Actas.aspx?id=oSCiYpvPavk=" TargetMode="External"/><Relationship Id="rId2028" Type="http://schemas.openxmlformats.org/officeDocument/2006/relationships/hyperlink" Target="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54" Type="http://schemas.openxmlformats.org/officeDocument/2006/relationships/hyperlink" Target="https://www.youtube.com/watch?v=iGIZmmwUowg" TargetMode="External"/><Relationship Id="rId761" Type="http://schemas.openxmlformats.org/officeDocument/2006/relationships/hyperlink" Target="https://www.youtube.com/watch?v=mpI1aS9D_JI" TargetMode="External"/><Relationship Id="rId859" Type="http://schemas.openxmlformats.org/officeDocument/2006/relationships/hyperlink" Target="https://www.youtube.com/watch?v=xq5VKCXjp8s" TargetMode="External"/><Relationship Id="rId1391" Type="http://schemas.openxmlformats.org/officeDocument/2006/relationships/hyperlink" Target="https://www.youtube.com/watch?v=I8AUPn3nfdk" TargetMode="External"/><Relationship Id="rId1489" Type="http://schemas.openxmlformats.org/officeDocument/2006/relationships/hyperlink" Target="https://www.youtube.com/watch?v=D8ArjO5Ks5E" TargetMode="External"/><Relationship Id="rId1696" Type="http://schemas.openxmlformats.org/officeDocument/2006/relationships/hyperlink" Target="https://www.youtube.com/watch?v=Y32O3zV28Rc" TargetMode="External"/><Relationship Id="rId207" Type="http://schemas.openxmlformats.org/officeDocument/2006/relationships/hyperlink" Target="https://www.youtube.com/watch?v=RjL2cgpjhY0" TargetMode="External"/><Relationship Id="rId414" Type="http://schemas.openxmlformats.org/officeDocument/2006/relationships/hyperlink" Target="https://www.youtube.com/watch?v=wIgoO7ogfEc" TargetMode="External"/><Relationship Id="rId621" Type="http://schemas.openxmlformats.org/officeDocument/2006/relationships/hyperlink" Targe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4" Type="http://schemas.openxmlformats.org/officeDocument/2006/relationships/hyperlink" Target="https://www.youtube.com/watch?v=O0VgqOcu1Ok" TargetMode="External"/><Relationship Id="rId1251" Type="http://schemas.openxmlformats.org/officeDocument/2006/relationships/hyperlink" Target="https://gld.legislaturacba.gob.ar/Publics/Actas.aspx?id=nyowBNqArE0=;https://gld.legislaturacba.gob.ar/Publics/Actas.aspx?id=bLsLl8J3uv8=;https://gld.legislaturacba.gob.ar/Publics/Actas.aspx?id=izucnWEehAg=" TargetMode="External"/><Relationship Id="rId1349" Type="http://schemas.openxmlformats.org/officeDocument/2006/relationships/hyperlink" Target="https://www.youtube.com/watch?v=Lq41TFeOyKM" TargetMode="External"/><Relationship Id="rId719" Type="http://schemas.openxmlformats.org/officeDocument/2006/relationships/hyperlink" Target="https://gld.legislaturacba.gob.ar/Publics/Actas.aspx?id=CoThB9jvlyg=" TargetMode="External"/><Relationship Id="rId926" Type="http://schemas.openxmlformats.org/officeDocument/2006/relationships/hyperlink" Target="https://gld.legislaturacba.gob.ar/Publics/Actas.aspx?id=Ex2G8Ke8k2E=;https://gld.legislaturacba.gob.ar/Publics/Actas.aspx?id=Qlk3sCOfTDI=" TargetMode="External"/><Relationship Id="rId1111" Type="http://schemas.openxmlformats.org/officeDocument/2006/relationships/hyperlink" Targe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56" Type="http://schemas.openxmlformats.org/officeDocument/2006/relationships/hyperlink" Target="https://www.youtube.com/watch?v=WR84Vu1SRqQ" TargetMode="External"/><Relationship Id="rId1763" Type="http://schemas.openxmlformats.org/officeDocument/2006/relationships/hyperlink" Target="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70" Type="http://schemas.openxmlformats.org/officeDocument/2006/relationships/hyperlink" Target="https://gld.legislaturacba.gob.ar/Publics/Actas.aspx?id=3H3EtxsQShU=;NA" TargetMode="External"/><Relationship Id="rId55" Type="http://schemas.openxmlformats.org/officeDocument/2006/relationships/hyperlink" Target="https://gld.legislaturacba.gob.ar/Publics/Actas.aspx?id=qR7nflaeajk=" TargetMode="External"/><Relationship Id="rId1209" Type="http://schemas.openxmlformats.org/officeDocument/2006/relationships/hyperlink" Target="https://gld.legislaturacba.gob.ar/Publics/Actas.aspx?id=0QmXLVnj1V4=;https://gld.legislaturacba.gob.ar/Publics/Actas.aspx?id=WzRzMVdHVIE=" TargetMode="External"/><Relationship Id="rId1416" Type="http://schemas.openxmlformats.org/officeDocument/2006/relationships/hyperlink" Target="https://gld.legislaturacba.gob.ar/Publics/Actas.aspx?id=Nemub8280PQ=" TargetMode="External"/><Relationship Id="rId1623" Type="http://schemas.openxmlformats.org/officeDocument/2006/relationships/hyperlink" Target="https://www.youtube.com/watch?v=CjVMI6q8seo" TargetMode="External"/><Relationship Id="rId1830" Type="http://schemas.openxmlformats.org/officeDocument/2006/relationships/hyperlink" Target="https://www.youtube.com/watch?v=AOtZ9nbt4iA" TargetMode="External"/><Relationship Id="rId1928" Type="http://schemas.openxmlformats.org/officeDocument/2006/relationships/hyperlink" Target="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92" Type="http://schemas.openxmlformats.org/officeDocument/2006/relationships/hyperlink" Target="https://gld.legislaturacba.gob.ar/Publics/Actas.aspx?id=WUY20FbWsYA=" TargetMode="External"/><Relationship Id="rId271" Type="http://schemas.openxmlformats.org/officeDocument/2006/relationships/hyperlink" Targe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1" Type="http://schemas.openxmlformats.org/officeDocument/2006/relationships/hyperlink" Target="https://gld.legislaturacba.gob.ar/Publics/Actas.aspx?id=L0n68cPZPfM=;https://gld.legislaturacba.gob.ar/Publics/Actas.aspx?id=TdYLB8CURzo=;https://gld.legislaturacba.gob.ar/Publics/Actas.aspx?id=6C397JfwzlU=" TargetMode="External"/><Relationship Id="rId369" Type="http://schemas.openxmlformats.org/officeDocument/2006/relationships/hyperlink" Target="https://www.youtube.com/watch?v=TJ5qA2OA-sk" TargetMode="External"/><Relationship Id="rId576" Type="http://schemas.openxmlformats.org/officeDocument/2006/relationships/hyperlink" Target="https://www.youtube.com/watch?v=81ut3IZNHmc" TargetMode="External"/><Relationship Id="rId783" Type="http://schemas.openxmlformats.org/officeDocument/2006/relationships/hyperlink" Target="https://gld.legislaturacba.gob.ar/Publics/Actas.aspx?id=aGtPWDuZtPc=" TargetMode="External"/><Relationship Id="rId990" Type="http://schemas.openxmlformats.org/officeDocument/2006/relationships/hyperlink" Targe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9" Type="http://schemas.openxmlformats.org/officeDocument/2006/relationships/hyperlink" Target="https://www.youtube.com/watch?v=061txvY0N9Q" TargetMode="External"/><Relationship Id="rId436" Type="http://schemas.openxmlformats.org/officeDocument/2006/relationships/hyperlink" Targe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3" Type="http://schemas.openxmlformats.org/officeDocument/2006/relationships/hyperlink" Target="https://gld.legislaturacba.gob.ar/Publics/Actas.aspx?id=LXj1jiBxSLQ=" TargetMode="External"/><Relationship Id="rId1066" Type="http://schemas.openxmlformats.org/officeDocument/2006/relationships/hyperlink" Target="https://www.youtube.com/watch?v=gosAJzmVfGM" TargetMode="External"/><Relationship Id="rId1273" Type="http://schemas.openxmlformats.org/officeDocument/2006/relationships/hyperlink" Target="https://gld.legislaturacba.gob.ar/Publics/Actas.aspx?id=2xB9mmGYACQ=;https://gld.legislaturacba.gob.ar/Publics/Actas.aspx?id=3sSZVdjyzWc=;https://gld.legislaturacba.gob.ar/Publics/Actas.aspx?id=mJikP0nd_cs=" TargetMode="External"/><Relationship Id="rId1480" Type="http://schemas.openxmlformats.org/officeDocument/2006/relationships/hyperlink" Target="https://www.youtube.com/watch?v=Ygnt-ym8vAM" TargetMode="External"/><Relationship Id="rId2117" Type="http://schemas.openxmlformats.org/officeDocument/2006/relationships/hyperlink" Target="https://www.youtube.com/watch?v=QTcbsOFN3z0" TargetMode="External"/><Relationship Id="rId850" Type="http://schemas.openxmlformats.org/officeDocument/2006/relationships/hyperlink" Target="https://www.youtube.com/watch?v=J5md5YQNBGM" TargetMode="External"/><Relationship Id="rId948" Type="http://schemas.openxmlformats.org/officeDocument/2006/relationships/hyperlink" Target="https://www.youtube.com/watch?v=RANohj6-nQM" TargetMode="External"/><Relationship Id="rId1133" Type="http://schemas.openxmlformats.org/officeDocument/2006/relationships/hyperlink" Target="https://www.youtube.com/watch?v=njciRI9x1RA" TargetMode="External"/><Relationship Id="rId1578" Type="http://schemas.openxmlformats.org/officeDocument/2006/relationships/hyperlink" Target="https://gld.legislaturacba.gob.ar/Publics/Actas.aspx?id=VCjqYgypYRk=;https://gld.legislaturacba.gob.ar/Publics/Actas.aspx?id=4BbWdexOxig=;https://gld.legislaturacba.gob.ar/Publics/Actas.aspx?id=fqBGxMhbI_M=" TargetMode="External"/><Relationship Id="rId1785" Type="http://schemas.openxmlformats.org/officeDocument/2006/relationships/hyperlink" Target="https://gld.legislaturacba.gob.ar/Publics/Actas.aspx?id=ozd88n9ynXA=" TargetMode="External"/><Relationship Id="rId1992" Type="http://schemas.openxmlformats.org/officeDocument/2006/relationships/hyperlink" Target="https://www.youtube.com/watch?v=dDW4OWYaxcw" TargetMode="External"/><Relationship Id="rId77" Type="http://schemas.openxmlformats.org/officeDocument/2006/relationships/hyperlink" Target="https://gld.legislaturacba.gob.ar/Publics/Actas.aspx?id=nGfd4U-JHDo=;https://gld.legislaturacba.gob.ar/Publics/Actas.aspx?id=6pHcN_GfMzI=" TargetMode="External"/><Relationship Id="rId503" Type="http://schemas.openxmlformats.org/officeDocument/2006/relationships/hyperlink" Target="https://gld.legislaturacba.gob.ar/Publics/Actas.aspx?id=JnBKhwZ28WM=" TargetMode="External"/><Relationship Id="rId710" Type="http://schemas.openxmlformats.org/officeDocument/2006/relationships/hyperlink" Target="https://gld.legislaturacba.gob.ar/Publics/Actas.aspx?id=-xUuwQM3XFs=" TargetMode="External"/><Relationship Id="rId808" Type="http://schemas.openxmlformats.org/officeDocument/2006/relationships/hyperlink" Targe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0" Type="http://schemas.openxmlformats.org/officeDocument/2006/relationships/hyperlink" Target="https://www.youtube.com/watch?v=oPr42jh4l2g" TargetMode="External"/><Relationship Id="rId1438" Type="http://schemas.openxmlformats.org/officeDocument/2006/relationships/hyperlink" Target="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45" Type="http://schemas.openxmlformats.org/officeDocument/2006/relationships/hyperlink" Target="https://www.youtube.com/watch?v=Mmrwv4LkWvs" TargetMode="External"/><Relationship Id="rId1200" Type="http://schemas.openxmlformats.org/officeDocument/2006/relationships/hyperlink" Target="https://gld.legislaturacba.gob.ar/Publics/Actas.aspx?id=TZoFc9QBSJ0=" TargetMode="External"/><Relationship Id="rId1852" Type="http://schemas.openxmlformats.org/officeDocument/2006/relationships/hyperlink" Target="https://gld.legislaturacba.gob.ar/Publics/Actas.aspx?id=GqX_5gxYXgM=;https://gld.legislaturacba.gob.ar/Publics/Actas.aspx?id=zXA0wDRcOXg=" TargetMode="External"/><Relationship Id="rId1505" Type="http://schemas.openxmlformats.org/officeDocument/2006/relationships/hyperlink" Target="https://www.youtube.com/watch?v=nbVm0cC2fj0" TargetMode="External"/><Relationship Id="rId1712" Type="http://schemas.openxmlformats.org/officeDocument/2006/relationships/hyperlink" Target="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 TargetMode="External"/><Relationship Id="rId293" Type="http://schemas.openxmlformats.org/officeDocument/2006/relationships/hyperlink" Target="https://www.youtube.com/watch?v=qehJBhhCaIM" TargetMode="External"/><Relationship Id="rId153" Type="http://schemas.openxmlformats.org/officeDocument/2006/relationships/hyperlink" Target="https://gld.legislaturacba.gob.ar/Publics/Actas.aspx?id=B2lBCiOeenY=;https://gld.legislaturacba.gob.ar/Publics/Actas.aspx?id=14GNdM37niA=" TargetMode="External"/><Relationship Id="rId360" Type="http://schemas.openxmlformats.org/officeDocument/2006/relationships/hyperlink" Targe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8" Type="http://schemas.openxmlformats.org/officeDocument/2006/relationships/hyperlink" Target="https://www.youtube.com/watch?v=IQR_yOfYsPA" TargetMode="External"/><Relationship Id="rId2041" Type="http://schemas.openxmlformats.org/officeDocument/2006/relationships/hyperlink" Target="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20" Type="http://schemas.openxmlformats.org/officeDocument/2006/relationships/hyperlink" Target="https://www.youtube.com/watch?v=4IRg-Flt1mQ" TargetMode="External"/><Relationship Id="rId458" Type="http://schemas.openxmlformats.org/officeDocument/2006/relationships/hyperlink" Target="https://www.youtube.com/watch?v=buDN7eF-XpQ" TargetMode="External"/><Relationship Id="rId665" Type="http://schemas.openxmlformats.org/officeDocument/2006/relationships/hyperlink" Target="https://www.youtube.com/watch?v=k7LXVlMZ9Bs" TargetMode="External"/><Relationship Id="rId872" Type="http://schemas.openxmlformats.org/officeDocument/2006/relationships/hyperlink" Target="https://gld.legislaturacba.gob.ar/Publics/Actas.aspx?id=C82d0ruZVDM=" TargetMode="External"/><Relationship Id="rId1088" Type="http://schemas.openxmlformats.org/officeDocument/2006/relationships/hyperlink" Targe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95" Type="http://schemas.openxmlformats.org/officeDocument/2006/relationships/hyperlink" Target="https://gld.legislaturacba.gob.ar/Publics/Actas.aspx?id=8vkNQYOqbXw=;https://gld.legislaturacba.gob.ar/Publics/Actas.aspx?id=U1-x8cztYwE=;https://gld.legislaturacba.gob.ar/Publics/Actas.aspx?id=yyovZZ_hiaM=" TargetMode="External"/><Relationship Id="rId318" Type="http://schemas.openxmlformats.org/officeDocument/2006/relationships/hyperlink" Target="https://gld.legislaturacba.gob.ar/Publics/Actas.aspx?id=YmU-n5ECg6k=" TargetMode="External"/><Relationship Id="rId525" Type="http://schemas.openxmlformats.org/officeDocument/2006/relationships/hyperlink" Targe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2" Type="http://schemas.openxmlformats.org/officeDocument/2006/relationships/hyperlink" Targe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55" Type="http://schemas.openxmlformats.org/officeDocument/2006/relationships/hyperlink" Target="https://gld.legislaturacba.gob.ar/Publics/Actas.aspx?id=ty3_RlpExu4=" TargetMode="External"/><Relationship Id="rId1362" Type="http://schemas.openxmlformats.org/officeDocument/2006/relationships/hyperlink" Target="https://gld.legislaturacba.gob.ar/Publics/Actas.aspx?id=L36J39d-lIg=" TargetMode="External"/><Relationship Id="rId99" Type="http://schemas.openxmlformats.org/officeDocument/2006/relationships/hyperlink" Targe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15" Type="http://schemas.openxmlformats.org/officeDocument/2006/relationships/hyperlink" Targe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22" Type="http://schemas.openxmlformats.org/officeDocument/2006/relationships/hyperlink" Targe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67" Type="http://schemas.openxmlformats.org/officeDocument/2006/relationships/hyperlink" Target="https://gld.legislaturacba.gob.ar/Publics/Actas.aspx?id=EwbBJJuWdE0=;https://gld.legislaturacba.gob.ar/Publics/Actas.aspx?id=hZO9VREcmi4=" TargetMode="External"/><Relationship Id="rId1874" Type="http://schemas.openxmlformats.org/officeDocument/2006/relationships/hyperlink" Target="https://www.youtube.com/watch?v=l51lS1cLEWk" TargetMode="External"/><Relationship Id="rId1527" Type="http://schemas.openxmlformats.org/officeDocument/2006/relationships/hyperlink" Target="https://www.youtube.com/watch?v=RtYoVyeitvU" TargetMode="External"/><Relationship Id="rId1734" Type="http://schemas.openxmlformats.org/officeDocument/2006/relationships/hyperlink" Target="https://gld.legislaturacba.gob.ar/Publics/Actas.aspx?id=UQ6HEuuKFc8=" TargetMode="External"/><Relationship Id="rId1941" Type="http://schemas.openxmlformats.org/officeDocument/2006/relationships/hyperlink" Target="https://gld.legislaturacba.gob.ar/Publics/Actas.aspx?id=yguNm2F5GB8=;https://gld.legislaturacba.gob.ar/Publics/Actas.aspx?id=25A-vpkbhok=;https://gld.legislaturacba.gob.ar/Publics/Actas.aspx?id=U0DLw5__tFw=" TargetMode="External"/><Relationship Id="rId26" Type="http://schemas.openxmlformats.org/officeDocument/2006/relationships/hyperlink" Target="https://gld.legislaturacba.gob.ar/Publics/Actas.aspx?id=yZPsM9xnYqs=" TargetMode="External"/><Relationship Id="rId175" Type="http://schemas.openxmlformats.org/officeDocument/2006/relationships/hyperlink" Target="https://gld.legislaturacba.gob.ar/Publics/Actas.aspx?id=GQa6vMgcktE=;https://gld.legislaturacba.gob.ar/Publics/Actas.aspx?id=rhxtfSFoqEg=" TargetMode="External"/><Relationship Id="rId1801" Type="http://schemas.openxmlformats.org/officeDocument/2006/relationships/hyperlink" Target="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82" Type="http://schemas.openxmlformats.org/officeDocument/2006/relationships/hyperlink" Target="https://gld.legislaturacba.gob.ar/Publics/Actas.aspx?id=EbILIce2xLU=;https://gld.legislaturacba.gob.ar/Publics/Actas.aspx?id=V0iumeaRE7Y=" TargetMode="External"/><Relationship Id="rId687" Type="http://schemas.openxmlformats.org/officeDocument/2006/relationships/hyperlink" Targe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63" Type="http://schemas.openxmlformats.org/officeDocument/2006/relationships/hyperlink" Target="https://www.youtube.com/watch?v=1SYL1SHERdo" TargetMode="External"/><Relationship Id="rId242" Type="http://schemas.openxmlformats.org/officeDocument/2006/relationships/hyperlink" Target="https://gld.legislaturacba.gob.ar/Publics/Actas.aspx?id=gsh6Qt6HFHY=" TargetMode="External"/><Relationship Id="rId894" Type="http://schemas.openxmlformats.org/officeDocument/2006/relationships/hyperlink" Targe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7" Type="http://schemas.openxmlformats.org/officeDocument/2006/relationships/hyperlink" Target="https://www.youtube.com/watch?v=s-e63Z3Q0z4" TargetMode="External"/><Relationship Id="rId102" Type="http://schemas.openxmlformats.org/officeDocument/2006/relationships/hyperlink" Targe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7" Type="http://schemas.openxmlformats.org/officeDocument/2006/relationships/hyperlink" Target="https://gld.legislaturacba.gob.ar/Publics/Actas.aspx?id=EodNT5veUD0=" TargetMode="External"/><Relationship Id="rId754" Type="http://schemas.openxmlformats.org/officeDocument/2006/relationships/hyperlink" Targe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61" Type="http://schemas.openxmlformats.org/officeDocument/2006/relationships/hyperlink" Target="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384" Type="http://schemas.openxmlformats.org/officeDocument/2006/relationships/hyperlink" Target="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91" Type="http://schemas.openxmlformats.org/officeDocument/2006/relationships/hyperlink" Target="https://www.youtube.com/watch?v=-6iBpHFPgsk" TargetMode="External"/><Relationship Id="rId1689" Type="http://schemas.openxmlformats.org/officeDocument/2006/relationships/hyperlink" Targe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0" Type="http://schemas.openxmlformats.org/officeDocument/2006/relationships/hyperlink" Targe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7" Type="http://schemas.openxmlformats.org/officeDocument/2006/relationships/hyperlink" Target="https://www.youtube.com/watch?v=UZN6o6zQRIU" TargetMode="External"/><Relationship Id="rId614" Type="http://schemas.openxmlformats.org/officeDocument/2006/relationships/hyperlink" Target="https://gld.legislaturacba.gob.ar/Publics/Actas.aspx?id=EvlxxSp3QkY=" TargetMode="External"/><Relationship Id="rId821" Type="http://schemas.openxmlformats.org/officeDocument/2006/relationships/hyperlink" Target="https://gld.legislaturacba.gob.ar/Publics/Actas.aspx?id=JmMC8RWgeaE=;https://gld.legislaturacba.gob.ar/Publics/Actas.aspx?id=4CE3EZ8Ua_A=;https://gld.legislaturacba.gob.ar/Publics/Actas.aspx?id=5PS398s0pFA=" TargetMode="External"/><Relationship Id="rId1037" Type="http://schemas.openxmlformats.org/officeDocument/2006/relationships/hyperlink" Targe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44" Type="http://schemas.openxmlformats.org/officeDocument/2006/relationships/hyperlink" Target="https://www.youtube.com/watch?v=f2qgxq6XRV4" TargetMode="External"/><Relationship Id="rId1451" Type="http://schemas.openxmlformats.org/officeDocument/2006/relationships/hyperlink" Target="https://www.youtube.com/watch?v=yxI3iy28lFw" TargetMode="External"/><Relationship Id="rId1896" Type="http://schemas.openxmlformats.org/officeDocument/2006/relationships/hyperlink" Target="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919" Type="http://schemas.openxmlformats.org/officeDocument/2006/relationships/hyperlink" Target="https://www.youtube.com/watch?v=GR7gnhuNCu4" TargetMode="External"/><Relationship Id="rId1104" Type="http://schemas.openxmlformats.org/officeDocument/2006/relationships/hyperlink" Target="https://gld.legislaturacba.gob.ar/Publics/Actas.aspx?id=vIi3uRtFUsU=" TargetMode="External"/><Relationship Id="rId1311" Type="http://schemas.openxmlformats.org/officeDocument/2006/relationships/hyperlink" Target="https://gld.legislaturacba.gob.ar/Publics/Actas.aspx?id=oYsi31GegCo=" TargetMode="External"/><Relationship Id="rId1549" Type="http://schemas.openxmlformats.org/officeDocument/2006/relationships/hyperlink" Targe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TargetMode="External"/><Relationship Id="rId1756" Type="http://schemas.openxmlformats.org/officeDocument/2006/relationships/hyperlink" Target="https://gld.legislaturacba.gob.ar/Publics/Actas.aspx?id=8fLmH67fXhE=" TargetMode="External"/><Relationship Id="rId1963" Type="http://schemas.openxmlformats.org/officeDocument/2006/relationships/hyperlink" Target="https://www.youtube.com/watch?v=UGbZ-T87atw" TargetMode="External"/><Relationship Id="rId48" Type="http://schemas.openxmlformats.org/officeDocument/2006/relationships/hyperlink" Target="https://www.youtube.com/watch?v=u2SzA8HwB1E" TargetMode="External"/><Relationship Id="rId1409" Type="http://schemas.openxmlformats.org/officeDocument/2006/relationships/hyperlink" Target="https://gld.legislaturacba.gob.ar/Publics/Actas.aspx?id=Vtin_cSbkOY=;https://gld.legislaturacba.gob.ar/Publics/Actas.aspx?id=UNiDKaYO96g=" TargetMode="External"/><Relationship Id="rId1616" Type="http://schemas.openxmlformats.org/officeDocument/2006/relationships/hyperlink" Targe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TargetMode="External"/><Relationship Id="rId1823" Type="http://schemas.openxmlformats.org/officeDocument/2006/relationships/hyperlink" Target="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7" Type="http://schemas.openxmlformats.org/officeDocument/2006/relationships/hyperlink" Target="https://gld.legislaturacba.gob.ar/Publics/Actas.aspx?id=gf38IAaP-1E=" TargetMode="External"/><Relationship Id="rId2085" Type="http://schemas.openxmlformats.org/officeDocument/2006/relationships/hyperlink" Target="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64" Type="http://schemas.openxmlformats.org/officeDocument/2006/relationships/hyperlink" Target="https://gld.legislaturacba.gob.ar/Publics/Actas.aspx?id=W7YJs009aLY=" TargetMode="External"/><Relationship Id="rId471" Type="http://schemas.openxmlformats.org/officeDocument/2006/relationships/hyperlink" Target="https://gld.legislaturacba.gob.ar/Publics/Actas.aspx?id=NscmDJ01PiQ=;https://gld.legislaturacba.gob.ar/Publics/Actas.aspx?id=ETxU6i6E0VQ=;https://gld.legislaturacba.gob.ar/Publics/Actas.aspx?id=ToYWMe5mdzo=" TargetMode="External"/><Relationship Id="rId124" Type="http://schemas.openxmlformats.org/officeDocument/2006/relationships/hyperlink" Targe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9" Type="http://schemas.openxmlformats.org/officeDocument/2006/relationships/hyperlink" Target="https://www.youtube.com/watch?v=eJrqogUe7Us" TargetMode="External"/><Relationship Id="rId776" Type="http://schemas.openxmlformats.org/officeDocument/2006/relationships/hyperlink" Target="https://www.youtube.com/watch?v=Aj5vClEyzQA" TargetMode="External"/><Relationship Id="rId983" Type="http://schemas.openxmlformats.org/officeDocument/2006/relationships/hyperlink" Target="https://www.youtube.com/watch?v=WNGvZBExs2k" TargetMode="External"/><Relationship Id="rId1199" Type="http://schemas.openxmlformats.org/officeDocument/2006/relationships/hyperlink" Target="https://www.youtube.com/watch?v=xu9OfcFAaKA" TargetMode="External"/><Relationship Id="rId331" Type="http://schemas.openxmlformats.org/officeDocument/2006/relationships/hyperlink" Targe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9" Type="http://schemas.openxmlformats.org/officeDocument/2006/relationships/hyperlink" Target="https://gld.legislaturacba.gob.ar/Publics/Actas.aspx?id=Tv40g56mTUY=" TargetMode="External"/><Relationship Id="rId636" Type="http://schemas.openxmlformats.org/officeDocument/2006/relationships/hyperlink" Targe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59" Type="http://schemas.openxmlformats.org/officeDocument/2006/relationships/hyperlink" Target="https://gld.legislaturacba.gob.ar/Publics/Actas.aspx?id=WSsFsBypBwI=" TargetMode="External"/><Relationship Id="rId1266" Type="http://schemas.openxmlformats.org/officeDocument/2006/relationships/hyperlink" Target="https://www.youtube.com/watch?v=NAwNXcusuVs" TargetMode="External"/><Relationship Id="rId1473" Type="http://schemas.openxmlformats.org/officeDocument/2006/relationships/hyperlink" Target="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12" Type="http://schemas.openxmlformats.org/officeDocument/2006/relationships/hyperlink" Target="https://www.youtube.com/watch?v=WDa5YwNGN4E" TargetMode="External"/><Relationship Id="rId843" Type="http://schemas.openxmlformats.org/officeDocument/2006/relationships/hyperlink" Targe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26" Type="http://schemas.openxmlformats.org/officeDocument/2006/relationships/hyperlink" Targe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680" Type="http://schemas.openxmlformats.org/officeDocument/2006/relationships/hyperlink" Targe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78" Type="http://schemas.openxmlformats.org/officeDocument/2006/relationships/hyperlink" Target="https://www.youtube.com/watch?v=Iv7DMUMy-a8" TargetMode="External"/><Relationship Id="rId1985" Type="http://schemas.openxmlformats.org/officeDocument/2006/relationships/hyperlink" Target="https://gld.legislaturacba.gob.ar/Publics/Actas.aspx?id=eEqLbVh_yIM=" TargetMode="External"/><Relationship Id="rId703" Type="http://schemas.openxmlformats.org/officeDocument/2006/relationships/hyperlink" Target="https://www.youtube.com/watch?v=TrkZLeXAx90" TargetMode="External"/><Relationship Id="rId910" Type="http://schemas.openxmlformats.org/officeDocument/2006/relationships/hyperlink" Target="https://www.youtube.com/watch?v=bVFYSKOxpYw" TargetMode="External"/><Relationship Id="rId1333" Type="http://schemas.openxmlformats.org/officeDocument/2006/relationships/hyperlink" Targe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40" Type="http://schemas.openxmlformats.org/officeDocument/2006/relationships/hyperlink" Target="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8" Type="http://schemas.openxmlformats.org/officeDocument/2006/relationships/hyperlink" Targe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TargetMode="External"/><Relationship Id="rId1400" Type="http://schemas.openxmlformats.org/officeDocument/2006/relationships/hyperlink" Target="https://www.youtube.com/watch?v=bxt656sT_PM" TargetMode="External"/><Relationship Id="rId1845" Type="http://schemas.openxmlformats.org/officeDocument/2006/relationships/hyperlink" Target="https://gld.legislaturacba.gob.ar/Publics/Actas.aspx?id=P-CRB3pQlh8=" TargetMode="External"/><Relationship Id="rId1705" Type="http://schemas.openxmlformats.org/officeDocument/2006/relationships/hyperlink" Target="https://gld.legislaturacba.gob.ar/Publics/Actas.aspx?id=yCAgq-cindo=" TargetMode="External"/><Relationship Id="rId1912" Type="http://schemas.openxmlformats.org/officeDocument/2006/relationships/hyperlink" Target="https://gld.legislaturacba.gob.ar/Publics/Actas.aspx?id=W8-WtYEZo3Y=" TargetMode="External"/><Relationship Id="rId286" Type="http://schemas.openxmlformats.org/officeDocument/2006/relationships/hyperlink" Target="https://gld.legislaturacba.gob.ar/Publics/Actas.aspx?id=MsNHQuKT_rI=;https://gld.legislaturacba.gob.ar/Publics/Actas.aspx?id=0FBdnpclJUs=;https://gld.legislaturacba.gob.ar/Publics/Actas.aspx?id=TDdQKWj1Gas=" TargetMode="External"/><Relationship Id="rId493" Type="http://schemas.openxmlformats.org/officeDocument/2006/relationships/hyperlink" Target="https://www.youtube.com/watch?v=sNHwYlMvZYg" TargetMode="External"/><Relationship Id="rId146" Type="http://schemas.openxmlformats.org/officeDocument/2006/relationships/hyperlink" Target="https://gld.legislaturacba.gob.ar/Publics/Actas.aspx?id=-HQqYenYtHU=;https://gld.legislaturacba.gob.ar/Publics/Actas.aspx?id=nZpmE4Fr-CY=" TargetMode="External"/><Relationship Id="rId353" Type="http://schemas.openxmlformats.org/officeDocument/2006/relationships/hyperlink" Targe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0" Type="http://schemas.openxmlformats.org/officeDocument/2006/relationships/hyperlink" Target="https://www.youtube.com/watch?v=GJaKQmfr3LE" TargetMode="External"/><Relationship Id="rId798" Type="http://schemas.openxmlformats.org/officeDocument/2006/relationships/hyperlink" Target="https://gld.legislaturacba.gob.ar/Publics/Actas.aspx?id=BoEG8CMRxK8=" TargetMode="External"/><Relationship Id="rId1190" Type="http://schemas.openxmlformats.org/officeDocument/2006/relationships/hyperlink" Target="https://gld.legislaturacba.gob.ar/Publics/Actas.aspx?id=voBXvBPZuRk=" TargetMode="External"/><Relationship Id="rId2034" Type="http://schemas.openxmlformats.org/officeDocument/2006/relationships/hyperlink" Target="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213" Type="http://schemas.openxmlformats.org/officeDocument/2006/relationships/hyperlink" Target="https://gld.legislaturacba.gob.ar/Publics/Actas.aspx?id=L5erObfVC28=;https://gld.legislaturacba.gob.ar/Publics/Actas.aspx?id=YS5Hk2iIbUw=" TargetMode="External"/><Relationship Id="rId420" Type="http://schemas.openxmlformats.org/officeDocument/2006/relationships/hyperlink" Target="https://gld.legislaturacba.gob.ar/Publics/Actas.aspx?id=VjF6bCL4Ozc=;https://gld.legislaturacba.gob.ar/Publics/Actas.aspx?id=2uK-5ZPOm2Y=;https://gld.legislaturacba.gob.ar/Publics/Actas.aspx?id=_sQrrasnI1M=" TargetMode="External"/><Relationship Id="rId658" Type="http://schemas.openxmlformats.org/officeDocument/2006/relationships/hyperlink" Targe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5" Type="http://schemas.openxmlformats.org/officeDocument/2006/relationships/hyperlink" Target="https://www.youtube.com/watch?v=e70yOiW7dGE" TargetMode="External"/><Relationship Id="rId1050" Type="http://schemas.openxmlformats.org/officeDocument/2006/relationships/hyperlink" Target="https://www.youtube.com/watch?v=2gnKDh0EiuU" TargetMode="External"/><Relationship Id="rId1288" Type="http://schemas.openxmlformats.org/officeDocument/2006/relationships/hyperlink" Targe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5" Type="http://schemas.openxmlformats.org/officeDocument/2006/relationships/hyperlink" Target="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101" Type="http://schemas.openxmlformats.org/officeDocument/2006/relationships/hyperlink" Target="https://www.youtube.com/watch?v=LmLzZ6mSmYA" TargetMode="External"/><Relationship Id="rId518" Type="http://schemas.openxmlformats.org/officeDocument/2006/relationships/hyperlink" Target="https://gld.legislaturacba.gob.ar/Publics/Actas.aspx?id=910K9OZ8ln0=;https://gld.legislaturacba.gob.ar/Publics/Actas.aspx?id=VmQckbkTSvw=;https://gld.legislaturacba.gob.ar/Publics/Actas.aspx?id=w55NvP-nNd4=" TargetMode="External"/><Relationship Id="rId725" Type="http://schemas.openxmlformats.org/officeDocument/2006/relationships/hyperlink" Target="https://gld.legislaturacba.gob.ar/Publics/Actas.aspx?id=ecdoM8N26Pw=" TargetMode="External"/><Relationship Id="rId932" Type="http://schemas.openxmlformats.org/officeDocument/2006/relationships/hyperlink" Target="https://gld.legislaturacba.gob.ar/Publics/Actas.aspx?id=saHxQ-OZ0q8=" TargetMode="External"/><Relationship Id="rId1148" Type="http://schemas.openxmlformats.org/officeDocument/2006/relationships/hyperlink" Target="https://www.youtube.com/watch?v=LVdH9rmC8hU" TargetMode="External"/><Relationship Id="rId1355" Type="http://schemas.openxmlformats.org/officeDocument/2006/relationships/hyperlink" Target="https://www.youtube.com/watch?v=2ztWGDKp-vM" TargetMode="External"/><Relationship Id="rId1562" Type="http://schemas.openxmlformats.org/officeDocument/2006/relationships/hyperlink" Target="https://www.youtube.com/watch?v=EBQtuP4u7Kg" TargetMode="External"/><Relationship Id="rId1008" Type="http://schemas.openxmlformats.org/officeDocument/2006/relationships/hyperlink" Target="https://gld.legislaturacba.gob.ar/Publics/Actas.aspx?id=YZ78eDheKso=" TargetMode="External"/><Relationship Id="rId1215" Type="http://schemas.openxmlformats.org/officeDocument/2006/relationships/hyperlink" Target="https://gld.legislaturacba.gob.ar/Publics/Actas.aspx?id=xWEtZrfitUY=;https://gld.legislaturacba.gob.ar/Publics/Actas.aspx?id=thC6O0W2c1E=;https://gld.legislaturacba.gob.ar/Publics/Actas.aspx?id=IbHV-nwiRIQ=" TargetMode="External"/><Relationship Id="rId1422" Type="http://schemas.openxmlformats.org/officeDocument/2006/relationships/hyperlink" Target="https://gld.legislaturacba.gob.ar/Publics/Actas.aspx?id=HD57EZmR3w4=" TargetMode="External"/><Relationship Id="rId1867" Type="http://schemas.openxmlformats.org/officeDocument/2006/relationships/hyperlink" Target="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1" Type="http://schemas.openxmlformats.org/officeDocument/2006/relationships/hyperlink" Target="https://gld.legislaturacba.gob.ar/Publics/Actas.aspx?id=5aTpKdkZ7Vc=;https://gld.legislaturacba.gob.ar/Publics/Actas.aspx?id=6IdxXWsVigc=" TargetMode="External"/><Relationship Id="rId1727" Type="http://schemas.openxmlformats.org/officeDocument/2006/relationships/hyperlink" Target="https://www.youtube.com/watch?v=wWQ8e95Bd0k" TargetMode="External"/><Relationship Id="rId1934" Type="http://schemas.openxmlformats.org/officeDocument/2006/relationships/hyperlink" Target="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9" Type="http://schemas.openxmlformats.org/officeDocument/2006/relationships/hyperlink" Target="https://gld.legislaturacba.gob.ar/Publics/Actas.aspx?id=95FbuEIA1ho=" TargetMode="External"/><Relationship Id="rId168" Type="http://schemas.openxmlformats.org/officeDocument/2006/relationships/hyperlink" Targe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5" Type="http://schemas.openxmlformats.org/officeDocument/2006/relationships/hyperlink" Targe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2" Type="http://schemas.openxmlformats.org/officeDocument/2006/relationships/hyperlink" Target="https://gld.legislaturacba.gob.ar/Publics/Actas.aspx?id=l0nIXI2-WmA=" TargetMode="External"/><Relationship Id="rId2056" Type="http://schemas.openxmlformats.org/officeDocument/2006/relationships/hyperlink" Target="https://www.youtube.com/watch?v=cPfcQbDAMXQ" TargetMode="External"/><Relationship Id="rId3" Type="http://schemas.openxmlformats.org/officeDocument/2006/relationships/hyperlink" Target="https://gld.legislaturacba.gob.ar/Publics/Actas.aspx?id=QcG_t7mSh2Y=" TargetMode="External"/><Relationship Id="rId235" Type="http://schemas.openxmlformats.org/officeDocument/2006/relationships/hyperlink" Target="https://www.youtube.com/watch?v=1Mw3WuCpN0c" TargetMode="External"/><Relationship Id="rId442" Type="http://schemas.openxmlformats.org/officeDocument/2006/relationships/hyperlink" Target="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887" Type="http://schemas.openxmlformats.org/officeDocument/2006/relationships/hyperlink" Target="https://gld.legislaturacba.gob.ar/Publics/Actas.aspx?id=YJsJ6sKs3fk=;https://gld.legislaturacba.gob.ar/Publics/Actas.aspx?id=GYihDPwAGQ0=" TargetMode="External"/><Relationship Id="rId1072" Type="http://schemas.openxmlformats.org/officeDocument/2006/relationships/hyperlink" Target="https://www.youtube.com/watch?v=RsPnoR6XsjU" TargetMode="External"/><Relationship Id="rId2123" Type="http://schemas.openxmlformats.org/officeDocument/2006/relationships/hyperlink" Target="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302" Type="http://schemas.openxmlformats.org/officeDocument/2006/relationships/hyperlink" Target="https://gld.legislaturacba.gob.ar/Publics/Actas.aspx?id=C5tWEDeO3Vk=;https://gld.legislaturacba.gob.ar/Publics/Actas.aspx?id=jOC3-5UrufI=" TargetMode="External"/><Relationship Id="rId747" Type="http://schemas.openxmlformats.org/officeDocument/2006/relationships/hyperlink" Target="https://gld.legislaturacba.gob.ar/Publics/Actas.aspx?id=jhgJ0_gABdM=" TargetMode="External"/><Relationship Id="rId954" Type="http://schemas.openxmlformats.org/officeDocument/2006/relationships/hyperlink" Target="https://www.youtube.com/watch?v=YIMbN9k3AfA" TargetMode="External"/><Relationship Id="rId1377" Type="http://schemas.openxmlformats.org/officeDocument/2006/relationships/hyperlink" Target="https://gld.legislaturacba.gob.ar/Publics/Actas.aspx?id=Nz5792MvmaA=;https://gld.legislaturacba.gob.ar/Publics/Actas.aspx?id=1Nan22qFmTg=" TargetMode="External"/><Relationship Id="rId1584" Type="http://schemas.openxmlformats.org/officeDocument/2006/relationships/hyperlink" Target="https://gld.legislaturacba.gob.ar/Publics/Actas.aspx?id=1T7FqK4DE0g=" TargetMode="External"/><Relationship Id="rId1791" Type="http://schemas.openxmlformats.org/officeDocument/2006/relationships/hyperlink" Target="https://gld.legislaturacba.gob.ar/Publics/Actas.aspx?id=0M4tz8lt6qw=" TargetMode="External"/><Relationship Id="rId83" Type="http://schemas.openxmlformats.org/officeDocument/2006/relationships/hyperlink" Targe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7" Type="http://schemas.openxmlformats.org/officeDocument/2006/relationships/hyperlink" Target="https://www.youtube.com/watch?v=4D-gLaNHUHM" TargetMode="External"/><Relationship Id="rId814" Type="http://schemas.openxmlformats.org/officeDocument/2006/relationships/hyperlink" Targe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37" Type="http://schemas.openxmlformats.org/officeDocument/2006/relationships/hyperlink" Targe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4" Type="http://schemas.openxmlformats.org/officeDocument/2006/relationships/hyperlink" Target="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51" Type="http://schemas.openxmlformats.org/officeDocument/2006/relationships/hyperlink" Target="https://www.youtube.com/watch?v=MIgmEFGWL-g" TargetMode="External"/><Relationship Id="rId1889" Type="http://schemas.openxmlformats.org/officeDocument/2006/relationships/hyperlink" Target="https://www.youtube.com/watch?time_continue=1&amp;v=_e02mqg2AMw&amp;feature=emb_logo" TargetMode="External"/><Relationship Id="rId1304" Type="http://schemas.openxmlformats.org/officeDocument/2006/relationships/hyperlink" Targe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11" Type="http://schemas.openxmlformats.org/officeDocument/2006/relationships/hyperlink" Target="https://www.youtube.com/watch?v=KyzKgY0B5UM" TargetMode="External"/><Relationship Id="rId1749" Type="http://schemas.openxmlformats.org/officeDocument/2006/relationships/hyperlink" Target="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6" Type="http://schemas.openxmlformats.org/officeDocument/2006/relationships/hyperlink" Target="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609" Type="http://schemas.openxmlformats.org/officeDocument/2006/relationships/hyperlink" Target="https://www.youtube.com/watch?v=eEq-oNhUI0I" TargetMode="External"/><Relationship Id="rId1816" Type="http://schemas.openxmlformats.org/officeDocument/2006/relationships/hyperlink" Target="https://gld.legislaturacba.gob.ar/Publics/Actas.aspx?id=rI-Wju-o9Lw=" TargetMode="External"/><Relationship Id="rId10" Type="http://schemas.openxmlformats.org/officeDocument/2006/relationships/hyperlink" Target="https://gld.legislaturacba.gob.ar/Publics/Actas.aspx?id=X9-Az1nuIOo=" TargetMode="External"/><Relationship Id="rId397" Type="http://schemas.openxmlformats.org/officeDocument/2006/relationships/hyperlink" Target="https://www.youtube.com/watch?v=zDFr3tThd78" TargetMode="External"/><Relationship Id="rId2078" Type="http://schemas.openxmlformats.org/officeDocument/2006/relationships/hyperlink" Target="https://www.youtube.com/watch?v=DhMRl6lnldc" TargetMode="External"/><Relationship Id="rId257" Type="http://schemas.openxmlformats.org/officeDocument/2006/relationships/hyperlink" Targe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4" Type="http://schemas.openxmlformats.org/officeDocument/2006/relationships/hyperlink" Target="https://www.youtube.com/watch?v=YtTFdBtueP0" TargetMode="External"/><Relationship Id="rId1094" Type="http://schemas.openxmlformats.org/officeDocument/2006/relationships/hyperlink" Targe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 Type="http://schemas.openxmlformats.org/officeDocument/2006/relationships/hyperlink" Targe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71" Type="http://schemas.openxmlformats.org/officeDocument/2006/relationships/hyperlink" Target="https://www.youtube.com/watch?v=GPnhWmRsFls" TargetMode="External"/><Relationship Id="rId769" Type="http://schemas.openxmlformats.org/officeDocument/2006/relationships/hyperlink" Targe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76" Type="http://schemas.openxmlformats.org/officeDocument/2006/relationships/hyperlink" Targe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99" Type="http://schemas.openxmlformats.org/officeDocument/2006/relationships/hyperlink" Target="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24" Type="http://schemas.openxmlformats.org/officeDocument/2006/relationships/hyperlink" Target="https://gld.legislaturacba.gob.ar/Publics/Actas.aspx?id=zewMGhUKxyM=;https://gld.legislaturacba.gob.ar/Publics/Actas.aspx?id=GMwZnJwnwgE=;https://gld.legislaturacba.gob.ar/Publics/Actas.aspx?id=0Eqm4TgambM=" TargetMode="External"/><Relationship Id="rId531" Type="http://schemas.openxmlformats.org/officeDocument/2006/relationships/hyperlink" Target="https://www.youtube.com/watch?v=2gTVD_Hzr3o" TargetMode="External"/><Relationship Id="rId629" Type="http://schemas.openxmlformats.org/officeDocument/2006/relationships/hyperlink" Target="https://gld.legislaturacba.gob.ar/Publics/Actas.aspx?id=QAGE3IJBB9g=" TargetMode="External"/><Relationship Id="rId1161" Type="http://schemas.openxmlformats.org/officeDocument/2006/relationships/hyperlink" Target="https://gld.legislaturacba.gob.ar/Publics/Actas.aspx?id=zoi68Ubm00I=;https://gld.legislaturacba.gob.ar/Publics/Actas.aspx?id=XHWO4cTnLdE=;https://gld.legislaturacba.gob.ar/Publics/Actas.aspx?id=erMCrdeIfzM=" TargetMode="External"/><Relationship Id="rId1259" Type="http://schemas.openxmlformats.org/officeDocument/2006/relationships/hyperlink" Targe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66" Type="http://schemas.openxmlformats.org/officeDocument/2006/relationships/hyperlink" Target="https://www.youtube.com/watch?v=C7vcXIyv6jg" TargetMode="External"/><Relationship Id="rId2005" Type="http://schemas.openxmlformats.org/officeDocument/2006/relationships/hyperlink" Target="https://www.youtube.com/watch?v=Yz9EmnkqJ9o" TargetMode="External"/><Relationship Id="rId836" Type="http://schemas.openxmlformats.org/officeDocument/2006/relationships/hyperlink" Target="https://gld.legislaturacba.gob.ar/Publics/Actas.aspx?id=iG3-1t_wbxo=;https://gld.legislaturacba.gob.ar/Publics/Actas.aspx?id=69MnFF4iAqc=;https://gld.legislaturacba.gob.ar/Publics/Actas.aspx?id=l314TrmqjLI=" TargetMode="External"/><Relationship Id="rId1021" Type="http://schemas.openxmlformats.org/officeDocument/2006/relationships/hyperlink" Target="https://gld.legislaturacba.gob.ar/Publics/Actas.aspx?id=E0_WZxfkY5I=" TargetMode="External"/><Relationship Id="rId1119" Type="http://schemas.openxmlformats.org/officeDocument/2006/relationships/hyperlink" Target="https://gld.legislaturacba.gob.ar/Publics/Actas.aspx?id=Ztb1faDOxAc=" TargetMode="External"/><Relationship Id="rId1673" Type="http://schemas.openxmlformats.org/officeDocument/2006/relationships/hyperlink" Target="https://gld.legislaturacba.gob.ar/Publics/Actas.aspx?id=ms9sIoyQBaQ=;https://gld.legislaturacba.gob.ar/Publics/Actas.aspx?id=JIrowLq7dTM=" TargetMode="External"/><Relationship Id="rId1880" Type="http://schemas.openxmlformats.org/officeDocument/2006/relationships/hyperlink" Target="https://gld.legislaturacba.gob.ar/Publics/Actas.aspx?id=YzxJt8vGEq0=" TargetMode="External"/><Relationship Id="rId1978" Type="http://schemas.openxmlformats.org/officeDocument/2006/relationships/hyperlink" Target="https://www.youtube.com/watch?v=AqXQAEvypZQ" TargetMode="External"/><Relationship Id="rId903" Type="http://schemas.openxmlformats.org/officeDocument/2006/relationships/hyperlink" Targe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6" Type="http://schemas.openxmlformats.org/officeDocument/2006/relationships/hyperlink" Target="https://gld.legislaturacba.gob.ar/Publics/Actas.aspx?id=dCFAsvhKW6M=;https://gld.legislaturacba.gob.ar/Publics/Actas.aspx?id=JrBDxIcDyJo=" TargetMode="External"/><Relationship Id="rId1533" Type="http://schemas.openxmlformats.org/officeDocument/2006/relationships/hyperlink" Target="https://www.youtube.com/watch?v=FJ5iP03dKhQ" TargetMode="External"/><Relationship Id="rId1740" Type="http://schemas.openxmlformats.org/officeDocument/2006/relationships/hyperlink" Target="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2" Type="http://schemas.openxmlformats.org/officeDocument/2006/relationships/hyperlink" Targe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0" Type="http://schemas.openxmlformats.org/officeDocument/2006/relationships/hyperlink" Target="https://www.youtube.com/watch?v=d0evDr85DXg" TargetMode="External"/><Relationship Id="rId1838" Type="http://schemas.openxmlformats.org/officeDocument/2006/relationships/hyperlink" Target="https://www.youtube.com/watch?v=nKbcyI0ptWI" TargetMode="External"/><Relationship Id="rId181" Type="http://schemas.openxmlformats.org/officeDocument/2006/relationships/hyperlink" Target="https://gld.legislaturacba.gob.ar/Publics/Actas.aspx?id=c0AQJcd4CUM=;https://gld.legislaturacba.gob.ar/Publics/Actas.aspx?id=ExNm1jSkjic=" TargetMode="External"/><Relationship Id="rId1905" Type="http://schemas.openxmlformats.org/officeDocument/2006/relationships/hyperlink" Target="https://www.youtube.com/watch?v=uTiJjnZZE_g" TargetMode="External"/><Relationship Id="rId279" Type="http://schemas.openxmlformats.org/officeDocument/2006/relationships/hyperlink" Targe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6" Type="http://schemas.openxmlformats.org/officeDocument/2006/relationships/hyperlink" Targe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3" Type="http://schemas.openxmlformats.org/officeDocument/2006/relationships/hyperlink" Targe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9" Type="http://schemas.openxmlformats.org/officeDocument/2006/relationships/hyperlink" Target="https://www.youtube.com/watch?v=OP7J1_I14rc" TargetMode="External"/><Relationship Id="rId346" Type="http://schemas.openxmlformats.org/officeDocument/2006/relationships/hyperlink" Target="https://www.youtube.com/watch?v=mC1lqGMl2XU" TargetMode="External"/><Relationship Id="rId553" Type="http://schemas.openxmlformats.org/officeDocument/2006/relationships/hyperlink" Targe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60" Type="http://schemas.openxmlformats.org/officeDocument/2006/relationships/hyperlink" Targe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98" Type="http://schemas.openxmlformats.org/officeDocument/2006/relationships/hyperlink" Target="https://gld.legislaturacba.gob.ar/Publics/Actas.aspx?id=euhz-4Pwjs4=" TargetMode="External"/><Relationship Id="rId1183" Type="http://schemas.openxmlformats.org/officeDocument/2006/relationships/hyperlink" Target="https://www.youtube.com/watch?v=91avpxeOc8g" TargetMode="External"/><Relationship Id="rId1390" Type="http://schemas.openxmlformats.org/officeDocument/2006/relationships/hyperlink" Target="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27" Type="http://schemas.openxmlformats.org/officeDocument/2006/relationships/hyperlink" Target="https://gld.legislaturacba.gob.ar/Publics/Actas.aspx?id=zU6RcUBrNjQ=;https://gld.legislaturacba.gob.ar/Publics/Actas.aspx?id=i9PE2gnwrNY=" TargetMode="External"/><Relationship Id="rId206" Type="http://schemas.openxmlformats.org/officeDocument/2006/relationships/hyperlink" Targe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3" Type="http://schemas.openxmlformats.org/officeDocument/2006/relationships/hyperlink" Targe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58" Type="http://schemas.openxmlformats.org/officeDocument/2006/relationships/hyperlink" Targe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3" Type="http://schemas.openxmlformats.org/officeDocument/2006/relationships/hyperlink" Targe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88" Type="http://schemas.openxmlformats.org/officeDocument/2006/relationships/hyperlink" Target="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95" Type="http://schemas.openxmlformats.org/officeDocument/2006/relationships/hyperlink" Targe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0" Type="http://schemas.openxmlformats.org/officeDocument/2006/relationships/hyperlink" Target="https://gld.legislaturacba.gob.ar/Publics/Actas.aspx?id=EzQBxvJVV9c=" TargetMode="External"/><Relationship Id="rId718" Type="http://schemas.openxmlformats.org/officeDocument/2006/relationships/hyperlink" Target="https://www.youtube.com/watch?v=thNLNp7HjEc" TargetMode="External"/><Relationship Id="rId925" Type="http://schemas.openxmlformats.org/officeDocument/2006/relationships/hyperlink" Target="https://www.youtube.com/watch?v=TKlXyKWVwlg" TargetMode="External"/><Relationship Id="rId1250" Type="http://schemas.openxmlformats.org/officeDocument/2006/relationships/hyperlink" Target="https://www.youtube.com/watch?v=z6mVhcgywBY" TargetMode="External"/><Relationship Id="rId1348" Type="http://schemas.openxmlformats.org/officeDocument/2006/relationships/hyperlink" Targe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55" Type="http://schemas.openxmlformats.org/officeDocument/2006/relationships/hyperlink" Targe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TargetMode="External"/><Relationship Id="rId1762" Type="http://schemas.openxmlformats.org/officeDocument/2006/relationships/hyperlink" Target="https://gld.legislaturacba.gob.ar/Publics/Actas.aspx?id=G1aVRLDPw6E=;https://gld.legislaturacba.gob.ar/Publics/Actas.aspx?id=B0wXJeW9U8I=;https://gld.legislaturacba.gob.ar/Publics/Actas.aspx?id=4iLiD4bZp0Y=" TargetMode="External"/><Relationship Id="rId1110" Type="http://schemas.openxmlformats.org/officeDocument/2006/relationships/hyperlink" Target="https://gld.legislaturacba.gob.ar/Publics/Actas.aspx?id=09qUJHLGkN4=;https://gld.legislaturacba.gob.ar/Publics/Actas.aspx?id=nSX2fGZKIpc=" TargetMode="External"/><Relationship Id="rId1208" Type="http://schemas.openxmlformats.org/officeDocument/2006/relationships/hyperlink" Target="https://www.youtube.com/watch?v=VW5CsmIfhec" TargetMode="External"/><Relationship Id="rId1415" Type="http://schemas.openxmlformats.org/officeDocument/2006/relationships/hyperlink" Target="https://www.youtube.com/watch?v=-lXsmhPTxUg" TargetMode="External"/><Relationship Id="rId54" Type="http://schemas.openxmlformats.org/officeDocument/2006/relationships/hyperlink" Target="https://www.youtube.com/watch?v=RfZnXExkPbo" TargetMode="External"/><Relationship Id="rId1622" Type="http://schemas.openxmlformats.org/officeDocument/2006/relationships/hyperlink" Targe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TargetMode="External"/><Relationship Id="rId1927" Type="http://schemas.openxmlformats.org/officeDocument/2006/relationships/hyperlink" Target="https://gld.legislaturacba.gob.ar/Publics/Actas.aspx?id=xMidq6EBdhc=" TargetMode="External"/><Relationship Id="rId2091" Type="http://schemas.openxmlformats.org/officeDocument/2006/relationships/hyperlink" Target="https://www.youtube.com/watch?v=dw7tK5QFQes" TargetMode="External"/><Relationship Id="rId270" Type="http://schemas.openxmlformats.org/officeDocument/2006/relationships/hyperlink" Target="https://gld.legislaturacba.gob.ar/Publics/Actas.aspx?id=0SVKlrXzb_k=;https://gld.legislaturacba.gob.ar/Publics/Actas.aspx?id=hy8aSjQNwPE=" TargetMode="External"/><Relationship Id="rId130" Type="http://schemas.openxmlformats.org/officeDocument/2006/relationships/hyperlink" Target="https://www.youtube.com/watch?v=igViBMdzCQw" TargetMode="External"/><Relationship Id="rId368" Type="http://schemas.openxmlformats.org/officeDocument/2006/relationships/hyperlink" Targe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5" Type="http://schemas.openxmlformats.org/officeDocument/2006/relationships/hyperlink" Targe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2" Type="http://schemas.openxmlformats.org/officeDocument/2006/relationships/hyperlink" Target="https://www.youtube.com/watch?v=7SfWPom3klM" TargetMode="External"/><Relationship Id="rId2049" Type="http://schemas.openxmlformats.org/officeDocument/2006/relationships/hyperlink" Target="https://www.youtube.com/watch?v=Dkk5syaQm7s" TargetMode="External"/><Relationship Id="rId228" Type="http://schemas.openxmlformats.org/officeDocument/2006/relationships/hyperlink" Targe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5" Type="http://schemas.openxmlformats.org/officeDocument/2006/relationships/hyperlink" Target="https://gld.legislaturacba.gob.ar/Publics/Actas.aspx?id=ynQnJAklx64=;https://gld.legislaturacba.gob.ar/Publics/Actas.aspx?id=E3_sDBF3_ec=" TargetMode="External"/><Relationship Id="rId642" Type="http://schemas.openxmlformats.org/officeDocument/2006/relationships/hyperlink" Target="https://www.youtube.com/watch?v=GliYZPPXFt8" TargetMode="External"/><Relationship Id="rId1065" Type="http://schemas.openxmlformats.org/officeDocument/2006/relationships/hyperlink" Targe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72" Type="http://schemas.openxmlformats.org/officeDocument/2006/relationships/hyperlink" Target="https://www.youtube.com/watch?v=LeYEeg9oMmE" TargetMode="External"/><Relationship Id="rId2116" Type="http://schemas.openxmlformats.org/officeDocument/2006/relationships/hyperlink" Target="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502" Type="http://schemas.openxmlformats.org/officeDocument/2006/relationships/hyperlink" Target="https://www.youtube.com/watch?v=qRQy6qPrvb8" TargetMode="External"/><Relationship Id="rId947" Type="http://schemas.openxmlformats.org/officeDocument/2006/relationships/hyperlink" Targe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2" Type="http://schemas.openxmlformats.org/officeDocument/2006/relationships/hyperlink" Targe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77" Type="http://schemas.openxmlformats.org/officeDocument/2006/relationships/hyperlink" Target="https://www.youtube.com/watch?v=dO5TGlOPHeo" TargetMode="External"/><Relationship Id="rId1784" Type="http://schemas.openxmlformats.org/officeDocument/2006/relationships/hyperlink" Target="https://www.youtube.com/watch?v=bTCR6T4lX84" TargetMode="External"/><Relationship Id="rId1991" Type="http://schemas.openxmlformats.org/officeDocument/2006/relationships/hyperlink" Target="https://gld.legislaturacba.gob.ar/Publics/Actas.aspx?id=Rzk097U0deg=" TargetMode="External"/><Relationship Id="rId76" Type="http://schemas.openxmlformats.org/officeDocument/2006/relationships/hyperlink" Target="https://www.youtube.com/watch?v=aL7VO4R-0B0" TargetMode="External"/><Relationship Id="rId807" Type="http://schemas.openxmlformats.org/officeDocument/2006/relationships/hyperlink" Target="https://gld.legislaturacba.gob.ar/Publics/Actas.aspx?id=r4vqO-mSg6w=;https://gld.legislaturacba.gob.ar/Publics/Actas.aspx?id=NMRiezrFvdQ=" TargetMode="External"/><Relationship Id="rId1437" Type="http://schemas.openxmlformats.org/officeDocument/2006/relationships/hyperlink" Target="https://gld.legislaturacba.gob.ar/Publics/Actas.aspx?id=n4zw-3NLzn8=;https://gld.legislaturacba.gob.ar/Publics/Actas.aspx?id=6Zo7IqTRqZQ=" TargetMode="External"/><Relationship Id="rId1644" Type="http://schemas.openxmlformats.org/officeDocument/2006/relationships/hyperlink" Target="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51" Type="http://schemas.openxmlformats.org/officeDocument/2006/relationships/hyperlink" Target="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4" Type="http://schemas.openxmlformats.org/officeDocument/2006/relationships/hyperlink" Target="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11" Type="http://schemas.openxmlformats.org/officeDocument/2006/relationships/hyperlink" Target="https://gld.legislaturacba.gob.ar/Publics/Actas.aspx?id=ucQHjYrRsEA=" TargetMode="External"/><Relationship Id="rId1949" Type="http://schemas.openxmlformats.org/officeDocument/2006/relationships/hyperlink" Target="https://www.youtube.com/watch?v=fXjIrFzDPjU" TargetMode="External"/><Relationship Id="rId292" Type="http://schemas.openxmlformats.org/officeDocument/2006/relationships/hyperlink" Targe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09" Type="http://schemas.openxmlformats.org/officeDocument/2006/relationships/hyperlink" Target="https://www.youtube.com/watch?v=KTg6feO58e4" TargetMode="External"/><Relationship Id="rId597" Type="http://schemas.openxmlformats.org/officeDocument/2006/relationships/hyperlink" Targe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52" Type="http://schemas.openxmlformats.org/officeDocument/2006/relationships/hyperlink" Target="https://www.youtube.com/watch?v=RpYQNBscRjU" TargetMode="External"/><Relationship Id="rId457" Type="http://schemas.openxmlformats.org/officeDocument/2006/relationships/hyperlink" Targe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87" Type="http://schemas.openxmlformats.org/officeDocument/2006/relationships/hyperlink" Target="https://gld.legislaturacba.gob.ar/Publics/Actas.aspx?id=KSaZOvBFNv4=;https://gld.legislaturacba.gob.ar/Publics/Actas.aspx?id=ySIfip1qn4E=" TargetMode="External"/><Relationship Id="rId1294" Type="http://schemas.openxmlformats.org/officeDocument/2006/relationships/hyperlink" Target="https://www.youtube.com/watch?v=1SMmSOFczUo" TargetMode="External"/><Relationship Id="rId2040" Type="http://schemas.openxmlformats.org/officeDocument/2006/relationships/hyperlink" Target="https://www.youtube.com/watch?v=jsae9ad_cY8" TargetMode="External"/><Relationship Id="rId664" Type="http://schemas.openxmlformats.org/officeDocument/2006/relationships/hyperlink" Targe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1" Type="http://schemas.openxmlformats.org/officeDocument/2006/relationships/hyperlink" Target="https://www.youtube.com/watch?v=MpshRlup8iE" TargetMode="External"/><Relationship Id="rId969" Type="http://schemas.openxmlformats.org/officeDocument/2006/relationships/hyperlink" Target="https://gld.legislaturacba.gob.ar/Publics/Actas.aspx?id=FDLqVEnywLQ=" TargetMode="External"/><Relationship Id="rId1599" Type="http://schemas.openxmlformats.org/officeDocument/2006/relationships/hyperlink" Target="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 TargetMode="External"/><Relationship Id="rId317" Type="http://schemas.openxmlformats.org/officeDocument/2006/relationships/hyperlink" Target="https://www.youtube.com/watch?v=qjPs-qozZyc" TargetMode="External"/><Relationship Id="rId524" Type="http://schemas.openxmlformats.org/officeDocument/2006/relationships/hyperlink" Target="https://gld.legislaturacba.gob.ar/Publics/Actas.aspx?id=EmB_5gmx1sA=" TargetMode="External"/><Relationship Id="rId731" Type="http://schemas.openxmlformats.org/officeDocument/2006/relationships/hyperlink" Target="https://gld.legislaturacba.gob.ar/Publics/Actas.aspx?id=aZ9nlG5HoyU=;https://gld.legislaturacba.gob.ar/Publics/Actas.aspx?id=SZSglMax6DA=;https://gld.legislaturacba.gob.ar/Publics/Actas.aspx?id=mS5pXyGtgiI=" TargetMode="External"/><Relationship Id="rId1154" Type="http://schemas.openxmlformats.org/officeDocument/2006/relationships/hyperlink" Target="https://www.youtube.com/watch?v=7mapFhMxIDQ" TargetMode="External"/><Relationship Id="rId1361" Type="http://schemas.openxmlformats.org/officeDocument/2006/relationships/hyperlink" Target="https://www.youtube.com/watch?v=jLSdFtcmTVk" TargetMode="External"/><Relationship Id="rId1459" Type="http://schemas.openxmlformats.org/officeDocument/2006/relationships/hyperlink" Target="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8" Type="http://schemas.openxmlformats.org/officeDocument/2006/relationships/hyperlink" Target="https://gld.legislaturacba.gob.ar/Publics/Actas.aspx?id=0WwcRr7pXDQ=" TargetMode="External"/><Relationship Id="rId829" Type="http://schemas.openxmlformats.org/officeDocument/2006/relationships/hyperlink" Target="https://www.youtube.com/watch?v=P6KXhreJH_g" TargetMode="External"/><Relationship Id="rId1014" Type="http://schemas.openxmlformats.org/officeDocument/2006/relationships/hyperlink" Target="https://gld.legislaturacba.gob.ar/Publics/Actas.aspx?id=Qp4l2cZq678=;https://gld.legislaturacba.gob.ar/Publics/Actas.aspx?id=zfVK4F1zbaQ=" TargetMode="External"/><Relationship Id="rId1221" Type="http://schemas.openxmlformats.org/officeDocument/2006/relationships/hyperlink" Target="https://gld.legislaturacba.gob.ar/Publics/Actas.aspx?id=NOQZow-PnGM=;https://gld.legislaturacba.gob.ar/Publics/Actas.aspx?id=dXoNrBtMHsI=;https://gld.legislaturacba.gob.ar/Publics/Actas.aspx?id=jCo0tEhm4yE=" TargetMode="External"/><Relationship Id="rId1666" Type="http://schemas.openxmlformats.org/officeDocument/2006/relationships/hyperlink" Target="https://www.youtube.com/watch?v=i1HDtNoEIm0" TargetMode="External"/><Relationship Id="rId1873" Type="http://schemas.openxmlformats.org/officeDocument/2006/relationships/hyperlink" Target="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19" Type="http://schemas.openxmlformats.org/officeDocument/2006/relationships/hyperlink" Target="https://www.youtube.com/watch?v=WTEintlJ2BU" TargetMode="External"/><Relationship Id="rId1526" Type="http://schemas.openxmlformats.org/officeDocument/2006/relationships/hyperlink" Target="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33" Type="http://schemas.openxmlformats.org/officeDocument/2006/relationships/hyperlink" Target="https://www.youtube.com/watch?v=ovaHFXT0mis" TargetMode="External"/><Relationship Id="rId1940" Type="http://schemas.openxmlformats.org/officeDocument/2006/relationships/hyperlink" Target="https://www.youtube.com/watch?v=UAvt1047MTk" TargetMode="External"/><Relationship Id="rId25" Type="http://schemas.openxmlformats.org/officeDocument/2006/relationships/hyperlink" Target="https://gld.legislaturacba.gob.ar/Publics/Actas.aspx?id=NfODToWNSnU=;https://gld.legislaturacba.gob.ar/Publics/Actas.aspx?id=HyzvFJfkjgw=" TargetMode="External"/><Relationship Id="rId1800" Type="http://schemas.openxmlformats.org/officeDocument/2006/relationships/hyperlink" Target="https://gld.legislaturacba.gob.ar/Publics/Actas.aspx?id=VeylO_3KBTE=" TargetMode="External"/><Relationship Id="rId174" Type="http://schemas.openxmlformats.org/officeDocument/2006/relationships/hyperlink" Target="https://www.youtube.com/watch?v=T-kVdu39kVM" TargetMode="External"/><Relationship Id="rId381" Type="http://schemas.openxmlformats.org/officeDocument/2006/relationships/hyperlink" Target="https://www.youtube.com/watch?v=UOizdNEalMo" TargetMode="External"/><Relationship Id="rId2062" Type="http://schemas.openxmlformats.org/officeDocument/2006/relationships/hyperlink" Target="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41" Type="http://schemas.openxmlformats.org/officeDocument/2006/relationships/hyperlink" Target="https://www.youtube.com/watch?v=hsevjCFKImc" TargetMode="External"/><Relationship Id="rId479" Type="http://schemas.openxmlformats.org/officeDocument/2006/relationships/hyperlink" Target="https://gld.legislaturacba.gob.ar/Publics/Actas.aspx?id=jvHkn0Jc720=" TargetMode="External"/><Relationship Id="rId686" Type="http://schemas.openxmlformats.org/officeDocument/2006/relationships/hyperlink" Target="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 TargetMode="External"/><Relationship Id="rId893" Type="http://schemas.openxmlformats.org/officeDocument/2006/relationships/hyperlink" Target="https://gld.legislaturacba.gob.ar/Publics/Actas.aspx?id=iaG4wEkbmTs=" TargetMode="External"/><Relationship Id="rId339" Type="http://schemas.openxmlformats.org/officeDocument/2006/relationships/hyperlink" Target="https://gld.legislaturacba.gob.ar/Publics/Actas.aspx?id=lpwQXM4m7lE=" TargetMode="External"/><Relationship Id="rId546" Type="http://schemas.openxmlformats.org/officeDocument/2006/relationships/hyperlink" Targe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3" Type="http://schemas.openxmlformats.org/officeDocument/2006/relationships/hyperlink" Target="https://gld.legislaturacba.gob.ar/Publics/Actas.aspx?id=z7Eqz8Oe628=;https://gld.legislaturacba.gob.ar/Publics/Actas.aspx?id=YSni9VJEfOA=;https://gld.legislaturacba.gob.ar/Publics/Actas.aspx?id=VhM-uEJJbNY=" TargetMode="External"/><Relationship Id="rId1176" Type="http://schemas.openxmlformats.org/officeDocument/2006/relationships/hyperlink" Target="https://gld.legislaturacba.gob.ar/Publics/Actas.aspx?id=GF1sxSxYnvc=;https://gld.legislaturacba.gob.ar/Publics/Actas.aspx?id=t8ePN4SmNbw=" TargetMode="External"/><Relationship Id="rId1383" Type="http://schemas.openxmlformats.org/officeDocument/2006/relationships/hyperlink" Target="https://gld.legislaturacba.gob.ar/Publics/Actas.aspx?id=IoMn6Mdp6FM=;https://gld.legislaturacba.gob.ar/Publics/Actas.aspx?id=tZfwZ9WeUZ4=" TargetMode="External"/><Relationship Id="rId101" Type="http://schemas.openxmlformats.org/officeDocument/2006/relationships/hyperlink" Target="https://gld.legislaturacba.gob.ar/Publics/Actas.aspx?id=REr3OAO908s=" TargetMode="External"/><Relationship Id="rId406" Type="http://schemas.openxmlformats.org/officeDocument/2006/relationships/hyperlink" Targe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60" Type="http://schemas.openxmlformats.org/officeDocument/2006/relationships/hyperlink" Target="https://gld.legislaturacba.gob.ar/Publics/Actas.aspx?id=9tAJu6uUzYA=" TargetMode="External"/><Relationship Id="rId1036" Type="http://schemas.openxmlformats.org/officeDocument/2006/relationships/hyperlink" Target="https://gld.legislaturacba.gob.ar/Publics/Actas.aspx?id=383ECyYsBvk=" TargetMode="External"/><Relationship Id="rId1243" Type="http://schemas.openxmlformats.org/officeDocument/2006/relationships/hyperlink" Targe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590" Type="http://schemas.openxmlformats.org/officeDocument/2006/relationships/hyperlink" Targe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TargetMode="External"/><Relationship Id="rId1688" Type="http://schemas.openxmlformats.org/officeDocument/2006/relationships/hyperlink" Target="https://gld.legislaturacba.gob.ar/Publics/Actas.aspx?id=rm1Kd1pi3I0=" TargetMode="External"/><Relationship Id="rId1895" Type="http://schemas.openxmlformats.org/officeDocument/2006/relationships/hyperlink" Target="https://gld.legislaturacba.gob.ar/Publics/Actas.aspx?id=M0MFidCBOXw=;https://gld.legislaturacba.gob.ar/Publics/Actas.aspx?id=wbGYaPKjYvg=" TargetMode="External"/><Relationship Id="rId613" Type="http://schemas.openxmlformats.org/officeDocument/2006/relationships/hyperlink" Target="https://www.youtube.com/watch?v=QdzTNEUrqFg" TargetMode="External"/><Relationship Id="rId820" Type="http://schemas.openxmlformats.org/officeDocument/2006/relationships/hyperlink" Target="https://www.youtube.com/watch?v=U0fNxLbYOME" TargetMode="External"/><Relationship Id="rId918" Type="http://schemas.openxmlformats.org/officeDocument/2006/relationships/hyperlink" Targe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50" Type="http://schemas.openxmlformats.org/officeDocument/2006/relationships/hyperlink" Target="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48" Type="http://schemas.openxmlformats.org/officeDocument/2006/relationships/hyperlink" Target="https://gld.legislaturacba.gob.ar/Publics/Actas.aspx?id=zzCOkVMUynw=;https://gld.legislaturacba.gob.ar/Publics/Actas.aspx?id=t4KmpBOgubs=" TargetMode="External"/><Relationship Id="rId1755" Type="http://schemas.openxmlformats.org/officeDocument/2006/relationships/hyperlink" Target="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103" Type="http://schemas.openxmlformats.org/officeDocument/2006/relationships/hyperlink" Targe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10" Type="http://schemas.openxmlformats.org/officeDocument/2006/relationships/hyperlink" Targe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08" Type="http://schemas.openxmlformats.org/officeDocument/2006/relationships/hyperlink" Target="https://www.youtube.com/watch?v=Nyeasa61Qpc" TargetMode="External"/><Relationship Id="rId1962" Type="http://schemas.openxmlformats.org/officeDocument/2006/relationships/hyperlink" Target="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47" Type="http://schemas.openxmlformats.org/officeDocument/2006/relationships/hyperlink" Targe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15" Type="http://schemas.openxmlformats.org/officeDocument/2006/relationships/hyperlink" Target="https://gld.legislaturacba.gob.ar/Publics/Actas.aspx?id=6ucP5NXg4zg=;https://gld.legislaturacba.gob.ar/Publics/Actas.aspx?id=Yxn2qhZ5xh4=" TargetMode="External"/><Relationship Id="rId1822" Type="http://schemas.openxmlformats.org/officeDocument/2006/relationships/hyperlink" Target="https://gld.legislaturacba.gob.ar/Publics/Actas.aspx?id=pq8n04c-NLQ=" TargetMode="External"/><Relationship Id="rId196" Type="http://schemas.openxmlformats.org/officeDocument/2006/relationships/hyperlink" Target="https://www.youtube.com/watch?v=2H5lDERAsVw&amp;t=4720s" TargetMode="External"/><Relationship Id="rId2084" Type="http://schemas.openxmlformats.org/officeDocument/2006/relationships/hyperlink" Target="https://gld.legislaturacba.gob.ar/Publics/Actas.aspx?id=KKt9FaC1DbY=;https://gld.legislaturacba.gob.ar/Publics/Actas.aspx?id=HWi34EiabZM=" TargetMode="External"/><Relationship Id="rId263" Type="http://schemas.openxmlformats.org/officeDocument/2006/relationships/hyperlink" Targe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0" Type="http://schemas.openxmlformats.org/officeDocument/2006/relationships/hyperlink" Target="https://www.youtube.com/watch?v=NcWW3IB8fp0" TargetMode="External"/><Relationship Id="rId123" Type="http://schemas.openxmlformats.org/officeDocument/2006/relationships/hyperlink" Target="https://gld.legislaturacba.gob.ar/Publics/Actas.aspx?id=7MfUxNhD-8g=" TargetMode="External"/><Relationship Id="rId330" Type="http://schemas.openxmlformats.org/officeDocument/2006/relationships/hyperlink" Target="https://gld.legislaturacba.gob.ar/Publics/Actas.aspx?id=LEFsDiKYfpM=;https://gld.legislaturacba.gob.ar/Publics/Actas.aspx?id=z_lE-Cqo4ak=" TargetMode="External"/><Relationship Id="rId568" Type="http://schemas.openxmlformats.org/officeDocument/2006/relationships/hyperlink" Targe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5" Type="http://schemas.openxmlformats.org/officeDocument/2006/relationships/hyperlink" Targe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2" Type="http://schemas.openxmlformats.org/officeDocument/2006/relationships/hyperlink" Targe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98" Type="http://schemas.openxmlformats.org/officeDocument/2006/relationships/hyperlink" Targe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11" Type="http://schemas.openxmlformats.org/officeDocument/2006/relationships/hyperlink" Target="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28" Type="http://schemas.openxmlformats.org/officeDocument/2006/relationships/hyperlink" Target="https://www.youtube.com/watch?v=qtR9DXq3br8" TargetMode="External"/><Relationship Id="rId635" Type="http://schemas.openxmlformats.org/officeDocument/2006/relationships/hyperlink" Target="https://gld.legislaturacba.gob.ar/Publics/Actas.aspx?id=AXEtU6c8EK8=" TargetMode="External"/><Relationship Id="rId842" Type="http://schemas.openxmlformats.org/officeDocument/2006/relationships/hyperlink" Target="https://gld.legislaturacba.gob.ar/Publics/Actas.aspx?id=7LyYSUFO544=" TargetMode="External"/><Relationship Id="rId1058" Type="http://schemas.openxmlformats.org/officeDocument/2006/relationships/hyperlink" Targe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5" Type="http://schemas.openxmlformats.org/officeDocument/2006/relationships/hyperlink" Targe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72" Type="http://schemas.openxmlformats.org/officeDocument/2006/relationships/hyperlink" Target="https://gld.legislaturacba.gob.ar/Publics/Actas.aspx?id=eafqGQ8SC9k=" TargetMode="External"/><Relationship Id="rId2109" Type="http://schemas.openxmlformats.org/officeDocument/2006/relationships/hyperlink" Target="https://www.youtube.com/watch?v=gAqsZ8pDNrE" TargetMode="External"/><Relationship Id="rId702" Type="http://schemas.openxmlformats.org/officeDocument/2006/relationships/hyperlink" Targe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25" Type="http://schemas.openxmlformats.org/officeDocument/2006/relationships/hyperlink" Target="https://gld.legislaturacba.gob.ar/Publics/Actas.aspx?id=kMrBN0ZQQxk=;https://gld.legislaturacba.gob.ar/Publics/Actas.aspx?id=JiDIjN6ztj4=;https://gld.legislaturacba.gob.ar/Publics/Actas.aspx?id=fGlQqy_g67Q=" TargetMode="External"/><Relationship Id="rId1332" Type="http://schemas.openxmlformats.org/officeDocument/2006/relationships/hyperlink" Target="https://gld.legislaturacba.gob.ar/Publics/Actas.aspx?id=iVZBoTy5gdA=" TargetMode="External"/><Relationship Id="rId1777" Type="http://schemas.openxmlformats.org/officeDocument/2006/relationships/hyperlink" Target="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84" Type="http://schemas.openxmlformats.org/officeDocument/2006/relationships/hyperlink" Target="https://www.youtube.com/watch?v=EVfE8nbUAu0" TargetMode="External"/><Relationship Id="rId69" Type="http://schemas.openxmlformats.org/officeDocument/2006/relationships/hyperlink" Target="https://www.youtube.com/watch?v=XzsipIZasEc" TargetMode="External"/><Relationship Id="rId1637" Type="http://schemas.openxmlformats.org/officeDocument/2006/relationships/hyperlink" Target="https://gld.legislaturacba.gob.ar/Publics/Actas.aspx?id=3zSzz9QKjXA=;https://gld.legislaturacba.gob.ar/Publics/Actas.aspx?id=RYTlmkoMtA8=" TargetMode="External"/><Relationship Id="rId1844" Type="http://schemas.openxmlformats.org/officeDocument/2006/relationships/hyperlink" Target="https://www.youtube.com/watch?v=P8hU9Mealjk" TargetMode="External"/><Relationship Id="rId1704" Type="http://schemas.openxmlformats.org/officeDocument/2006/relationships/hyperlink" Targe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85" Type="http://schemas.openxmlformats.org/officeDocument/2006/relationships/hyperlink" Target="https://www.youtube.com/watch?v=C0GkAsSbHM0" TargetMode="External"/><Relationship Id="rId1911" Type="http://schemas.openxmlformats.org/officeDocument/2006/relationships/hyperlink" Target="https://www.youtube.com/watch?v=5gufZMVmZrU" TargetMode="External"/><Relationship Id="rId492" Type="http://schemas.openxmlformats.org/officeDocument/2006/relationships/hyperlink" Targe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7" Type="http://schemas.openxmlformats.org/officeDocument/2006/relationships/hyperlink" Target="https://www.youtube.com/watch?v=ktFA_525o48" TargetMode="External"/><Relationship Id="rId145" Type="http://schemas.openxmlformats.org/officeDocument/2006/relationships/hyperlink" Target="https://www.youtube.com/watch?v=9NmtZ6tejtE" TargetMode="External"/><Relationship Id="rId352" Type="http://schemas.openxmlformats.org/officeDocument/2006/relationships/hyperlink" Target="https://gld.legislaturacba.gob.ar/Publics/Actas.aspx?id=tOos42TSLrw=;https://gld.legislaturacba.gob.ar/Publics/Actas.aspx?id=zl9lhxTUOZc=" TargetMode="External"/><Relationship Id="rId1287" Type="http://schemas.openxmlformats.org/officeDocument/2006/relationships/hyperlink" Target="https://gld.legislaturacba.gob.ar/Publics/Actas.aspx?id=StyzO2rRUsM=;https://gld.legislaturacba.gob.ar/Publics/Actas.aspx?id=FiStZm2gvOQ=;https://gld.legislaturacba.gob.ar/Publics/Actas.aspx?id=Us2-IWQLlUU=;https://gld.legislaturacba.gob.ar/Publics/Actas.aspx?id=EJVuPrAjXik=" TargetMode="External"/><Relationship Id="rId2033" Type="http://schemas.openxmlformats.org/officeDocument/2006/relationships/hyperlink" Target="https://gld.legislaturacba.gob.ar/Publics/Actas.aspx?id=4lEUYpZoBZE=;https://gld.legislaturacba.gob.ar/Publics/Actas.aspx?id=K2V9kQcjT2k=;https://gld.legislaturacba.gob.ar/Publics/Actas.aspx?id=wP3IkK_pR4o=" TargetMode="External"/><Relationship Id="rId212" Type="http://schemas.openxmlformats.org/officeDocument/2006/relationships/hyperlink" Target="https://www.youtube.com/watch?v=vWt3AhB8_4E" TargetMode="External"/><Relationship Id="rId657" Type="http://schemas.openxmlformats.org/officeDocument/2006/relationships/hyperlink" Target="https://gld.legislaturacba.gob.ar/Publics/Actas.aspx?id=BzZI96BfMyI=;https://gld.legislaturacba.gob.ar/Publics/Actas.aspx?id=pOFaQVpXI8E=" TargetMode="External"/><Relationship Id="rId864" Type="http://schemas.openxmlformats.org/officeDocument/2006/relationships/hyperlink" Targe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94" Type="http://schemas.openxmlformats.org/officeDocument/2006/relationships/hyperlink" Target="https://gld.legislaturacba.gob.ar/Publics/Actas.aspx?id=bDvG1uLvP5s=" TargetMode="External"/><Relationship Id="rId1799" Type="http://schemas.openxmlformats.org/officeDocument/2006/relationships/hyperlink" Target="https://www.youtube.com/watch?v=mn02SG_zkZg" TargetMode="External"/><Relationship Id="rId2100" Type="http://schemas.openxmlformats.org/officeDocument/2006/relationships/hyperlink" Target="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517" Type="http://schemas.openxmlformats.org/officeDocument/2006/relationships/hyperlink" Targe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4" Type="http://schemas.openxmlformats.org/officeDocument/2006/relationships/hyperlink" Target="https://www.youtube.com/watch?v=pM8sHsv8GVo" TargetMode="External"/><Relationship Id="rId931" Type="http://schemas.openxmlformats.org/officeDocument/2006/relationships/hyperlink" Target="https://www.youtube.com/watch?v=IiEfYnc9ohw" TargetMode="External"/><Relationship Id="rId1147" Type="http://schemas.openxmlformats.org/officeDocument/2006/relationships/hyperlink" Targe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54" Type="http://schemas.openxmlformats.org/officeDocument/2006/relationships/hyperlink" Targe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61" Type="http://schemas.openxmlformats.org/officeDocument/2006/relationships/hyperlink" Targe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TargetMode="External"/><Relationship Id="rId60" Type="http://schemas.openxmlformats.org/officeDocument/2006/relationships/hyperlink" Target="https://www.youtube.com/watch?v=AhB6yRqsRLM" TargetMode="External"/><Relationship Id="rId1007" Type="http://schemas.openxmlformats.org/officeDocument/2006/relationships/hyperlink" Target="https://www.youtube.com/watch?v=5H8xfj7fwgA" TargetMode="External"/><Relationship Id="rId1214" Type="http://schemas.openxmlformats.org/officeDocument/2006/relationships/hyperlink" Target="https://www.youtube.com/watch?v=aAJcO6WWhdA" TargetMode="External"/><Relationship Id="rId1421" Type="http://schemas.openxmlformats.org/officeDocument/2006/relationships/hyperlink" Target="https://www.youtube.com/watch?v=L8nZ1af-9Yg" TargetMode="External"/><Relationship Id="rId1659" Type="http://schemas.openxmlformats.org/officeDocument/2006/relationships/hyperlink" Target="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66" Type="http://schemas.openxmlformats.org/officeDocument/2006/relationships/hyperlink" Target="https://gld.legislaturacba.gob.ar/Publics/Actas.aspx?id=hxOLQatsAHI=;https://gld.legislaturacba.gob.ar/Publics/Actas.aspx?id=GiDdtVCTzm8=" TargetMode="External"/><Relationship Id="rId1519" Type="http://schemas.openxmlformats.org/officeDocument/2006/relationships/hyperlink" Target="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26" Type="http://schemas.openxmlformats.org/officeDocument/2006/relationships/hyperlink" Target="https://gld.legislaturacba.gob.ar/Publics/Actas.aspx?id=Rjy_yq3iBcY=;https://gld.legislaturacba.gob.ar/Publics/Actas.aspx?id=DyukL9KCKOU=;https://gld.legislaturacba.gob.ar/Publics/Actas.aspx?id=h2h_-4AVn4M=" TargetMode="External"/><Relationship Id="rId1933" Type="http://schemas.openxmlformats.org/officeDocument/2006/relationships/hyperlink" Target="https://gld.legislaturacba.gob.ar/Publics/Actas.aspx?id=nULR_fOlIeY=;https://gld.legislaturacba.gob.ar/Publics/Actas.aspx?id=86PvTo4tIM0=;https://gld.legislaturacba.gob.ar/Publics/Actas.aspx?id=0K7jLVqcwm4=;https://gld.legislaturacba.gob.ar/Publics/Actas.aspx?id=ZrjN6rhiK4U=" TargetMode="External"/><Relationship Id="rId18" Type="http://schemas.openxmlformats.org/officeDocument/2006/relationships/hyperlink" Target="https://gld.legislaturacba.gob.ar/Publics/Actas.aspx?id=gQ4-FLnc044=" TargetMode="External"/><Relationship Id="rId167" Type="http://schemas.openxmlformats.org/officeDocument/2006/relationships/hyperlink" Target="https://gld.legislaturacba.gob.ar/Publics/Actas.aspx?id=8apxt34HXbU=;https://gld.legislaturacba.gob.ar/Publics/Actas.aspx?id=VQEFHVyx92o=;https://gld.legislaturacba.gob.ar/Publics/Actas.aspx?id=k7EAn1D5Vuo=" TargetMode="External"/><Relationship Id="rId374" Type="http://schemas.openxmlformats.org/officeDocument/2006/relationships/hyperlink" Target="https://gld.legislaturacba.gob.ar/Publics/Actas.aspx?id=3S6u7sUaPwE=" TargetMode="External"/><Relationship Id="rId581" Type="http://schemas.openxmlformats.org/officeDocument/2006/relationships/hyperlink" Target="https://www.youtube.com/watch?v=yymQxblY6rk" TargetMode="External"/><Relationship Id="rId2055" Type="http://schemas.openxmlformats.org/officeDocument/2006/relationships/hyperlink" Target="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34" Type="http://schemas.openxmlformats.org/officeDocument/2006/relationships/hyperlink" Targe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9" Type="http://schemas.openxmlformats.org/officeDocument/2006/relationships/hyperlink" Target="https://www.youtube.com/watch?v=6aY3LHC_5yQ" TargetMode="External"/><Relationship Id="rId886" Type="http://schemas.openxmlformats.org/officeDocument/2006/relationships/hyperlink" Target="https://www.youtube.com/watch?v=_ajJWdFlkas" TargetMode="External"/><Relationship Id="rId2" Type="http://schemas.openxmlformats.org/officeDocument/2006/relationships/hyperlink" Target="https://gld.legislaturacba.gob.ar/Publics/Actas.aspx?id=ZmDfu4aOfA8=" TargetMode="External"/><Relationship Id="rId441" Type="http://schemas.openxmlformats.org/officeDocument/2006/relationships/hyperlink" Target="https://gld.legislaturacba.gob.ar/Publics/Actas.aspx?id=3FoztXGmwSA=;https://gld.legislaturacba.gob.ar/Publics/Actas.aspx?id=bJKRM9dWPqo=;https://gld.legislaturacba.gob.ar/Publics/Actas.aspx?id=6uZS1B7fF0M=" TargetMode="External"/><Relationship Id="rId539" Type="http://schemas.openxmlformats.org/officeDocument/2006/relationships/hyperlink" Target="https://www.youtube.com/watch?v=fO8U7MeK3QA" TargetMode="External"/><Relationship Id="rId746" Type="http://schemas.openxmlformats.org/officeDocument/2006/relationships/hyperlink" Target="https://www.youtube.com/watch?v=DS3_4H6zVDw" TargetMode="External"/><Relationship Id="rId1071" Type="http://schemas.openxmlformats.org/officeDocument/2006/relationships/hyperlink" Targe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69" Type="http://schemas.openxmlformats.org/officeDocument/2006/relationships/hyperlink" Target="https://www.youtube.com/watch?v=2d6qvN8_LpU" TargetMode="External"/><Relationship Id="rId1376" Type="http://schemas.openxmlformats.org/officeDocument/2006/relationships/hyperlink" Target="https://www.youtube.com/watch?v=SwJ0AGeVylQ" TargetMode="External"/><Relationship Id="rId1583" Type="http://schemas.openxmlformats.org/officeDocument/2006/relationships/hyperlink" Target="https://www.youtube.com/watch?v=u9nlXUT_WIA" TargetMode="External"/><Relationship Id="rId2122" Type="http://schemas.openxmlformats.org/officeDocument/2006/relationships/hyperlink" Target="https://www.youtube.com/watch?v=_YtrhgTGiSU" TargetMode="External"/><Relationship Id="rId301" Type="http://schemas.openxmlformats.org/officeDocument/2006/relationships/hyperlink" Target="https://www.youtube.com/watch?v=OXJFBhtMYqo" TargetMode="External"/><Relationship Id="rId953" Type="http://schemas.openxmlformats.org/officeDocument/2006/relationships/hyperlink" Targe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9" Type="http://schemas.openxmlformats.org/officeDocument/2006/relationships/hyperlink" Target="https://www.youtube.com/watch?v=bmkeftXCDUY" TargetMode="External"/><Relationship Id="rId1236" Type="http://schemas.openxmlformats.org/officeDocument/2006/relationships/hyperlink" Target="https://gld.legislaturacba.gob.ar/Publics/Actas.aspx?id=DSUtC7LHlKg=;https://gld.legislaturacba.gob.ar/Publics/Actas.aspx?id=fiU1icXT9iA=" TargetMode="External"/><Relationship Id="rId1790" Type="http://schemas.openxmlformats.org/officeDocument/2006/relationships/hyperlink" Target="https://www.youtube.com/watch?v=fEl4z4pIa8s" TargetMode="External"/><Relationship Id="rId1888" Type="http://schemas.openxmlformats.org/officeDocument/2006/relationships/hyperlink" Target="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82" Type="http://schemas.openxmlformats.org/officeDocument/2006/relationships/hyperlink" Target="https://gld.legislaturacba.gob.ar/Publics/Actas.aspx?id=40IZo5e99lI=" TargetMode="External"/><Relationship Id="rId606" Type="http://schemas.openxmlformats.org/officeDocument/2006/relationships/hyperlink" Targe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3" Type="http://schemas.openxmlformats.org/officeDocument/2006/relationships/hyperlink" Target="https://gld.legislaturacba.gob.ar/Publics/Actas.aspx?id=hDQAgBC1iYU=;https://gld.legislaturacba.gob.ar/Publics/Actas.aspx?id=V8GorilWYKs=" TargetMode="External"/><Relationship Id="rId1443" Type="http://schemas.openxmlformats.org/officeDocument/2006/relationships/hyperlink" Target="https://gld.legislaturacba.gob.ar/Publics/Actas.aspx?id=R8FQkW7sD94=" TargetMode="External"/><Relationship Id="rId1650" Type="http://schemas.openxmlformats.org/officeDocument/2006/relationships/hyperlink" Target="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748" Type="http://schemas.openxmlformats.org/officeDocument/2006/relationships/hyperlink" Target="https://gld.legislaturacba.gob.ar/Publics/Actas.aspx?id=i40HrDp3sfU=" TargetMode="External"/><Relationship Id="rId1303" Type="http://schemas.openxmlformats.org/officeDocument/2006/relationships/hyperlink" Target="https://gld.legislaturacba.gob.ar/Publics/Actas.aspx?id=pp_bmZ2OYUk=" TargetMode="External"/><Relationship Id="rId1510" Type="http://schemas.openxmlformats.org/officeDocument/2006/relationships/hyperlink" Target="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955" Type="http://schemas.openxmlformats.org/officeDocument/2006/relationships/hyperlink" Target="https://gld.legislaturacba.gob.ar/Publics/Actas.aspx?id=R5xpynoVFVg=" TargetMode="External"/><Relationship Id="rId1608" Type="http://schemas.openxmlformats.org/officeDocument/2006/relationships/hyperlink" Targe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TargetMode="External"/><Relationship Id="rId1815" Type="http://schemas.openxmlformats.org/officeDocument/2006/relationships/hyperlink" Target="https://www.youtube.com/watch?v=qrwK4xJ10hs" TargetMode="External"/><Relationship Id="rId189" Type="http://schemas.openxmlformats.org/officeDocument/2006/relationships/hyperlink" Target="https://gld.legislaturacba.gob.ar/Publics/Actas.aspx?id=5fQn2dkWBpk=;https://gld.legislaturacba.gob.ar/Publics/Actas.aspx?id=MxHm0Fyll8c=" TargetMode="External"/><Relationship Id="rId396" Type="http://schemas.openxmlformats.org/officeDocument/2006/relationships/hyperlink" Targe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77" Type="http://schemas.openxmlformats.org/officeDocument/2006/relationships/hyperlink" Target="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6" Type="http://schemas.openxmlformats.org/officeDocument/2006/relationships/hyperlink" Target="https://gld.legislaturacba.gob.ar/Publics/Actas.aspx?id=v77R276zMnE=" TargetMode="External"/><Relationship Id="rId463" Type="http://schemas.openxmlformats.org/officeDocument/2006/relationships/hyperlink" Targe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0" Type="http://schemas.openxmlformats.org/officeDocument/2006/relationships/hyperlink" Targe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93" Type="http://schemas.openxmlformats.org/officeDocument/2006/relationships/hyperlink" Target="https://gld.legislaturacba.gob.ar/Publics/Actas.aspx?id=phju-SwG_RQ=" TargetMode="External"/><Relationship Id="rId116" Type="http://schemas.openxmlformats.org/officeDocument/2006/relationships/hyperlink" Target="https://gld.legislaturacba.gob.ar/Publics/Actas.aspx?id=kKiuMZyZFnY=" TargetMode="External"/><Relationship Id="rId323" Type="http://schemas.openxmlformats.org/officeDocument/2006/relationships/hyperlink" Target="https://www.youtube.com/watch?v=mN2SCaTz7H4" TargetMode="External"/><Relationship Id="rId530" Type="http://schemas.openxmlformats.org/officeDocument/2006/relationships/hyperlink" Target="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68" Type="http://schemas.openxmlformats.org/officeDocument/2006/relationships/hyperlink" Target="https://gld.legislaturacba.gob.ar/Publics/Actas.aspx?id=tO6slmj3p6M=" TargetMode="External"/><Relationship Id="rId975" Type="http://schemas.openxmlformats.org/officeDocument/2006/relationships/hyperlink" Target="https://gld.legislaturacba.gob.ar/Publics/Actas.aspx?id=S3oUlnjR090=" TargetMode="External"/><Relationship Id="rId1160" Type="http://schemas.openxmlformats.org/officeDocument/2006/relationships/hyperlink" Target="https://www.youtube.com/watch?v=RGL-1k2bvl0" TargetMode="External"/><Relationship Id="rId1398" Type="http://schemas.openxmlformats.org/officeDocument/2006/relationships/hyperlink" Target="https://gld.legislaturacba.gob.ar/Publics/Actas.aspx?id=XFhqoAxBThQ=" TargetMode="External"/><Relationship Id="rId2004" Type="http://schemas.openxmlformats.org/officeDocument/2006/relationships/hyperlink" Target="https://gld.legislaturacba.gob.ar/Publics/Actas.aspx?id=9llPjy8V0Wk=;NA" TargetMode="External"/><Relationship Id="rId628" Type="http://schemas.openxmlformats.org/officeDocument/2006/relationships/hyperlink" Target="https://www.youtube.com/watch?v=QwMY5H24VMg" TargetMode="External"/><Relationship Id="rId835" Type="http://schemas.openxmlformats.org/officeDocument/2006/relationships/hyperlink" Target="https://www.youtube.com/watch?v=Q9mMCl9k2-c" TargetMode="External"/><Relationship Id="rId1258" Type="http://schemas.openxmlformats.org/officeDocument/2006/relationships/hyperlink" Target="https://gld.legislaturacba.gob.ar/Publics/Actas.aspx?id=49pcfDqVOmg=;https://gld.legislaturacba.gob.ar/Publics/Actas.aspx?id=5HtyuZNeseU=" TargetMode="External"/><Relationship Id="rId1465" Type="http://schemas.openxmlformats.org/officeDocument/2006/relationships/hyperlink" Target="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72" Type="http://schemas.openxmlformats.org/officeDocument/2006/relationships/hyperlink" Target="https://www.youtube.com/watch?v=bp69RRTvAmk" TargetMode="External"/><Relationship Id="rId1020" Type="http://schemas.openxmlformats.org/officeDocument/2006/relationships/hyperlink" Targe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18" Type="http://schemas.openxmlformats.org/officeDocument/2006/relationships/hyperlink" Target="https://www.youtube.com/watch?v=tprtOQtyLfI" TargetMode="External"/><Relationship Id="rId1325" Type="http://schemas.openxmlformats.org/officeDocument/2006/relationships/hyperlink" Target="https://www.youtube.com/watch?v=HAvjNzL8MgM" TargetMode="External"/><Relationship Id="rId1532" Type="http://schemas.openxmlformats.org/officeDocument/2006/relationships/hyperlink" Target="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977" Type="http://schemas.openxmlformats.org/officeDocument/2006/relationships/hyperlink" Target="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902" Type="http://schemas.openxmlformats.org/officeDocument/2006/relationships/hyperlink" Target="https://gld.legislaturacba.gob.ar/Publics/Actas.aspx?id=DNaGY1SY15Y=" TargetMode="External"/><Relationship Id="rId1837" Type="http://schemas.openxmlformats.org/officeDocument/2006/relationships/hyperlink" Target="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31" Type="http://schemas.openxmlformats.org/officeDocument/2006/relationships/hyperlink" Target="https://gld.legislaturacba.gob.ar/Publics/Actas.aspx?id=niqJ5jpnycc=;https://gld.legislaturacba.gob.ar/Publics/Actas.aspx?id=fATJVaLhlog=" TargetMode="External"/><Relationship Id="rId2099" Type="http://schemas.openxmlformats.org/officeDocument/2006/relationships/hyperlink" Target="https://gld.legislaturacba.gob.ar/Publics/Actas.aspx?id=HOuDYrZrxAU=" TargetMode="External"/><Relationship Id="rId180" Type="http://schemas.openxmlformats.org/officeDocument/2006/relationships/hyperlink" Target="https://www.youtube.com/watch?v=XiuWk0lAs_E" TargetMode="External"/><Relationship Id="rId278" Type="http://schemas.openxmlformats.org/officeDocument/2006/relationships/hyperlink" Target="https://gld.legislaturacba.gob.ar/Publics/Actas.aspx?id=vH1r7IVgwrc=;https://gld.legislaturacba.gob.ar/Publics/Actas.aspx?id=ZGI1f9LVcbw=" TargetMode="External"/><Relationship Id="rId1904" Type="http://schemas.openxmlformats.org/officeDocument/2006/relationships/hyperlink" Target="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485" Type="http://schemas.openxmlformats.org/officeDocument/2006/relationships/hyperlink" Target="https://gld.legislaturacba.gob.ar/Publics/Actas.aspx?id=S13yyNqOZWk=;https://gld.legislaturacba.gob.ar/Publics/Actas.aspx?id=9zGvIkY3OUE=;https://gld.legislaturacba.gob.ar/Publics/Actas.aspx?id=6_-RHLtiq_8=;https://gld.legislaturacba.gob.ar/Publics/Actas.aspx?id=Jxl9Vjcr1Mk=" TargetMode="External"/><Relationship Id="rId692" Type="http://schemas.openxmlformats.org/officeDocument/2006/relationships/hyperlink" Target="https://gld.legislaturacba.gob.ar/Publics/Actas.aspx?id=fbGSUzz4iM8=" TargetMode="External"/><Relationship Id="rId138" Type="http://schemas.openxmlformats.org/officeDocument/2006/relationships/hyperlink" Targe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5" Type="http://schemas.openxmlformats.org/officeDocument/2006/relationships/hyperlink" Targe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52" Type="http://schemas.openxmlformats.org/officeDocument/2006/relationships/hyperlink" Target="https://gld.legislaturacba.gob.ar/Publics/Actas.aspx?id=20d95av1oMY=;https://gld.legislaturacba.gob.ar/Publics/Actas.aspx?id=UlSC81XjTOM=" TargetMode="External"/><Relationship Id="rId997" Type="http://schemas.openxmlformats.org/officeDocument/2006/relationships/hyperlink" Target="https://www.youtube.com/watch?v=wY-HU0qPjdQ" TargetMode="External"/><Relationship Id="rId1182" Type="http://schemas.openxmlformats.org/officeDocument/2006/relationships/hyperlink" Targe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26" Type="http://schemas.openxmlformats.org/officeDocument/2006/relationships/hyperlink" Target="https://www.youtube.com/watch?v=ZGIJwUSasIA" TargetMode="External"/><Relationship Id="rId205" Type="http://schemas.openxmlformats.org/officeDocument/2006/relationships/hyperlink" Target="https://gld.legislaturacba.gob.ar/Publics/Actas.aspx?id=4gHPfwzYL6w=" TargetMode="External"/><Relationship Id="rId412" Type="http://schemas.openxmlformats.org/officeDocument/2006/relationships/hyperlink" Target="https://gld.legislaturacba.gob.ar/Publics/Actas.aspx?id=aZHayzf7rhc=" TargetMode="External"/><Relationship Id="rId857" Type="http://schemas.openxmlformats.org/officeDocument/2006/relationships/hyperlink" Target="https://gld.legislaturacba.gob.ar/Publics/Actas.aspx?id=YKFZbA3sJvU=" TargetMode="External"/><Relationship Id="rId1042" Type="http://schemas.openxmlformats.org/officeDocument/2006/relationships/hyperlink" Target="https://gld.legislaturacba.gob.ar/Publics/Actas.aspx?id=PwK5VZGWPRk=" TargetMode="External"/><Relationship Id="rId1487" Type="http://schemas.openxmlformats.org/officeDocument/2006/relationships/hyperlink" Target="https://gld.legislaturacba.gob.ar/Publics/Actas.aspx?id=N6DwRsXfFEw=" TargetMode="External"/><Relationship Id="rId1694" Type="http://schemas.openxmlformats.org/officeDocument/2006/relationships/hyperlink" Target="https://gld.legislaturacba.gob.ar/Publics/Actas.aspx?id=TgM7hWb4I1I=" TargetMode="External"/><Relationship Id="rId717" Type="http://schemas.openxmlformats.org/officeDocument/2006/relationships/hyperlink" Targe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24" Type="http://schemas.openxmlformats.org/officeDocument/2006/relationships/hyperlink" Targe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7" Type="http://schemas.openxmlformats.org/officeDocument/2006/relationships/hyperlink" Target="https://gld.legislaturacba.gob.ar/Publics/Actas.aspx?id=N15b07RQ_rs=" TargetMode="External"/><Relationship Id="rId1554" Type="http://schemas.openxmlformats.org/officeDocument/2006/relationships/hyperlink" Target="https://gld.legislaturacba.gob.ar/Publics/Actas.aspx?id=WYPXoYLmI7U=" TargetMode="External"/><Relationship Id="rId1761" Type="http://schemas.openxmlformats.org/officeDocument/2006/relationships/hyperlink" Target="https://www.youtube.com/watch?v=Nf_rtZudFRE" TargetMode="External"/><Relationship Id="rId1999" Type="http://schemas.openxmlformats.org/officeDocument/2006/relationships/hyperlink" Target="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3" Type="http://schemas.openxmlformats.org/officeDocument/2006/relationships/hyperlink" Targe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7" Type="http://schemas.openxmlformats.org/officeDocument/2006/relationships/hyperlink" Targe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14" Type="http://schemas.openxmlformats.org/officeDocument/2006/relationships/hyperlink" Target="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21" Type="http://schemas.openxmlformats.org/officeDocument/2006/relationships/hyperlink" Target="https://gld.legislaturacba.gob.ar/Publics/Actas.aspx?id=tSSXxsd20sQ=;https://gld.legislaturacba.gob.ar/Publics/Actas.aspx?id=c9d2Z_vqor4=" TargetMode="External"/><Relationship Id="rId1859" Type="http://schemas.openxmlformats.org/officeDocument/2006/relationships/hyperlink" Target="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19" Type="http://schemas.openxmlformats.org/officeDocument/2006/relationships/hyperlink" Targe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26" Type="http://schemas.openxmlformats.org/officeDocument/2006/relationships/hyperlink" Target="https://www.youtube.com/watch?v=Zw-EU1uE4Yw" TargetMode="External"/><Relationship Id="rId2090" Type="http://schemas.openxmlformats.org/officeDocument/2006/relationships/hyperlink" Target="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367" Type="http://schemas.openxmlformats.org/officeDocument/2006/relationships/hyperlink" Target="https://gld.legislaturacba.gob.ar/Publics/Actas.aspx?id=LTzjzvofV0s=;https://gld.legislaturacba.gob.ar/Publics/Actas.aspx?id=5Xe9DHmYIgk=" TargetMode="External"/><Relationship Id="rId574" Type="http://schemas.openxmlformats.org/officeDocument/2006/relationships/hyperlink" Target="https://gld.legislaturacba.gob.ar/Publics/Actas.aspx?id=repazwgpxkw=;https://gld.legislaturacba.gob.ar/Publics/Actas.aspx?id=g-hbzvZnFXc=;https://gld.legislaturacba.gob.ar/Publics/Actas.aspx?id=bAJp-jDC1Ds=;https://gld.legislaturacba.gob.ar/Publics/Actas.aspx?id=HFd-6mXDVUo=" TargetMode="External"/><Relationship Id="rId2048" Type="http://schemas.openxmlformats.org/officeDocument/2006/relationships/hyperlink" Target="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27" Type="http://schemas.openxmlformats.org/officeDocument/2006/relationships/hyperlink" Target="https://gld.legislaturacba.gob.ar/Publics/Actas.aspx?id=aCqOHq-N2JQ=" TargetMode="External"/><Relationship Id="rId781" Type="http://schemas.openxmlformats.org/officeDocument/2006/relationships/hyperlink" Targe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79" Type="http://schemas.openxmlformats.org/officeDocument/2006/relationships/hyperlink" Targe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434" Type="http://schemas.openxmlformats.org/officeDocument/2006/relationships/hyperlink" Target="https://www.youtube.com/watch?v=qb-Ja3a1XPg" TargetMode="External"/><Relationship Id="rId641" Type="http://schemas.openxmlformats.org/officeDocument/2006/relationships/hyperlink" Target="https://gld.legislaturacba.gob.ar/Publics/Actas.aspx?id=FvpwbRU64Gg=" TargetMode="External"/><Relationship Id="rId739" Type="http://schemas.openxmlformats.org/officeDocument/2006/relationships/hyperlink" Targe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64" Type="http://schemas.openxmlformats.org/officeDocument/2006/relationships/hyperlink" Target="https://gld.legislaturacba.gob.ar/Publics/Actas.aspx?id=zigLZ5rVo2I=" TargetMode="External"/><Relationship Id="rId1271" Type="http://schemas.openxmlformats.org/officeDocument/2006/relationships/hyperlink" Targe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69" Type="http://schemas.openxmlformats.org/officeDocument/2006/relationships/hyperlink" Target="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76" Type="http://schemas.openxmlformats.org/officeDocument/2006/relationships/hyperlink" Targe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TargetMode="External"/><Relationship Id="rId2115" Type="http://schemas.openxmlformats.org/officeDocument/2006/relationships/hyperlink" Target="https://www.youtube.com/watch?v=eBGUoXIUGYU" TargetMode="External"/><Relationship Id="rId501" Type="http://schemas.openxmlformats.org/officeDocument/2006/relationships/hyperlink" Target="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46" Type="http://schemas.openxmlformats.org/officeDocument/2006/relationships/hyperlink" Target="https://gld.legislaturacba.gob.ar/Publics/Actas.aspx?id=rFkDqxbmkjs=" TargetMode="External"/><Relationship Id="rId1131" Type="http://schemas.openxmlformats.org/officeDocument/2006/relationships/hyperlink" Target="https://gld.legislaturacba.gob.ar/Publics/Actas.aspx?id=36dZzcYSaqs=" TargetMode="External"/><Relationship Id="rId1229" Type="http://schemas.openxmlformats.org/officeDocument/2006/relationships/hyperlink" Targe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83" Type="http://schemas.openxmlformats.org/officeDocument/2006/relationships/hyperlink" Target="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90" Type="http://schemas.openxmlformats.org/officeDocument/2006/relationships/hyperlink" Target="https://www.youtube.com/watch?v=uBmUm4iU7K0" TargetMode="External"/><Relationship Id="rId75" Type="http://schemas.openxmlformats.org/officeDocument/2006/relationships/hyperlink" Targe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6" Type="http://schemas.openxmlformats.org/officeDocument/2006/relationships/hyperlink" Target="https://www.youtube.com/watch?v=QIKPRxqxuxQ" TargetMode="External"/><Relationship Id="rId1436" Type="http://schemas.openxmlformats.org/officeDocument/2006/relationships/hyperlink" Target="https://www.youtube.com/watch?v=uJAPbUxD654" TargetMode="External"/><Relationship Id="rId1643" Type="http://schemas.openxmlformats.org/officeDocument/2006/relationships/hyperlink" Target="https://gld.legislaturacba.gob.ar/Publics/Actas.aspx?id=j7Ra1ri0zhQ=" TargetMode="External"/><Relationship Id="rId1850" Type="http://schemas.openxmlformats.org/officeDocument/2006/relationships/hyperlink" Target="https://gld.legislaturacba.gob.ar/Publics/Actas.aspx?id=KTpD1SQdoIo=" TargetMode="External"/><Relationship Id="rId1503" Type="http://schemas.openxmlformats.org/officeDocument/2006/relationships/hyperlink" Target="https://gld.legislaturacba.gob.ar/Publics/Actas.aspx?id=VkoOSqr3HQY=" TargetMode="External"/><Relationship Id="rId1710" Type="http://schemas.openxmlformats.org/officeDocument/2006/relationships/hyperlink" Target="https://www.youtube.com/watch?v=srBgr7eai9E" TargetMode="External"/><Relationship Id="rId1948" Type="http://schemas.openxmlformats.org/officeDocument/2006/relationships/hyperlink" Target="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91" Type="http://schemas.openxmlformats.org/officeDocument/2006/relationships/hyperlink" Target="https://gld.legislaturacba.gob.ar/Publics/Actas.aspx?id=SeKyNVbxBw8=" TargetMode="External"/><Relationship Id="rId1808" Type="http://schemas.openxmlformats.org/officeDocument/2006/relationships/hyperlink" Target="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1" Type="http://schemas.openxmlformats.org/officeDocument/2006/relationships/hyperlink" Targe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9" Type="http://schemas.openxmlformats.org/officeDocument/2006/relationships/hyperlink" Targe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6" Type="http://schemas.openxmlformats.org/officeDocument/2006/relationships/hyperlink" Target="https://gld.legislaturacba.gob.ar/Publics/Actas.aspx?id=IZkRouYWnXY=" TargetMode="External"/><Relationship Id="rId249" Type="http://schemas.openxmlformats.org/officeDocument/2006/relationships/hyperlink" Target="https://www.youtube.com/watch?v=yg8Ug5prpk0" TargetMode="External"/><Relationship Id="rId456" Type="http://schemas.openxmlformats.org/officeDocument/2006/relationships/hyperlink" Target="https://gld.legislaturacba.gob.ar/Publics/Actas.aspx?id=ari3U-E3eSI=" TargetMode="External"/><Relationship Id="rId663" Type="http://schemas.openxmlformats.org/officeDocument/2006/relationships/hyperlink" Target="https://gld.legislaturacba.gob.ar/Publics/Actas.aspx?id=xkU_iHuN7sU=" TargetMode="External"/><Relationship Id="rId870" Type="http://schemas.openxmlformats.org/officeDocument/2006/relationships/hyperlink" Targe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86" Type="http://schemas.openxmlformats.org/officeDocument/2006/relationships/hyperlink" Target="https://www.youtube.com/watch?v=luU-G4jeO8Q" TargetMode="External"/><Relationship Id="rId1293" Type="http://schemas.openxmlformats.org/officeDocument/2006/relationships/hyperlink" Targe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9" Type="http://schemas.openxmlformats.org/officeDocument/2006/relationships/hyperlink" Target="https://gld.legislaturacba.gob.ar/Publics/Actas.aspx?id=BU5agbT93g0=" TargetMode="External"/><Relationship Id="rId316" Type="http://schemas.openxmlformats.org/officeDocument/2006/relationships/hyperlink" Targe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3" Type="http://schemas.openxmlformats.org/officeDocument/2006/relationships/hyperlink" Target="https://www.youtube.com/watch?v=1c8sBebOyxI" TargetMode="External"/><Relationship Id="rId968" Type="http://schemas.openxmlformats.org/officeDocument/2006/relationships/hyperlink" Target="https://www.youtube.com/watch?v=4AZgcULnKOc" TargetMode="External"/><Relationship Id="rId1153" Type="http://schemas.openxmlformats.org/officeDocument/2006/relationships/hyperlink" Targe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98" Type="http://schemas.openxmlformats.org/officeDocument/2006/relationships/hyperlink" Target="https://gld.legislaturacba.gob.ar/Publics/Actas.aspx?id=bhLAvQSszY0=" TargetMode="External"/><Relationship Id="rId97" Type="http://schemas.openxmlformats.org/officeDocument/2006/relationships/hyperlink" Target="https://www.youtube.com/watch?v=XhawY8_f6FM" TargetMode="External"/><Relationship Id="rId730" Type="http://schemas.openxmlformats.org/officeDocument/2006/relationships/hyperlink" Target="https://www.youtube.com/watch?v=sdTdkHkqv2Q" TargetMode="External"/><Relationship Id="rId828" Type="http://schemas.openxmlformats.org/officeDocument/2006/relationships/hyperlink" Targe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13" Type="http://schemas.openxmlformats.org/officeDocument/2006/relationships/hyperlink" Target="https://www.youtube.com/watch?v=TK6sY1TJLw0" TargetMode="External"/><Relationship Id="rId1360" Type="http://schemas.openxmlformats.org/officeDocument/2006/relationships/hyperlink" Target="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458" Type="http://schemas.openxmlformats.org/officeDocument/2006/relationships/hyperlink" Target="https://gld.legislaturacba.gob.ar/Publics/Actas.aspx?id=k7ITqyj3I8M=;https://gld.legislaturacba.gob.ar/Publics/Actas.aspx?id=oEsgkXVvSYg=" TargetMode="External"/><Relationship Id="rId1665" Type="http://schemas.openxmlformats.org/officeDocument/2006/relationships/hyperlink" Target="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72" Type="http://schemas.openxmlformats.org/officeDocument/2006/relationships/hyperlink" Target="https://gld.legislaturacba.gob.ar/Publics/Actas.aspx?id=U5gSrD5YMhA=;https://gld.legislaturacba.gob.ar/Publics/Actas.aspx?id=a6OHmrsqL3o=" TargetMode="External"/><Relationship Id="rId1220" Type="http://schemas.openxmlformats.org/officeDocument/2006/relationships/hyperlink" Target="https://www.youtube.com/watch?v=y-YrnzQEf20" TargetMode="External"/><Relationship Id="rId1318" Type="http://schemas.openxmlformats.org/officeDocument/2006/relationships/hyperlink" Targe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25" Type="http://schemas.openxmlformats.org/officeDocument/2006/relationships/hyperlink" Target="https://gld.legislaturacba.gob.ar/Publics/Actas.aspx?id=q2j-h3VywAE=" TargetMode="External"/><Relationship Id="rId1732" Type="http://schemas.openxmlformats.org/officeDocument/2006/relationships/hyperlink" Target="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4" Type="http://schemas.openxmlformats.org/officeDocument/2006/relationships/hyperlink" Target="https://gld.legislaturacba.gob.ar/Publics/Actas.aspx?id=IeeooHM1_MM=" TargetMode="External"/><Relationship Id="rId173" Type="http://schemas.openxmlformats.org/officeDocument/2006/relationships/hyperlink" Targe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0" Type="http://schemas.openxmlformats.org/officeDocument/2006/relationships/hyperlink" Targe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61" Type="http://schemas.openxmlformats.org/officeDocument/2006/relationships/hyperlink" Target="https://gld.legislaturacba.gob.ar/Publics/Actas.aspx?id=6mBtBdMW8F0=;NA" TargetMode="External"/><Relationship Id="rId240" Type="http://schemas.openxmlformats.org/officeDocument/2006/relationships/hyperlink" Targe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8" Type="http://schemas.openxmlformats.org/officeDocument/2006/relationships/hyperlink" Target="https://www.youtube.com/watch?v=RolNrf7eElY" TargetMode="External"/><Relationship Id="rId685" Type="http://schemas.openxmlformats.org/officeDocument/2006/relationships/hyperlink" Target="https://www.youtube.com/watch?v=Sq5gsP4iYQ8" TargetMode="External"/><Relationship Id="rId892" Type="http://schemas.openxmlformats.org/officeDocument/2006/relationships/hyperlink" Target="https://www.youtube.com/watch?v=EifmVOKnLsc" TargetMode="External"/><Relationship Id="rId100" Type="http://schemas.openxmlformats.org/officeDocument/2006/relationships/hyperlink" Target="https://www.youtube.com/watch?v=SkrYOJFqb18" TargetMode="External"/><Relationship Id="rId338" Type="http://schemas.openxmlformats.org/officeDocument/2006/relationships/hyperlink" Target="https://www.youtube.com/watch?v=SS0ONVjFLd4" TargetMode="External"/><Relationship Id="rId545" Type="http://schemas.openxmlformats.org/officeDocument/2006/relationships/hyperlink" Target="https://gld.legislaturacba.gob.ar/Publics/Actas.aspx?id=0v7PwP9-DOo=" TargetMode="External"/><Relationship Id="rId752" Type="http://schemas.openxmlformats.org/officeDocument/2006/relationships/hyperlink" Target="https://www.youtube.com/watch?v=cUSyrgiRoD4" TargetMode="External"/><Relationship Id="rId1175" Type="http://schemas.openxmlformats.org/officeDocument/2006/relationships/hyperlink" Target="https://www.youtube.com/watch?v=MrttBxcYXNM" TargetMode="External"/><Relationship Id="rId1382" Type="http://schemas.openxmlformats.org/officeDocument/2006/relationships/hyperlink" Target="https://www.youtube.com/watch?v=UdwnG4NU-FE" TargetMode="External"/><Relationship Id="rId2019" Type="http://schemas.openxmlformats.org/officeDocument/2006/relationships/hyperlink" Target="https://www.youtube.com/watch?v=ZLMIJOJ29tU" TargetMode="External"/><Relationship Id="rId405" Type="http://schemas.openxmlformats.org/officeDocument/2006/relationships/hyperlink" Target="https://gld.legislaturacba.gob.ar/Publics/Actas.aspx?id=H0RUkfSPVcA=" TargetMode="External"/><Relationship Id="rId612" Type="http://schemas.openxmlformats.org/officeDocument/2006/relationships/hyperlink" Targe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35" Type="http://schemas.openxmlformats.org/officeDocument/2006/relationships/hyperlink" Target="https://gld.legislaturacba.gob.ar/Publics/Actas.aspx?id=5dXSoqLfYFw=" TargetMode="External"/><Relationship Id="rId1242" Type="http://schemas.openxmlformats.org/officeDocument/2006/relationships/hyperlink" Target="https://gld.legislaturacba.gob.ar/Publics/Actas.aspx?id=ft65MUU5nWI=;https://gld.legislaturacba.gob.ar/Publics/Actas.aspx?id=mRvYsNwwcHA=;https://gld.legislaturacba.gob.ar/Publics/Actas.aspx?id=lDvmQlS44mM=" TargetMode="External"/><Relationship Id="rId1687" Type="http://schemas.openxmlformats.org/officeDocument/2006/relationships/hyperlink" Target="https://www.youtube.com/watch?v=7FA7qJ9Mor0" TargetMode="External"/><Relationship Id="rId1894" Type="http://schemas.openxmlformats.org/officeDocument/2006/relationships/hyperlink" Target="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917" Type="http://schemas.openxmlformats.org/officeDocument/2006/relationships/hyperlink" Target="https://gld.legislaturacba.gob.ar/Publics/Actas.aspx?id=zh3_oJQCuEs=;https://gld.legislaturacba.gob.ar/Publics/Actas.aspx?id=14oZpYZaOYE=" TargetMode="External"/><Relationship Id="rId1102" Type="http://schemas.openxmlformats.org/officeDocument/2006/relationships/hyperlink" Target="https://gld.legislaturacba.gob.ar/Publics/Actas.aspx?id=QvSZN5OiFBI=;https://gld.legislaturacba.gob.ar/Publics/Actas.aspx?id=En1M2iHzibA=;https://gld.legislaturacba.gob.ar/Publics/Actas.aspx?id=vZvWx5cWyXI=" TargetMode="External"/><Relationship Id="rId1547" Type="http://schemas.openxmlformats.org/officeDocument/2006/relationships/hyperlink" Target="https://www.youtube.com/watch?v=2VZY9GZ8-gM" TargetMode="External"/><Relationship Id="rId1754" Type="http://schemas.openxmlformats.org/officeDocument/2006/relationships/hyperlink" Target="https://gld.legislaturacba.gob.ar/Publics/Actas.aspx?id=ulVFAk5IeYs=" TargetMode="External"/><Relationship Id="rId1961" Type="http://schemas.openxmlformats.org/officeDocument/2006/relationships/hyperlink" Target="https://gld.legislaturacba.gob.ar/Publics/Actas.aspx?id=-ZiT8_-kK1k=" TargetMode="External"/><Relationship Id="rId46" Type="http://schemas.openxmlformats.org/officeDocument/2006/relationships/hyperlink" Target="https://gld.legislaturacba.gob.ar/Publics/Actas.aspx?id=Ps9WXRrPjoI=" TargetMode="External"/><Relationship Id="rId1407" Type="http://schemas.openxmlformats.org/officeDocument/2006/relationships/hyperlink" Target="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14" Type="http://schemas.openxmlformats.org/officeDocument/2006/relationships/hyperlink" Target="https://www.youtube.com/watch?v=BIygIMv7k3k" TargetMode="External"/><Relationship Id="rId1821" Type="http://schemas.openxmlformats.org/officeDocument/2006/relationships/hyperlink" Target="https://www.youtube.com/watch?v=atY_oJBj4os" TargetMode="External"/><Relationship Id="rId195" Type="http://schemas.openxmlformats.org/officeDocument/2006/relationships/hyperlink" Target="https://gld.legislaturacba.gob.ar/Publics/Actas.aspx?id=O-uPG-d7AEs=;https://gld.legislaturacba.gob.ar/Publics/Actas.aspx?id=Jy6PKZOznAM=" TargetMode="External"/><Relationship Id="rId1919" Type="http://schemas.openxmlformats.org/officeDocument/2006/relationships/hyperlink" Target="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83" Type="http://schemas.openxmlformats.org/officeDocument/2006/relationships/hyperlink" Target="https://www.youtube.com/watch?v=_8yPdVPR2Wc" TargetMode="External"/><Relationship Id="rId262" Type="http://schemas.openxmlformats.org/officeDocument/2006/relationships/hyperlink" Target="https://gld.legislaturacba.gob.ar/Publics/Actas.aspx?id=qIHwtN4lEms=" TargetMode="External"/><Relationship Id="rId567" Type="http://schemas.openxmlformats.org/officeDocument/2006/relationships/hyperlink" Target="https://gld.legislaturacba.gob.ar/Publics/Actas.aspx?id=R0m259BRlC8=;https://gld.legislaturacba.gob.ar/Publics/Actas.aspx?id=jBMZ0DQvBig=" TargetMode="External"/><Relationship Id="rId1197" Type="http://schemas.openxmlformats.org/officeDocument/2006/relationships/hyperlink" Target="https://gld.legislaturacba.gob.ar/Publics/Actas.aspx?id=_qVE3MFT5FY=;https://gld.legislaturacba.gob.ar/Publics/Actas.aspx?id=nAYWXRCAUCg=" TargetMode="External"/><Relationship Id="rId122" Type="http://schemas.openxmlformats.org/officeDocument/2006/relationships/hyperlink" Targe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4" Type="http://schemas.openxmlformats.org/officeDocument/2006/relationships/hyperlink" Target="https://gld.legislaturacba.gob.ar/Publics/Actas.aspx?id=3OuNdRRtCmA=" TargetMode="External"/><Relationship Id="rId981" Type="http://schemas.openxmlformats.org/officeDocument/2006/relationships/hyperlink" Target="https://gld.legislaturacba.gob.ar/Publics/Actas.aspx?id=bVs_bFTQoo8=;https://gld.legislaturacba.gob.ar/Publics/Actas.aspx?id=5vGFBcAqr-w=" TargetMode="External"/><Relationship Id="rId1057" Type="http://schemas.openxmlformats.org/officeDocument/2006/relationships/hyperlink" Target="https://gld.legislaturacba.gob.ar/Publics/Actas.aspx?id=LB08U3Zc8Js=;https://gld.legislaturacba.gob.ar/Publics/Actas.aspx?id=DhVyg8WhYOo=" TargetMode="External"/><Relationship Id="rId2010" Type="http://schemas.openxmlformats.org/officeDocument/2006/relationships/hyperlink" Target="https://www.youtube.com/watch?v=KxBx6Ls0HoQ" TargetMode="External"/><Relationship Id="rId427" Type="http://schemas.openxmlformats.org/officeDocument/2006/relationships/hyperlink" Targe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4" Type="http://schemas.openxmlformats.org/officeDocument/2006/relationships/hyperlink" Target="https://www.youtube.com/watch?v=GNyTHaTOV6A" TargetMode="External"/><Relationship Id="rId841" Type="http://schemas.openxmlformats.org/officeDocument/2006/relationships/hyperlink" Target="https://www.youtube.com/watch?v=XiOYPZA_jxg" TargetMode="External"/><Relationship Id="rId1264" Type="http://schemas.openxmlformats.org/officeDocument/2006/relationships/hyperlink" Target="https://gld.legislaturacba.gob.ar/Publics/Actas.aspx?id=BIBxLCUpBZc=;https://gld.legislaturacba.gob.ar/Publics/Actas.aspx?id=grKb3dmAvTc=;https://gld.legislaturacba.gob.ar/Publics/Actas.aspx?id=9B468fgT5rY=;https://gld.legislaturacba.gob.ar/Publics/Actas.aspx?id=wpsGQhvxgBs=" TargetMode="External"/><Relationship Id="rId1471" Type="http://schemas.openxmlformats.org/officeDocument/2006/relationships/hyperlink" Target="https://www.youtube.com/watch?v=r5KlRlb-39k" TargetMode="External"/><Relationship Id="rId1569" Type="http://schemas.openxmlformats.org/officeDocument/2006/relationships/hyperlink" Target="https://gld.legislaturacba.gob.ar/Publics/Actas.aspx?id=Htz3QPkDNVg=" TargetMode="External"/><Relationship Id="rId2108" Type="http://schemas.openxmlformats.org/officeDocument/2006/relationships/hyperlink" Target="https://www.youtube.com/watch?v=rnmKGBS1A7Y" TargetMode="External"/><Relationship Id="rId701" Type="http://schemas.openxmlformats.org/officeDocument/2006/relationships/hyperlink" Target="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 TargetMode="External"/><Relationship Id="rId939" Type="http://schemas.openxmlformats.org/officeDocument/2006/relationships/hyperlink" Targe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24" Type="http://schemas.openxmlformats.org/officeDocument/2006/relationships/hyperlink" Target="https://www.youtube.com/watch?v=BYgY-SHLeeI" TargetMode="External"/><Relationship Id="rId1331" Type="http://schemas.openxmlformats.org/officeDocument/2006/relationships/hyperlink" Target="https://www.youtube.com/watch?v=CSO6Q3-O8Jo" TargetMode="External"/><Relationship Id="rId1776" Type="http://schemas.openxmlformats.org/officeDocument/2006/relationships/hyperlink" Target="https://gld.legislaturacba.gob.ar/Publics/Actas.aspx?id=Z8gTtPMo0ms=" TargetMode="External"/><Relationship Id="rId1983" Type="http://schemas.openxmlformats.org/officeDocument/2006/relationships/hyperlink" Target="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68" Type="http://schemas.openxmlformats.org/officeDocument/2006/relationships/hyperlink" Target="https://gld.legislaturacba.gob.ar/Publics/Actas.aspx?id=pH2vAN9G27Q=" TargetMode="External"/><Relationship Id="rId1429" Type="http://schemas.openxmlformats.org/officeDocument/2006/relationships/hyperlink" Target="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6" Type="http://schemas.openxmlformats.org/officeDocument/2006/relationships/hyperlink" Target="https://www.youtube.com/watch?v=IyJ6SrOKckI" TargetMode="External"/><Relationship Id="rId1843" Type="http://schemas.openxmlformats.org/officeDocument/2006/relationships/hyperlink" Target="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03" Type="http://schemas.openxmlformats.org/officeDocument/2006/relationships/hyperlink" Target="https://gld.legislaturacba.gob.ar/Publics/Actas.aspx?id=4I2A3AGxQk0=;https://gld.legislaturacba.gob.ar/Publics/Actas.aspx?id=1sI1d-Xo0TE=" TargetMode="External"/><Relationship Id="rId1910" Type="http://schemas.openxmlformats.org/officeDocument/2006/relationships/hyperlink" Target="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84" Type="http://schemas.openxmlformats.org/officeDocument/2006/relationships/hyperlink" Targe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1" Type="http://schemas.openxmlformats.org/officeDocument/2006/relationships/hyperlink" Target="https://gld.legislaturacba.gob.ar/Publics/Actas.aspx?id=z-3fZDwzcAY=;https://gld.legislaturacba.gob.ar/Publics/Actas.aspx?id=IgBGmRUABcU=;https://gld.legislaturacba.gob.ar/Publics/Actas.aspx?id=r6Cjd9pDJmo=" TargetMode="External"/><Relationship Id="rId144" Type="http://schemas.openxmlformats.org/officeDocument/2006/relationships/hyperlink" Targe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9" Type="http://schemas.openxmlformats.org/officeDocument/2006/relationships/hyperlink" Target="https://www.youtube.com/watch?v=VHDkL1nURbw" TargetMode="External"/><Relationship Id="rId796" Type="http://schemas.openxmlformats.org/officeDocument/2006/relationships/hyperlink" Target="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351" Type="http://schemas.openxmlformats.org/officeDocument/2006/relationships/hyperlink" Targe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9" Type="http://schemas.openxmlformats.org/officeDocument/2006/relationships/hyperlink" Target="https://gld.legislaturacba.gob.ar/Publics/Actas.aspx?id=Wfqogqz1C6E=;https://gld.legislaturacba.gob.ar/Publics/Actas.aspx?id=q_QhUUanP8A=" TargetMode="External"/><Relationship Id="rId656" Type="http://schemas.openxmlformats.org/officeDocument/2006/relationships/hyperlink" Target="https://www.youtube.com/watch?v=Omfec_-J5cg" TargetMode="External"/><Relationship Id="rId863" Type="http://schemas.openxmlformats.org/officeDocument/2006/relationships/hyperlink" Target="https://gld.legislaturacba.gob.ar/Publics/Actas.aspx?id=rX_ETWh42s8=" TargetMode="External"/><Relationship Id="rId1079" Type="http://schemas.openxmlformats.org/officeDocument/2006/relationships/hyperlink" Target="https://gld.legislaturacba.gob.ar/Publics/Actas.aspx?id=UlEsmzKr8Cg=" TargetMode="External"/><Relationship Id="rId1286" Type="http://schemas.openxmlformats.org/officeDocument/2006/relationships/hyperlink" Targe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3" Type="http://schemas.openxmlformats.org/officeDocument/2006/relationships/hyperlink" Target="https://gld.legislaturacba.gob.ar/Publics/Actas.aspx?id=kjw-B0MuMR0=" TargetMode="External"/><Relationship Id="rId2032" Type="http://schemas.openxmlformats.org/officeDocument/2006/relationships/hyperlink" Target="https://www.youtube.com/watch?v=khhrY2rrHiQ" TargetMode="External"/><Relationship Id="rId211" Type="http://schemas.openxmlformats.org/officeDocument/2006/relationships/hyperlink" Targe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9" Type="http://schemas.openxmlformats.org/officeDocument/2006/relationships/hyperlink" Target="https://gld.legislaturacba.gob.ar/Publics/Actas.aspx?id=oA3G08hpoKk=" TargetMode="External"/><Relationship Id="rId516" Type="http://schemas.openxmlformats.org/officeDocument/2006/relationships/hyperlink" Target="https://gld.legislaturacba.gob.ar/Publics/Actas.aspx?id=-FZhkLPkHP0=" TargetMode="External"/><Relationship Id="rId1146" Type="http://schemas.openxmlformats.org/officeDocument/2006/relationships/hyperlink" Target="https://gld.legislaturacba.gob.ar/Publics/Actas.aspx?id=zZBme7WlZdU=" TargetMode="External"/><Relationship Id="rId1798" Type="http://schemas.openxmlformats.org/officeDocument/2006/relationships/hyperlink" Target="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723" Type="http://schemas.openxmlformats.org/officeDocument/2006/relationships/hyperlink" Targe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0" Type="http://schemas.openxmlformats.org/officeDocument/2006/relationships/hyperlink" Targe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06" Type="http://schemas.openxmlformats.org/officeDocument/2006/relationships/hyperlink" Targe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53" Type="http://schemas.openxmlformats.org/officeDocument/2006/relationships/hyperlink" Target="https://gld.legislaturacba.gob.ar/Publics/Actas.aspx?id=EFF1kz-82zU=" TargetMode="External"/><Relationship Id="rId1560" Type="http://schemas.openxmlformats.org/officeDocument/2006/relationships/hyperlink" Target="https://gld.legislaturacba.gob.ar/Publics/Actas.aspx?id=yC9GKcAmHw8=;https://gld.legislaturacba.gob.ar/Publics/Actas.aspx?id=94am0qxI6do=" TargetMode="External"/><Relationship Id="rId1658" Type="http://schemas.openxmlformats.org/officeDocument/2006/relationships/hyperlink" Target="https://gld.legislaturacba.gob.ar/Publics/Actas.aspx?id=NilBp1bstm8=" TargetMode="External"/><Relationship Id="rId1865" Type="http://schemas.openxmlformats.org/officeDocument/2006/relationships/hyperlink" Target="https://www.youtube.com/watch?v=2gLsouC5en8" TargetMode="External"/><Relationship Id="rId1213" Type="http://schemas.openxmlformats.org/officeDocument/2006/relationships/hyperlink" Targe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420" Type="http://schemas.openxmlformats.org/officeDocument/2006/relationships/hyperlink" Target="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18" Type="http://schemas.openxmlformats.org/officeDocument/2006/relationships/hyperlink" Target="https://gld.legislaturacba.gob.ar/Publics/Actas.aspx?id=lWPP-rGLoEo=;https://gld.legislaturacba.gob.ar/Publics/Actas.aspx?id=nAncaHwUvLU=" TargetMode="External"/><Relationship Id="rId1725" Type="http://schemas.openxmlformats.org/officeDocument/2006/relationships/hyperlink" Target="https://www.youtube.com/watch?v=2-mU6HTUtU0" TargetMode="External"/><Relationship Id="rId1932" Type="http://schemas.openxmlformats.org/officeDocument/2006/relationships/hyperlink" Target="https://gld.legislaturacba.gob.ar/Publics/Actas.aspx?id=2r17P9AK8X4=" TargetMode="External"/><Relationship Id="rId17" Type="http://schemas.openxmlformats.org/officeDocument/2006/relationships/hyperlink" Target="https://gld.legislaturacba.gob.ar/Publics/Actas.aspx?id=gnSVSGHX6rc=" TargetMode="External"/><Relationship Id="rId166" Type="http://schemas.openxmlformats.org/officeDocument/2006/relationships/hyperlink" Target="https://www.youtube.com/watch?v=hNgiqMOTMf8" TargetMode="External"/><Relationship Id="rId373" Type="http://schemas.openxmlformats.org/officeDocument/2006/relationships/hyperlink" Targe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0" Type="http://schemas.openxmlformats.org/officeDocument/2006/relationships/hyperlink" Targe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54" Type="http://schemas.openxmlformats.org/officeDocument/2006/relationships/hyperlink" Target="https://gld.legislaturacba.gob.ar/Publics/Actas.aspx?id=7qijYLHbHtk=;NA;https://gld.legislaturacba.gob.ar/Publics/Actas.aspx?id=LXI1h9zoY44=" TargetMode="External"/><Relationship Id="rId1" Type="http://schemas.openxmlformats.org/officeDocument/2006/relationships/hyperlink" Target="https://gld.legislaturacba.gob.ar/Publics/Actas.aspx?id=Uj-TJ3BIYig=" TargetMode="External"/><Relationship Id="rId233" Type="http://schemas.openxmlformats.org/officeDocument/2006/relationships/hyperlink" Target="https://gld.legislaturacba.gob.ar/Publics/Actas.aspx?id=n-5lZUoGHLU=;https://gld.legislaturacba.gob.ar/Publics/Actas.aspx?id=QHBmzgtMdl0=;https://gld.legislaturacba.gob.ar/Publics/Actas.aspx?id=kiP__nP_xt8=" TargetMode="External"/><Relationship Id="rId440" Type="http://schemas.openxmlformats.org/officeDocument/2006/relationships/hyperlink" Target="https://www.youtube.com/watch?v=R9Lr-nhT9WU" TargetMode="External"/><Relationship Id="rId678" Type="http://schemas.openxmlformats.org/officeDocument/2006/relationships/hyperlink" Targe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5" Type="http://schemas.openxmlformats.org/officeDocument/2006/relationships/hyperlink" Targe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70" Type="http://schemas.openxmlformats.org/officeDocument/2006/relationships/hyperlink" Target="https://gld.legislaturacba.gob.ar/Publics/Actas.aspx?id=Lk6ehE3VoFk=;https://gld.legislaturacba.gob.ar/Publics/Actas.aspx?id=XhUcA_ei_fk=" TargetMode="External"/><Relationship Id="rId2121" Type="http://schemas.openxmlformats.org/officeDocument/2006/relationships/hyperlink" Target="https://gld.legislaturacba.gob.ar/Publics/Actas.aspx?id=XrjdqrDNRLk=" TargetMode="External"/><Relationship Id="rId300" Type="http://schemas.openxmlformats.org/officeDocument/2006/relationships/hyperlink" Targe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8" Type="http://schemas.openxmlformats.org/officeDocument/2006/relationships/hyperlink" Targe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5" Type="http://schemas.openxmlformats.org/officeDocument/2006/relationships/hyperlink" Targe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2" Type="http://schemas.openxmlformats.org/officeDocument/2006/relationships/hyperlink" Target="https://gld.legislaturacba.gob.ar/Publics/Actas.aspx?id=UovuVJZ6SAg=" TargetMode="External"/><Relationship Id="rId1168" Type="http://schemas.openxmlformats.org/officeDocument/2006/relationships/hyperlink" Targe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75" Type="http://schemas.openxmlformats.org/officeDocument/2006/relationships/hyperlink" Target="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82" Type="http://schemas.openxmlformats.org/officeDocument/2006/relationships/hyperlink" Targe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TargetMode="External"/><Relationship Id="rId81" Type="http://schemas.openxmlformats.org/officeDocument/2006/relationships/hyperlink" Targe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05" Type="http://schemas.openxmlformats.org/officeDocument/2006/relationships/hyperlink" Target="https://gld.legislaturacba.gob.ar/Publics/Actas.aspx?id=GJ1gd6M1VV8=" TargetMode="External"/><Relationship Id="rId812" Type="http://schemas.openxmlformats.org/officeDocument/2006/relationships/hyperlink" Target="https://www.youtube.com/watch?v=JbPNr7M-dcU" TargetMode="External"/><Relationship Id="rId1028" Type="http://schemas.openxmlformats.org/officeDocument/2006/relationships/hyperlink" Targe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35" Type="http://schemas.openxmlformats.org/officeDocument/2006/relationships/hyperlink" Target="https://www.youtube.com/watch?v=MEtwqeoPP_o&amp;t" TargetMode="External"/><Relationship Id="rId1442" Type="http://schemas.openxmlformats.org/officeDocument/2006/relationships/hyperlink" Target="https://www.youtube.com/watch?v=DeilSavCTyU" TargetMode="External"/><Relationship Id="rId1887" Type="http://schemas.openxmlformats.org/officeDocument/2006/relationships/hyperlink" Target="https://gld.legislaturacba.gob.ar/Publics/Actas.aspx?id=jvFNcpyEgxU=" TargetMode="External"/><Relationship Id="rId1302" Type="http://schemas.openxmlformats.org/officeDocument/2006/relationships/hyperlink" Target="https://www.youtube.com/watch?v=k9GjhlB2x3c" TargetMode="External"/><Relationship Id="rId1747" Type="http://schemas.openxmlformats.org/officeDocument/2006/relationships/hyperlink" Target="https://www.youtube.com/watch?v=9ddfgBNtvag" TargetMode="External"/><Relationship Id="rId1954" Type="http://schemas.openxmlformats.org/officeDocument/2006/relationships/hyperlink" Target="https://www.youtube.com/watch?v=22izjlbs6Dc" TargetMode="External"/><Relationship Id="rId39" Type="http://schemas.openxmlformats.org/officeDocument/2006/relationships/hyperlink" Target="https://www.youtube.com/watch?v=vvIHzsKlQ08" TargetMode="External"/><Relationship Id="rId1607" Type="http://schemas.openxmlformats.org/officeDocument/2006/relationships/hyperlink" Target="https://gld.legislaturacba.gob.ar/Publics/Actas.aspx?id=NN_5F32Bd0Y=" TargetMode="External"/><Relationship Id="rId1814" Type="http://schemas.openxmlformats.org/officeDocument/2006/relationships/hyperlink" Target="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88" Type="http://schemas.openxmlformats.org/officeDocument/2006/relationships/hyperlink" Target="https://www.youtube.com/watch?v=7kq6Wp9RyQ0" TargetMode="External"/><Relationship Id="rId395" Type="http://schemas.openxmlformats.org/officeDocument/2006/relationships/hyperlink" Target="https://gld.legislaturacba.gob.ar/Publics/Actas.aspx?id=uKUrfvT-mcE=" TargetMode="External"/><Relationship Id="rId2076" Type="http://schemas.openxmlformats.org/officeDocument/2006/relationships/hyperlink" Target="https://gld.legislaturacba.gob.ar/Publics/Actas.aspx?id=EUoaNV2S6XA=;https://gld.legislaturacba.gob.ar/Publics/Actas.aspx?id=IrjW9v0gpp8=" TargetMode="External"/><Relationship Id="rId255" Type="http://schemas.openxmlformats.org/officeDocument/2006/relationships/hyperlink" Target="https://www.youtube.com/watch?v=5KjpBCxpYgY" TargetMode="External"/><Relationship Id="rId462" Type="http://schemas.openxmlformats.org/officeDocument/2006/relationships/hyperlink" Target="https://gld.legislaturacba.gob.ar/Publics/Actas.aspx?id=8UA5pm_pIIk=;https://gld.legislaturacba.gob.ar/Publics/Actas.aspx?id=1K9FRmig12U=;https://gld.legislaturacba.gob.ar/Publics/Actas.aspx?id=-m5eS-gqc6k=" TargetMode="External"/><Relationship Id="rId1092" Type="http://schemas.openxmlformats.org/officeDocument/2006/relationships/hyperlink" Target="https://www.youtube.com/watch?v=D_PWBaL7GNg" TargetMode="External"/><Relationship Id="rId1397" Type="http://schemas.openxmlformats.org/officeDocument/2006/relationships/hyperlink" Target="https://www.youtube.com/watch?v=gmBo4Qz2raE" TargetMode="External"/><Relationship Id="rId115" Type="http://schemas.openxmlformats.org/officeDocument/2006/relationships/hyperlink" Target="https://www.youtube.com/watch?v=ZOlUUKojTGA" TargetMode="External"/><Relationship Id="rId322" Type="http://schemas.openxmlformats.org/officeDocument/2006/relationships/hyperlink" Targe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67" Type="http://schemas.openxmlformats.org/officeDocument/2006/relationships/hyperlink" Target="https://www.youtube.com/watch?v=73OvmaDJ6Lg" TargetMode="External"/><Relationship Id="rId974" Type="http://schemas.openxmlformats.org/officeDocument/2006/relationships/hyperlink" Target="https://www.youtube.com/watch?v=X4Y2wDLbgN8" TargetMode="External"/><Relationship Id="rId2003" Type="http://schemas.openxmlformats.org/officeDocument/2006/relationships/hyperlink" Target="https://www.youtube.com/watch?v=Wny_UzQbXIk" TargetMode="External"/><Relationship Id="rId627" Type="http://schemas.openxmlformats.org/officeDocument/2006/relationships/hyperlink" Targe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4" Type="http://schemas.openxmlformats.org/officeDocument/2006/relationships/hyperlink" Targe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57" Type="http://schemas.openxmlformats.org/officeDocument/2006/relationships/hyperlink" Target="https://gld.legislaturacba.gob.ar/Publics/Actas.aspx?id=WfSgx49K3is=" TargetMode="External"/><Relationship Id="rId1464" Type="http://schemas.openxmlformats.org/officeDocument/2006/relationships/hyperlink" Target="https://gld.legislaturacba.gob.ar/Publics/Actas.aspx?id=wBRZF0SMmeg=" TargetMode="External"/><Relationship Id="rId1671" Type="http://schemas.openxmlformats.org/officeDocument/2006/relationships/hyperlink" Target="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01" Type="http://schemas.openxmlformats.org/officeDocument/2006/relationships/hyperlink" Target="https://www.youtube.com/watch?v=gtl64Qui3P8" TargetMode="External"/><Relationship Id="rId1117" Type="http://schemas.openxmlformats.org/officeDocument/2006/relationships/hyperlink" Targe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24" Type="http://schemas.openxmlformats.org/officeDocument/2006/relationships/hyperlink" Targe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1" Type="http://schemas.openxmlformats.org/officeDocument/2006/relationships/hyperlink" Target="https://gld.legislaturacba.gob.ar/Publics/Actas.aspx?id=pa03kRWkDww=;https://gld.legislaturacba.gob.ar/Publics/Actas.aspx?id=di-cL01QC2g=" TargetMode="External"/><Relationship Id="rId1769" Type="http://schemas.openxmlformats.org/officeDocument/2006/relationships/hyperlink" Target="https://www.youtube.com/watch?v=9AuJGxQ22hA" TargetMode="External"/><Relationship Id="rId1976" Type="http://schemas.openxmlformats.org/officeDocument/2006/relationships/hyperlink" Target="https://gld.legislaturacba.gob.ar/Publics/Actas.aspx?id=vZ07Tij7Eco=;NA;https://gld.legislaturacba.gob.ar/Publics/Actas.aspx?id=0xFk-ftoloo=" TargetMode="External"/><Relationship Id="rId30" Type="http://schemas.openxmlformats.org/officeDocument/2006/relationships/hyperlink" Target="https://gld.legislaturacba.gob.ar/Publics/Actas.aspx?id=wyLPBNCCMac=" TargetMode="External"/><Relationship Id="rId1629" Type="http://schemas.openxmlformats.org/officeDocument/2006/relationships/hyperlink" Targe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TargetMode="External"/><Relationship Id="rId1836" Type="http://schemas.openxmlformats.org/officeDocument/2006/relationships/hyperlink" Target="https://gld.legislaturacba.gob.ar/Publics/Actas.aspx?id=YJ_CB0jMcr8=" TargetMode="External"/><Relationship Id="rId1903" Type="http://schemas.openxmlformats.org/officeDocument/2006/relationships/hyperlink" Target="https://gld.legislaturacba.gob.ar/Publics/Actas.aspx?id=cM-W_H8ab34=" TargetMode="External"/><Relationship Id="rId2098" Type="http://schemas.openxmlformats.org/officeDocument/2006/relationships/hyperlink" Target="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77" Type="http://schemas.openxmlformats.org/officeDocument/2006/relationships/hyperlink" Target="https://www.youtube.com/watch?v=eA5paX3p0PQ" TargetMode="External"/><Relationship Id="rId484" Type="http://schemas.openxmlformats.org/officeDocument/2006/relationships/hyperlink" Target="https://www.youtube.com/watch?v=U6T2PHcXPRM" TargetMode="External"/><Relationship Id="rId137" Type="http://schemas.openxmlformats.org/officeDocument/2006/relationships/hyperlink" Target="https://gld.legislaturacba.gob.ar/Publics/Actas.aspx?id=LKjvg0y0y6M=" TargetMode="External"/><Relationship Id="rId344" Type="http://schemas.openxmlformats.org/officeDocument/2006/relationships/hyperlink" Target="https://gld.legislaturacba.gob.ar/Publics/Actas.aspx?id=AwLStwGZO3k=;https://gld.legislaturacba.gob.ar/Publics/Actas.aspx?id=EpbEay1TisY=" TargetMode="External"/><Relationship Id="rId691" Type="http://schemas.openxmlformats.org/officeDocument/2006/relationships/hyperlink" Target="https://www.youtube.com/watch?v=BwCJo5wrvuY" TargetMode="External"/><Relationship Id="rId789" Type="http://schemas.openxmlformats.org/officeDocument/2006/relationships/hyperlink" Target="https://gld.legislaturacba.gob.ar/Publics/Actas.aspx?id=IyedTUE4Yno=;https://gld.legislaturacba.gob.ar/Publics/Actas.aspx?id=IwLE68Bogg0=;https://gld.legislaturacba.gob.ar/Publics/Actas.aspx?id=EJ-Lzph5u0c=" TargetMode="External"/><Relationship Id="rId996" Type="http://schemas.openxmlformats.org/officeDocument/2006/relationships/hyperlink" Targe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025" Type="http://schemas.openxmlformats.org/officeDocument/2006/relationships/hyperlink" Target="https://gld.legislaturacba.gob.ar/Publics/Actas.aspx?id=zU6RcUBrNjQ=;https://gld.legislaturacba.gob.ar/Publics/Actas.aspx?id=i9PE2gnwrNY=" TargetMode="External"/><Relationship Id="rId551" Type="http://schemas.openxmlformats.org/officeDocument/2006/relationships/hyperlink" Target="https://www.youtube.com/watch?v=iGIZmmwUowg" TargetMode="External"/><Relationship Id="rId649" Type="http://schemas.openxmlformats.org/officeDocument/2006/relationships/hyperlink" Targe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56" Type="http://schemas.openxmlformats.org/officeDocument/2006/relationships/hyperlink" Target="https://www.youtube.com/watch?v=78hWTluA1AM" TargetMode="External"/><Relationship Id="rId1181" Type="http://schemas.openxmlformats.org/officeDocument/2006/relationships/hyperlink" Target="https://gld.legislaturacba.gob.ar/Publics/Actas.aspx?id=9ncwsZP5yvs=" TargetMode="External"/><Relationship Id="rId1279" Type="http://schemas.openxmlformats.org/officeDocument/2006/relationships/hyperlink" Target="https://gld.legislaturacba.gob.ar/Publics/Actas.aspx?id=TdSGCPqaXWc=;https://gld.legislaturacba.gob.ar/Publics/Actas.aspx?id=mFPpfsbTBhI=" TargetMode="External"/><Relationship Id="rId1486" Type="http://schemas.openxmlformats.org/officeDocument/2006/relationships/hyperlink" Target="https://www.youtube.com/watch?v=xOCeLVUSkLE" TargetMode="External"/><Relationship Id="rId204" Type="http://schemas.openxmlformats.org/officeDocument/2006/relationships/hyperlink" Target="https://www.youtube.com/watch?v=aSMNB5NBqeg" TargetMode="External"/><Relationship Id="rId411" Type="http://schemas.openxmlformats.org/officeDocument/2006/relationships/hyperlink" Targe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9" Type="http://schemas.openxmlformats.org/officeDocument/2006/relationships/hyperlink" Target="https://gld.legislaturacba.gob.ar/Publics/Actas.aspx?id=gLWDIGn5A8Y=" TargetMode="External"/><Relationship Id="rId1041" Type="http://schemas.openxmlformats.org/officeDocument/2006/relationships/hyperlink" Target="https://www.youtube.com/watch?v=ozAd0n8VzFo" TargetMode="External"/><Relationship Id="rId1139" Type="http://schemas.openxmlformats.org/officeDocument/2006/relationships/hyperlink" Targe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6" Type="http://schemas.openxmlformats.org/officeDocument/2006/relationships/hyperlink" Target="https://www.youtube.com/watch?v=9yHkvDFO8aU" TargetMode="External"/><Relationship Id="rId1693" Type="http://schemas.openxmlformats.org/officeDocument/2006/relationships/hyperlink" Target="https://www.youtube.com/watch?v=BCbaBFNxRDQ" TargetMode="External"/><Relationship Id="rId1998" Type="http://schemas.openxmlformats.org/officeDocument/2006/relationships/hyperlink" Target="https://gld.legislaturacba.gob.ar/Publics/Actas.aspx?id=W0WrHTEhpkg=" TargetMode="External"/><Relationship Id="rId716" Type="http://schemas.openxmlformats.org/officeDocument/2006/relationships/hyperlink" Target="https://gld.legislaturacba.gob.ar/Publics/Actas.aspx?id=jNkbQk0OnjU=" TargetMode="External"/><Relationship Id="rId923" Type="http://schemas.openxmlformats.org/officeDocument/2006/relationships/hyperlink" Target="https://gld.legislaturacba.gob.ar/Publics/Actas.aspx?id=gxMMc59fZAw=" TargetMode="External"/><Relationship Id="rId1553" Type="http://schemas.openxmlformats.org/officeDocument/2006/relationships/hyperlink" Target="https://www.youtube.com/watch?v=WR84Vu1SRqQ" TargetMode="External"/><Relationship Id="rId1760" Type="http://schemas.openxmlformats.org/officeDocument/2006/relationships/hyperlink" Target="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58" Type="http://schemas.openxmlformats.org/officeDocument/2006/relationships/hyperlink" Target="https://gld.legislaturacba.gob.ar/Publics/Actas.aspx?id=dZgwDOdpTcc=" TargetMode="External"/><Relationship Id="rId52" Type="http://schemas.openxmlformats.org/officeDocument/2006/relationships/hyperlink" Target="https://gld.legislaturacba.gob.ar/Publics/Actas.aspx?id=FSbC1P5ngP8=" TargetMode="External"/><Relationship Id="rId1206" Type="http://schemas.openxmlformats.org/officeDocument/2006/relationships/hyperlink" Target="https://gld.legislaturacba.gob.ar/Publics/Actas.aspx?id=4rusrMMFvdA=" TargetMode="External"/><Relationship Id="rId1413" Type="http://schemas.openxmlformats.org/officeDocument/2006/relationships/hyperlink" Target="https://gld.legislaturacba.gob.ar/Publics/Actas.aspx?id=VOiB0FvDC8s=" TargetMode="External"/><Relationship Id="rId1620" Type="http://schemas.openxmlformats.org/officeDocument/2006/relationships/hyperlink" Target="https://www.youtube.com/watch?v=R1fmpmqei1o" TargetMode="External"/><Relationship Id="rId1718" Type="http://schemas.openxmlformats.org/officeDocument/2006/relationships/hyperlink" Target="https://gld.legislaturacba.gob.ar/Publics/Actas.aspx?id=h1at5mCX-YI=" TargetMode="External"/><Relationship Id="rId1925" Type="http://schemas.openxmlformats.org/officeDocument/2006/relationships/hyperlink" Target="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99" Type="http://schemas.openxmlformats.org/officeDocument/2006/relationships/hyperlink" Target="https://gld.legislaturacba.gob.ar/Publics/Actas.aspx?id=zPH447Z1zK0=;https://gld.legislaturacba.gob.ar/Publics/Actas.aspx?id=aAM_or9jrJI=" TargetMode="External"/><Relationship Id="rId159" Type="http://schemas.openxmlformats.org/officeDocument/2006/relationships/hyperlink" Targe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6" Type="http://schemas.openxmlformats.org/officeDocument/2006/relationships/hyperlink" Targe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3" Type="http://schemas.openxmlformats.org/officeDocument/2006/relationships/hyperlink" Targe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0" Type="http://schemas.openxmlformats.org/officeDocument/2006/relationships/hyperlink" Target="https://gld.legislaturacba.gob.ar/Publics/Actas.aspx?id=CDbr19bMfgo=" TargetMode="External"/><Relationship Id="rId2047" Type="http://schemas.openxmlformats.org/officeDocument/2006/relationships/hyperlink" Target="https://www.youtube.com/watch?v=Fz_DxWVNEm0" TargetMode="External"/><Relationship Id="rId226" Type="http://schemas.openxmlformats.org/officeDocument/2006/relationships/hyperlink" Target="https://www.youtube.com/watch?v=g35kzRP_XjU" TargetMode="External"/><Relationship Id="rId433" Type="http://schemas.openxmlformats.org/officeDocument/2006/relationships/hyperlink" Targe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78" Type="http://schemas.openxmlformats.org/officeDocument/2006/relationships/hyperlink" Target="https://gld.legislaturacba.gob.ar/Publics/Actas.aspx?id=DmUn-kxaOX0=" TargetMode="External"/><Relationship Id="rId1063" Type="http://schemas.openxmlformats.org/officeDocument/2006/relationships/hyperlink" Target="https://www.youtube.com/watch?v=VEwNO-aG6F8" TargetMode="External"/><Relationship Id="rId1270" Type="http://schemas.openxmlformats.org/officeDocument/2006/relationships/hyperlink" Target="https://gld.legislaturacba.gob.ar/Publics/Actas.aspx?id=7pamQKt0-nw=" TargetMode="External"/><Relationship Id="rId2114" Type="http://schemas.openxmlformats.org/officeDocument/2006/relationships/hyperlink" Target="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640" Type="http://schemas.openxmlformats.org/officeDocument/2006/relationships/hyperlink" Target="https://www.youtube.com/watch?v=Mo_k2uBGWsc" TargetMode="External"/><Relationship Id="rId738" Type="http://schemas.openxmlformats.org/officeDocument/2006/relationships/hyperlink" Target="https://gld.legislaturacba.gob.ar/Publics/Actas.aspx?id=AthTG15LnPI=;https://gld.legislaturacba.gob.ar/Publics/Actas.aspx?id=OuWMPBnLWDY=" TargetMode="External"/><Relationship Id="rId945" Type="http://schemas.openxmlformats.org/officeDocument/2006/relationships/hyperlink" Target="https://www.youtube.com/watch?v=j7_QtOYvyo8" TargetMode="External"/><Relationship Id="rId1368" Type="http://schemas.openxmlformats.org/officeDocument/2006/relationships/hyperlink" Target="https://gld.legislaturacba.gob.ar/Publics/Actas.aspx?id=DGho2Zhi_Dg=" TargetMode="External"/><Relationship Id="rId1575" Type="http://schemas.openxmlformats.org/officeDocument/2006/relationships/hyperlink" Target="https://gld.legislaturacba.gob.ar/Publics/Actas.aspx?id=v15rWg-y8n8=" TargetMode="External"/><Relationship Id="rId1782" Type="http://schemas.openxmlformats.org/officeDocument/2006/relationships/hyperlink" Target="https://gld.legislaturacba.gob.ar/Publics/Actas.aspx?id=r_oY0tkZt7A=;https://gld.legislaturacba.gob.ar/Publics/Actas.aspx?id=B6bcDLYqq0Q=" TargetMode="External"/><Relationship Id="rId74" Type="http://schemas.openxmlformats.org/officeDocument/2006/relationships/hyperlink" Target="https://gld.legislaturacba.gob.ar/Publics/Actas.aspx?id=9drLIh305UY=" TargetMode="External"/><Relationship Id="rId500" Type="http://schemas.openxmlformats.org/officeDocument/2006/relationships/hyperlink" Target="https://gld.legislaturacba.gob.ar/Publics/Actas.aspx?id=u0489YzJ6b8=;https://gld.legislaturacba.gob.ar/Publics/Actas.aspx?id=NCP-AmqnWt0=;https://gld.legislaturacba.gob.ar/Publics/Actas.aspx?id=-MXc17ILd1s=" TargetMode="External"/><Relationship Id="rId805" Type="http://schemas.openxmlformats.org/officeDocument/2006/relationships/hyperlink" Targe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0" Type="http://schemas.openxmlformats.org/officeDocument/2006/relationships/hyperlink" Target="https://www.youtube.com/watch?v=Q5LpyVmaI0k" TargetMode="External"/><Relationship Id="rId1228" Type="http://schemas.openxmlformats.org/officeDocument/2006/relationships/hyperlink" Target="https://gld.legislaturacba.gob.ar/Publics/Actas.aspx?id=sXdP8DKjN9U=" TargetMode="External"/><Relationship Id="rId1435" Type="http://schemas.openxmlformats.org/officeDocument/2006/relationships/hyperlink" Target="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42" Type="http://schemas.openxmlformats.org/officeDocument/2006/relationships/hyperlink" Target="https://www.youtube.com/watch?v=EqnI_CcUMRc" TargetMode="External"/><Relationship Id="rId1947" Type="http://schemas.openxmlformats.org/officeDocument/2006/relationships/hyperlink" Target="https://gld.legislaturacba.gob.ar/Publics/Actas.aspx?id=pUjg1CubuL0=" TargetMode="External"/><Relationship Id="rId1502" Type="http://schemas.openxmlformats.org/officeDocument/2006/relationships/hyperlink" Target="https://www.youtube.com/watch?v=Azb8I0LSAeQ" TargetMode="External"/><Relationship Id="rId1807" Type="http://schemas.openxmlformats.org/officeDocument/2006/relationships/hyperlink" Target="https://gld.legislaturacba.gob.ar/Publics/Actas.aspx?id=BYe-zBLD-cE=" TargetMode="External"/><Relationship Id="rId290" Type="http://schemas.openxmlformats.org/officeDocument/2006/relationships/hyperlink" Target="https://www.youtube.com/watch?v=7Vn9mBijDiA" TargetMode="External"/><Relationship Id="rId388" Type="http://schemas.openxmlformats.org/officeDocument/2006/relationships/hyperlink" Target="https://gld.legislaturacba.gob.ar/Publics/Actas.aspx?id=ttd2VGyy4iM=" TargetMode="External"/><Relationship Id="rId2069" Type="http://schemas.openxmlformats.org/officeDocument/2006/relationships/hyperlink" Target="https://www.youtube.com/watch?v=lbGhKv-szg8" TargetMode="External"/><Relationship Id="rId150" Type="http://schemas.openxmlformats.org/officeDocument/2006/relationships/hyperlink" Target="https://gld.legislaturacba.gob.ar/Publics/Actas.aspx?id=NKQdC309I2U=;https://gld.legislaturacba.gob.ar/Publics/Actas.aspx?id=TejQhDHK_6o=" TargetMode="External"/><Relationship Id="rId595" Type="http://schemas.openxmlformats.org/officeDocument/2006/relationships/hyperlink" Target="https://www.youtube.com/watch?v=It7q9pQ-cvU" TargetMode="External"/><Relationship Id="rId248" Type="http://schemas.openxmlformats.org/officeDocument/2006/relationships/hyperlink" Targe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5" Type="http://schemas.openxmlformats.org/officeDocument/2006/relationships/hyperlink" Targe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2" Type="http://schemas.openxmlformats.org/officeDocument/2006/relationships/hyperlink" Target="https://www.youtube.com/watch?v=bphiDXt8kbk" TargetMode="External"/><Relationship Id="rId1085" Type="http://schemas.openxmlformats.org/officeDocument/2006/relationships/hyperlink" Targe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92" Type="http://schemas.openxmlformats.org/officeDocument/2006/relationships/hyperlink" Target="https://gld.legislaturacba.gob.ar/Publics/Actas.aspx?id=xe8l6umojo8=;https://gld.legislaturacba.gob.ar/Publics/Actas.aspx?id=3amSxP7naSI=" TargetMode="External"/><Relationship Id="rId108" Type="http://schemas.openxmlformats.org/officeDocument/2006/relationships/hyperlink" Target="https://www.youtube.com/watch?v=Sy-Ceyf86pc" TargetMode="External"/><Relationship Id="rId315" Type="http://schemas.openxmlformats.org/officeDocument/2006/relationships/hyperlink" Target="https://gld.legislaturacba.gob.ar/Publics/Actas.aspx?id=y4WCXLMdzDQ=" TargetMode="External"/><Relationship Id="rId522" Type="http://schemas.openxmlformats.org/officeDocument/2006/relationships/hyperlink" Targe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67" Type="http://schemas.openxmlformats.org/officeDocument/2006/relationships/hyperlink" Targe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52" Type="http://schemas.openxmlformats.org/officeDocument/2006/relationships/hyperlink" Target="https://gld.legislaturacba.gob.ar/Publics/Actas.aspx?id=u82hi8F-KdI=;https://gld.legislaturacba.gob.ar/Publics/Actas.aspx?id=ywd4ZG2u_5U=;https://gld.legislaturacba.gob.ar/Publics/Actas.aspx?id=soLZibbLvB8=" TargetMode="External"/><Relationship Id="rId1597" Type="http://schemas.openxmlformats.org/officeDocument/2006/relationships/hyperlink" Target="https://www.youtube.com/watch?v=CGQUjBt3m7I" TargetMode="External"/><Relationship Id="rId96" Type="http://schemas.openxmlformats.org/officeDocument/2006/relationships/hyperlink" Targe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7" Type="http://schemas.openxmlformats.org/officeDocument/2006/relationships/hyperlink" Target="https://gld.legislaturacba.gob.ar/Publics/Actas.aspx?id=oJxTXY-b8OE=;https://gld.legislaturacba.gob.ar/Publics/Actas.aspx?id=41nRW7RKMSI=;https://gld.legislaturacba.gob.ar/Publics/Actas.aspx?id=6IvQYaQj_jI=" TargetMode="External"/><Relationship Id="rId1012" Type="http://schemas.openxmlformats.org/officeDocument/2006/relationships/hyperlink" Targe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57" Type="http://schemas.openxmlformats.org/officeDocument/2006/relationships/hyperlink" Target="https://www.youtube.com/watch?v=Wc0ksXJqCNg" TargetMode="External"/><Relationship Id="rId1664" Type="http://schemas.openxmlformats.org/officeDocument/2006/relationships/hyperlink" Target="https://gld.legislaturacba.gob.ar/Publics/Actas.aspx?id=1bR-qGmG-cw=;https://gld.legislaturacba.gob.ar/Publics/Actas.aspx?id=S5KN3YfHvzA=" TargetMode="External"/><Relationship Id="rId1871" Type="http://schemas.openxmlformats.org/officeDocument/2006/relationships/hyperlink" Target="https://www.youtube.com/watch?v=Y8ewZxzBw6w" TargetMode="External"/><Relationship Id="rId1317" Type="http://schemas.openxmlformats.org/officeDocument/2006/relationships/hyperlink" Target="https://gld.legislaturacba.gob.ar/Publics/Actas.aspx?id=CweL-6hdPQ4=;https://gld.legislaturacba.gob.ar/Publics/Actas.aspx?id=04wN2jZHlHM=" TargetMode="External"/><Relationship Id="rId1524" Type="http://schemas.openxmlformats.org/officeDocument/2006/relationships/hyperlink" Target="https://www.youtube.com/watch?v=izqEh3Lx4jA" TargetMode="External"/><Relationship Id="rId1731" Type="http://schemas.openxmlformats.org/officeDocument/2006/relationships/hyperlink" Target="https://gld.legislaturacba.gob.ar/Publics/Actas.aspx?id=2mHZrhfaxvI=" TargetMode="External"/><Relationship Id="rId1969" Type="http://schemas.openxmlformats.org/officeDocument/2006/relationships/hyperlink" Target="https://www.youtube.com/watch?v=YxkXZ0kydyA" TargetMode="External"/><Relationship Id="rId23" Type="http://schemas.openxmlformats.org/officeDocument/2006/relationships/hyperlink" Target="https://gld.legislaturacba.gob.ar/Publics/Actas.aspx?id=j0o6ECEU6U0=" TargetMode="External"/><Relationship Id="rId1829" Type="http://schemas.openxmlformats.org/officeDocument/2006/relationships/hyperlink" Target="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2" Type="http://schemas.openxmlformats.org/officeDocument/2006/relationships/hyperlink" Target="https://gld.legislaturacba.gob.ar/Publics/Actas.aspx?id=d9DGmDMyAOU=" TargetMode="External"/><Relationship Id="rId477" Type="http://schemas.openxmlformats.org/officeDocument/2006/relationships/hyperlink" Targe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4" Type="http://schemas.openxmlformats.org/officeDocument/2006/relationships/hyperlink" Targe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060" Type="http://schemas.openxmlformats.org/officeDocument/2006/relationships/hyperlink" Target="https://gld.legislaturacba.gob.ar/Publics/Actas.aspx?id=aqoyc-_D1kw=" TargetMode="External"/><Relationship Id="rId337" Type="http://schemas.openxmlformats.org/officeDocument/2006/relationships/hyperlink" Targe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1" Type="http://schemas.openxmlformats.org/officeDocument/2006/relationships/hyperlink" Targe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89" Type="http://schemas.openxmlformats.org/officeDocument/2006/relationships/hyperlink" Target="https://gld.legislaturacba.gob.ar/Publics/Actas.aspx?id=0eCYYHpJ1XA=" TargetMode="External"/><Relationship Id="rId2018" Type="http://schemas.openxmlformats.org/officeDocument/2006/relationships/hyperlink" Target="https://gld.legislaturacba.gob.ar/Publics/Actas.aspx?id=QN7SSRE6Xt8=" TargetMode="External"/><Relationship Id="rId544" Type="http://schemas.openxmlformats.org/officeDocument/2006/relationships/hyperlink" Target="https://www.youtube.com/watch?v=8wlfcq65MiU" TargetMode="External"/><Relationship Id="rId751" Type="http://schemas.openxmlformats.org/officeDocument/2006/relationships/hyperlink" Targe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9" Type="http://schemas.openxmlformats.org/officeDocument/2006/relationships/hyperlink" Targe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4" Type="http://schemas.openxmlformats.org/officeDocument/2006/relationships/hyperlink" Targe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1" Type="http://schemas.openxmlformats.org/officeDocument/2006/relationships/hyperlink" Target="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79" Type="http://schemas.openxmlformats.org/officeDocument/2006/relationships/hyperlink" Target="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86" Type="http://schemas.openxmlformats.org/officeDocument/2006/relationships/hyperlink" Targe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04" Type="http://schemas.openxmlformats.org/officeDocument/2006/relationships/hyperlink" Targe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11" Type="http://schemas.openxmlformats.org/officeDocument/2006/relationships/hyperlink" Target="https://gld.legislaturacba.gob.ar/Publics/Actas.aspx?id=MSvQq8WIofg=" TargetMode="External"/><Relationship Id="rId1034" Type="http://schemas.openxmlformats.org/officeDocument/2006/relationships/hyperlink" Targe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41" Type="http://schemas.openxmlformats.org/officeDocument/2006/relationships/hyperlink" Target="https://www.youtube.com/watch?v=ZDK4JmkjkRM" TargetMode="External"/><Relationship Id="rId1339" Type="http://schemas.openxmlformats.org/officeDocument/2006/relationships/hyperlink" Targe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93" Type="http://schemas.openxmlformats.org/officeDocument/2006/relationships/hyperlink" Target="https://gld.legislaturacba.gob.ar/Publics/Actas.aspx?id=0MEgQYxMuA8=" TargetMode="External"/><Relationship Id="rId709" Type="http://schemas.openxmlformats.org/officeDocument/2006/relationships/hyperlink" Target="https://www.youtube.com/watch?v=3UfKKrZuRtE" TargetMode="External"/><Relationship Id="rId916" Type="http://schemas.openxmlformats.org/officeDocument/2006/relationships/hyperlink" Target="https://www.youtube.com/watch?v=nuEnyHRlhF8" TargetMode="External"/><Relationship Id="rId1101" Type="http://schemas.openxmlformats.org/officeDocument/2006/relationships/hyperlink" Target="https://www.youtube.com/watch?v=nmNeAY1zSUA" TargetMode="External"/><Relationship Id="rId1546" Type="http://schemas.openxmlformats.org/officeDocument/2006/relationships/hyperlink" Target="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3" Type="http://schemas.openxmlformats.org/officeDocument/2006/relationships/hyperlink" Target="https://www.youtube.com/watch?v=r8vcTNFJJAE" TargetMode="External"/><Relationship Id="rId1960" Type="http://schemas.openxmlformats.org/officeDocument/2006/relationships/hyperlink" Target="https://www.youtube.com/watch?v=E36n8h7c1CA" TargetMode="External"/><Relationship Id="rId45" Type="http://schemas.openxmlformats.org/officeDocument/2006/relationships/hyperlink" Target="https://www.youtube.com/watch?v=kyCmdAaT278" TargetMode="External"/><Relationship Id="rId1406" Type="http://schemas.openxmlformats.org/officeDocument/2006/relationships/hyperlink" Target="https://gld.legislaturacba.gob.ar/Publics/Actas.aspx?id=z9uDSoPEnjk=;https://gld.legislaturacba.gob.ar/Publics/Actas.aspx?id=AC0OtZ7Zjq8=;https://gld.legislaturacba.gob.ar/Publics/Actas.aspx?id=IVADnGT9Tfg=;https://gld.legislaturacba.gob.ar/Publics/Actas.aspx?id=jjhK7lufJls=" TargetMode="External"/><Relationship Id="rId1613" Type="http://schemas.openxmlformats.org/officeDocument/2006/relationships/hyperlink" Targe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TargetMode="External"/><Relationship Id="rId1820" Type="http://schemas.openxmlformats.org/officeDocument/2006/relationships/hyperlink" Target="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4" Type="http://schemas.openxmlformats.org/officeDocument/2006/relationships/hyperlink" Target="https://www.youtube.com/watch?v=2H5lDERAsVw" TargetMode="External"/><Relationship Id="rId1918" Type="http://schemas.openxmlformats.org/officeDocument/2006/relationships/hyperlink" Target="https://gld.legislaturacba.gob.ar/Publics/Actas.aspx?id=V-u35MzYZ3g=" TargetMode="External"/><Relationship Id="rId2082" Type="http://schemas.openxmlformats.org/officeDocument/2006/relationships/hyperlink" Target="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61" Type="http://schemas.openxmlformats.org/officeDocument/2006/relationships/hyperlink" Target="https://www.youtube.com/watch?v=fsdt6KPI5K0" TargetMode="External"/><Relationship Id="rId499" Type="http://schemas.openxmlformats.org/officeDocument/2006/relationships/hyperlink" Target="https://www.youtube.com/watch?v=zSz0Kh-GrXk" TargetMode="External"/><Relationship Id="rId359" Type="http://schemas.openxmlformats.org/officeDocument/2006/relationships/hyperlink" Target="https://gld.legislaturacba.gob.ar/Publics/Actas.aspx?id=O5np-dBc70s=" TargetMode="External"/><Relationship Id="rId566" Type="http://schemas.openxmlformats.org/officeDocument/2006/relationships/hyperlink" Target="https://www.youtube.com/watch?v=VlvuZlmJYYU" TargetMode="External"/><Relationship Id="rId773" Type="http://schemas.openxmlformats.org/officeDocument/2006/relationships/hyperlink" Target="https://www.youtube.com/watch?v=yBMd4w38a_U" TargetMode="External"/><Relationship Id="rId1196" Type="http://schemas.openxmlformats.org/officeDocument/2006/relationships/hyperlink" Target="https://www.youtube.com/watch?v=esM2WlE56EI" TargetMode="External"/><Relationship Id="rId121" Type="http://schemas.openxmlformats.org/officeDocument/2006/relationships/hyperlink" Target="https://gld.legislaturacba.gob.ar/Publics/Actas.aspx?id=Hleew-X62sI=;https://gld.legislaturacba.gob.ar/Publics/Actas.aspx?id=ISpnyBqW7dU=" TargetMode="External"/><Relationship Id="rId219" Type="http://schemas.openxmlformats.org/officeDocument/2006/relationships/hyperlink" Targe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6" Type="http://schemas.openxmlformats.org/officeDocument/2006/relationships/hyperlink" Target="https://gld.legislaturacba.gob.ar/Publics/Actas.aspx?id=RTtmy-HbQBc=" TargetMode="External"/><Relationship Id="rId633" Type="http://schemas.openxmlformats.org/officeDocument/2006/relationships/hyperlink" Targe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80" Type="http://schemas.openxmlformats.org/officeDocument/2006/relationships/hyperlink" Target="https://www.youtube.com/watch?v=Mk5i4ZvBMeY" TargetMode="External"/><Relationship Id="rId1056" Type="http://schemas.openxmlformats.org/officeDocument/2006/relationships/hyperlink" Target="https://www.youtube.com/watch?v=HipTyxwdteI" TargetMode="External"/><Relationship Id="rId1263" Type="http://schemas.openxmlformats.org/officeDocument/2006/relationships/hyperlink" Target="https://www.youtube.com/watch?v=zZ8T21y6vOY" TargetMode="External"/><Relationship Id="rId2107" Type="http://schemas.openxmlformats.org/officeDocument/2006/relationships/hyperlink" Target="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 TargetMode="External"/><Relationship Id="rId840" Type="http://schemas.openxmlformats.org/officeDocument/2006/relationships/hyperlink" Targe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TargetMode="External"/><Relationship Id="rId938" Type="http://schemas.openxmlformats.org/officeDocument/2006/relationships/hyperlink" Target="https://gld.legislaturacba.gob.ar/Publics/Actas.aspx?id=veSCzDGqWqc=;https://gld.legislaturacba.gob.ar/Publics/Actas.aspx?id=lwOuol5_dTo=" TargetMode="External"/><Relationship Id="rId1470" Type="http://schemas.openxmlformats.org/officeDocument/2006/relationships/hyperlink" Target="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68" Type="http://schemas.openxmlformats.org/officeDocument/2006/relationships/hyperlink" Target="https://www.youtube.com/watch?v=zzYfgWDW_gk" TargetMode="External"/><Relationship Id="rId1775" Type="http://schemas.openxmlformats.org/officeDocument/2006/relationships/hyperlink" Target="https://www.youtube.com/watch?v=dsCo6pe6g7Q" TargetMode="External"/><Relationship Id="rId67" Type="http://schemas.openxmlformats.org/officeDocument/2006/relationships/hyperlink" Target="https://www.youtube.com/watch?v=22MzWnk5Qwo" TargetMode="External"/><Relationship Id="rId700" Type="http://schemas.openxmlformats.org/officeDocument/2006/relationships/hyperlink" Target="https://www.youtube.com/watch?v=y_wSIIFkfao" TargetMode="External"/><Relationship Id="rId1123" Type="http://schemas.openxmlformats.org/officeDocument/2006/relationships/hyperlink" Targe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30" Type="http://schemas.openxmlformats.org/officeDocument/2006/relationships/hyperlink" Targe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28" Type="http://schemas.openxmlformats.org/officeDocument/2006/relationships/hyperlink" Target="https://gld.legislaturacba.gob.ar/Publics/Actas.aspx?id=ZFk3Z66iA0g=" TargetMode="External"/><Relationship Id="rId1635" Type="http://schemas.openxmlformats.org/officeDocument/2006/relationships/hyperlink" Targe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TargetMode="External"/><Relationship Id="rId1982" Type="http://schemas.openxmlformats.org/officeDocument/2006/relationships/hyperlink" Target="https://gld.legislaturacba.gob.ar/Publics/Actas.aspx?id=g4Xe8DGapFs=" TargetMode="External"/><Relationship Id="rId1842" Type="http://schemas.openxmlformats.org/officeDocument/2006/relationships/hyperlink" Target="https://www.youtube.com/watch?v=rAyQ3lKN55k" TargetMode="External"/><Relationship Id="rId1702" Type="http://schemas.openxmlformats.org/officeDocument/2006/relationships/hyperlink" Target="https://www.youtube.com/watch?v=dxIrppte6aM" TargetMode="External"/><Relationship Id="rId283" Type="http://schemas.openxmlformats.org/officeDocument/2006/relationships/hyperlink" Target="https://gld.legislaturacba.gob.ar/Publics/Actas.aspx?id=Tz6t9K5zrMo=" TargetMode="External"/><Relationship Id="rId490" Type="http://schemas.openxmlformats.org/officeDocument/2006/relationships/hyperlink" Target="https://www.youtube.com/watch?v=J298QWPeYnw" TargetMode="External"/><Relationship Id="rId143" Type="http://schemas.openxmlformats.org/officeDocument/2006/relationships/hyperlink" Target="https://gld.legislaturacba.gob.ar/Publics/Actas.aspx?id=zLYZlyX1mBc=;https://gld.legislaturacba.gob.ar/Publics/Actas.aspx?id=49rbsWS-jsA=" TargetMode="External"/><Relationship Id="rId350" Type="http://schemas.openxmlformats.org/officeDocument/2006/relationships/hyperlink" Target="https://gld.legislaturacba.gob.ar/Publics/Actas.aspx?id=5dE_aP7spDU=;https://gld.legislaturacba.gob.ar/Publics/Actas.aspx?id=5EyUjmHGKSU=" TargetMode="External"/><Relationship Id="rId588" Type="http://schemas.openxmlformats.org/officeDocument/2006/relationships/hyperlink" Target="https://gld.legislaturacba.gob.ar/Publics/Actas.aspx?id=koxz2fG2Oo0=" TargetMode="External"/><Relationship Id="rId795" Type="http://schemas.openxmlformats.org/officeDocument/2006/relationships/hyperlink" Target="https://gld.legislaturacba.gob.ar/Publics/Actas.aspx?id=n9XOk3A1sfU=" TargetMode="External"/><Relationship Id="rId2031" Type="http://schemas.openxmlformats.org/officeDocument/2006/relationships/hyperlink" Target="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9" Type="http://schemas.openxmlformats.org/officeDocument/2006/relationships/hyperlink" Target="https://gld.legislaturacba.gob.ar/Publics/Actas.aspx?id=Put8LgPMkRI=" TargetMode="External"/><Relationship Id="rId210" Type="http://schemas.openxmlformats.org/officeDocument/2006/relationships/hyperlink" Target="https://gld.legislaturacba.gob.ar/Publics/Actas.aspx?id=d1Zp2CePOsY=" TargetMode="External"/><Relationship Id="rId448" Type="http://schemas.openxmlformats.org/officeDocument/2006/relationships/hyperlink" Target="https://www.youtube.com/watch?v=SA2qevq-HfY" TargetMode="External"/><Relationship Id="rId655" Type="http://schemas.openxmlformats.org/officeDocument/2006/relationships/hyperlink" Targe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2" Type="http://schemas.openxmlformats.org/officeDocument/2006/relationships/hyperlink" Target="https://www.youtube.com/watch?v=4vq6tw2gLJg" TargetMode="External"/><Relationship Id="rId1078" Type="http://schemas.openxmlformats.org/officeDocument/2006/relationships/hyperlink" Target="https://www.youtube.com/watch?v=j-8viw0ehLU" TargetMode="External"/><Relationship Id="rId1285" Type="http://schemas.openxmlformats.org/officeDocument/2006/relationships/hyperlink" Target="https://gld.legislaturacba.gob.ar/Publics/Actas.aspx?id=NCEWmsec9Js=" TargetMode="External"/><Relationship Id="rId1492" Type="http://schemas.openxmlformats.org/officeDocument/2006/relationships/hyperlink" Target="https://www.youtube.com/watch?v=ngOAiA0WSFE" TargetMode="External"/><Relationship Id="rId308" Type="http://schemas.openxmlformats.org/officeDocument/2006/relationships/hyperlink" Targe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5" Type="http://schemas.openxmlformats.org/officeDocument/2006/relationships/hyperlink" Targe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2" Type="http://schemas.openxmlformats.org/officeDocument/2006/relationships/hyperlink" Target="https://gld.legislaturacba.gob.ar/Publics/Actas.aspx?id=viGPLlYxizE=" TargetMode="External"/><Relationship Id="rId1145" Type="http://schemas.openxmlformats.org/officeDocument/2006/relationships/hyperlink" Targe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52" Type="http://schemas.openxmlformats.org/officeDocument/2006/relationships/hyperlink" Target="https://www.youtube.com/watch?v=jkZf1V4UblU" TargetMode="External"/><Relationship Id="rId1797" Type="http://schemas.openxmlformats.org/officeDocument/2006/relationships/hyperlink" Target="https://gld.legislaturacba.gob.ar/Publics/Actas.aspx?id=3QEtuA80A5U=" TargetMode="External"/><Relationship Id="rId89" Type="http://schemas.openxmlformats.org/officeDocument/2006/relationships/hyperlink" Target="https://gld.legislaturacba.gob.ar/Publics/Actas.aspx?id=KpIydxfBSiQ=" TargetMode="External"/><Relationship Id="rId1005" Type="http://schemas.openxmlformats.org/officeDocument/2006/relationships/hyperlink" Target="https://gld.legislaturacba.gob.ar/Publics/Actas.aspx?id=buc2ApEqGWs=" TargetMode="External"/><Relationship Id="rId1212" Type="http://schemas.openxmlformats.org/officeDocument/2006/relationships/hyperlink" Target="https://gld.legislaturacba.gob.ar/Publics/Actas.aspx?id=j7Lu3KD5VOQ=;https://gld.legislaturacba.gob.ar/Publics/Actas.aspx?id=WVsrr23_cm0=" TargetMode="External"/><Relationship Id="rId1657" Type="http://schemas.openxmlformats.org/officeDocument/2006/relationships/hyperlink" Target="https://www.youtube.com/watch?v=Dl_hS7nYie8" TargetMode="External"/><Relationship Id="rId1864" Type="http://schemas.openxmlformats.org/officeDocument/2006/relationships/hyperlink" Target="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17" Type="http://schemas.openxmlformats.org/officeDocument/2006/relationships/hyperlink" Target="https://www.youtube.com/watch?v=8JmhJrK-rk0" TargetMode="External"/><Relationship Id="rId1724" Type="http://schemas.openxmlformats.org/officeDocument/2006/relationships/hyperlink" Targe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6" Type="http://schemas.openxmlformats.org/officeDocument/2006/relationships/hyperlink" Target="https://gld.legislaturacba.gob.ar/Publics/Actas.aspx?id=jqYlfP5169I=;https://gld.legislaturacba.gob.ar/Publics/Actas.aspx?id=IISzCSxObi4=" TargetMode="External"/><Relationship Id="rId1931" Type="http://schemas.openxmlformats.org/officeDocument/2006/relationships/hyperlink" Target="https://www.youtube.com/watch?v=bmn0OD-gkXQ" TargetMode="External"/><Relationship Id="rId165" Type="http://schemas.openxmlformats.org/officeDocument/2006/relationships/hyperlink" Targe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2" Type="http://schemas.openxmlformats.org/officeDocument/2006/relationships/hyperlink" Target="https://gld.legislaturacba.gob.ar/Publics/Actas.aspx?id=0gzjcIg7j2k=;https://gld.legislaturacba.gob.ar/Publics/Actas.aspx?id=VC8x9IdpcvU=" TargetMode="External"/><Relationship Id="rId677" Type="http://schemas.openxmlformats.org/officeDocument/2006/relationships/hyperlink" Target="https://gld.legislaturacba.gob.ar/Publics/Actas.aspx?id=JfxjNFcWuhg=" TargetMode="External"/><Relationship Id="rId2053" Type="http://schemas.openxmlformats.org/officeDocument/2006/relationships/hyperlink" Target="https://gld.legislaturacba.gob.ar/Publics/Actas.aspx?id=hTNrwCIyGW8=" TargetMode="External"/><Relationship Id="rId232" Type="http://schemas.openxmlformats.org/officeDocument/2006/relationships/hyperlink" Target="https://www.youtube.com/watch?v=5_2ZUaK5ubU" TargetMode="External"/><Relationship Id="rId884" Type="http://schemas.openxmlformats.org/officeDocument/2006/relationships/hyperlink" Target="https://gld.legislaturacba.gob.ar/Publics/Actas.aspx?id=CCUUyWsOkAs=;https://gld.legislaturacba.gob.ar/Publics/Actas.aspx?id=L4WSyb76hh8=" TargetMode="External"/><Relationship Id="rId2120" Type="http://schemas.openxmlformats.org/officeDocument/2006/relationships/hyperlink" Target="https://www.youtube.com/watch?v=nTDdKyrIU34" TargetMode="External"/><Relationship Id="rId537" Type="http://schemas.openxmlformats.org/officeDocument/2006/relationships/hyperlink" Target="https://gld.legislaturacba.gob.ar/Publics/Actas.aspx?id=8YsuurtySHU=" TargetMode="External"/><Relationship Id="rId744" Type="http://schemas.openxmlformats.org/officeDocument/2006/relationships/hyperlink" Target="https://gld.legislaturacba.gob.ar/Publics/Actas.aspx?id=UmCnIUwJCCM=" TargetMode="External"/><Relationship Id="rId951" Type="http://schemas.openxmlformats.org/officeDocument/2006/relationships/hyperlink" Target="https://www.youtube.com/watch?v=rhRJs2NsGNY" TargetMode="External"/><Relationship Id="rId1167" Type="http://schemas.openxmlformats.org/officeDocument/2006/relationships/hyperlink" Target="https://gld.legislaturacba.gob.ar/Publics/Actas.aspx?id=pwRp3ID1rJc=;https://gld.legislaturacba.gob.ar/Publics/Actas.aspx?id=VuZhZEJoiYg=;https://gld.legislaturacba.gob.ar/Publics/Actas.aspx?id=4FAxds41qyI=" TargetMode="External"/><Relationship Id="rId1374" Type="http://schemas.openxmlformats.org/officeDocument/2006/relationships/hyperlink" Target="https://gld.legislaturacba.gob.ar/Publics/Actas.aspx?id=hrtzF3goJQQ=" TargetMode="External"/><Relationship Id="rId1581" Type="http://schemas.openxmlformats.org/officeDocument/2006/relationships/hyperlink" Target="https://gld.legislaturacba.gob.ar/Publics/Actas.aspx?id=qlCLhHoo-ps=" TargetMode="External"/><Relationship Id="rId1679" Type="http://schemas.openxmlformats.org/officeDocument/2006/relationships/hyperlink" Target="https://gld.legislaturacba.gob.ar/Publics/Actas.aspx?id=dMQYTl6tzas=;https://gld.legislaturacba.gob.ar/Publics/Actas.aspx?id=F8GQ9bIKoDk=" TargetMode="External"/><Relationship Id="rId80" Type="http://schemas.openxmlformats.org/officeDocument/2006/relationships/hyperlink" Target="https://gld.legislaturacba.gob.ar/Publics/Actas.aspx?id=lWx-ooIJv_A=" TargetMode="External"/><Relationship Id="rId604" Type="http://schemas.openxmlformats.org/officeDocument/2006/relationships/hyperlink" Target="https://www.youtube.com/watch?v=uE95ezRY2FI" TargetMode="External"/><Relationship Id="rId811" Type="http://schemas.openxmlformats.org/officeDocument/2006/relationships/hyperlink" Targe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7" Type="http://schemas.openxmlformats.org/officeDocument/2006/relationships/hyperlink" Target="https://gld.legislaturacba.gob.ar/Publics/Actas.aspx?id=NCUaovdGwb4=;https://gld.legislaturacba.gob.ar/Publics/Actas.aspx?id=Otnba9yxKXQ=" TargetMode="External"/><Relationship Id="rId1234" Type="http://schemas.openxmlformats.org/officeDocument/2006/relationships/hyperlink" Targe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1" Type="http://schemas.openxmlformats.org/officeDocument/2006/relationships/hyperlink" Target="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886" Type="http://schemas.openxmlformats.org/officeDocument/2006/relationships/hyperlink" Target="https://www.youtube.com/watch?v=Wy911CvDqdk" TargetMode="External"/><Relationship Id="rId909" Type="http://schemas.openxmlformats.org/officeDocument/2006/relationships/hyperlink" Targe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01" Type="http://schemas.openxmlformats.org/officeDocument/2006/relationships/hyperlink" Targe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39" Type="http://schemas.openxmlformats.org/officeDocument/2006/relationships/hyperlink" Target="https://gld.legislaturacba.gob.ar/Publics/Actas.aspx?id=ivnLuYw2YKE=" TargetMode="External"/><Relationship Id="rId1746" Type="http://schemas.openxmlformats.org/officeDocument/2006/relationships/hyperlink" Target="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53" Type="http://schemas.openxmlformats.org/officeDocument/2006/relationships/hyperlink" Target="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38" Type="http://schemas.openxmlformats.org/officeDocument/2006/relationships/hyperlink" Targe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6" Type="http://schemas.openxmlformats.org/officeDocument/2006/relationships/hyperlink" Target="https://www.youtube.com/watch?v=m4v0s-2x-qg" TargetMode="External"/><Relationship Id="rId1813" Type="http://schemas.openxmlformats.org/officeDocument/2006/relationships/hyperlink" Target="https://gld.legislaturacba.gob.ar/Publics/Actas.aspx?id=sgu0b_DBy18=" TargetMode="External"/><Relationship Id="rId187" Type="http://schemas.openxmlformats.org/officeDocument/2006/relationships/hyperlink" Targe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4" Type="http://schemas.openxmlformats.org/officeDocument/2006/relationships/hyperlink" Target="https://www.youtube.com/watch?v=zFs2oKHDPsA" TargetMode="External"/><Relationship Id="rId2075" Type="http://schemas.openxmlformats.org/officeDocument/2006/relationships/hyperlink" Target="https://www.youtube.com/watch?v=2NndQ7Rs4_Q" TargetMode="External"/><Relationship Id="rId254" Type="http://schemas.openxmlformats.org/officeDocument/2006/relationships/hyperlink" Targe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9" Type="http://schemas.openxmlformats.org/officeDocument/2006/relationships/hyperlink" Targe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91" Type="http://schemas.openxmlformats.org/officeDocument/2006/relationships/hyperlink" Targe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4" Type="http://schemas.openxmlformats.org/officeDocument/2006/relationships/hyperlink" Targe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1" Type="http://schemas.openxmlformats.org/officeDocument/2006/relationships/hyperlink" Target="https://www.youtube.com/watch?v=0CcvLpc3lB0" TargetMode="External"/><Relationship Id="rId559" Type="http://schemas.openxmlformats.org/officeDocument/2006/relationships/hyperlink" Targe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66"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89" Type="http://schemas.openxmlformats.org/officeDocument/2006/relationships/hyperlink" Target="https://www.youtube.com/watch?v=bcdeXJYYXu4" TargetMode="External"/><Relationship Id="rId1396" Type="http://schemas.openxmlformats.org/officeDocument/2006/relationships/hyperlink" Target="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1" Type="http://schemas.openxmlformats.org/officeDocument/2006/relationships/hyperlink" Target="https://gld.legislaturacba.gob.ar/Publics/Actas.aspx?id=-JAnU4ouq80=" TargetMode="External"/><Relationship Id="rId419" Type="http://schemas.openxmlformats.org/officeDocument/2006/relationships/hyperlink" Target="https://www.youtube.com/watch?v=XcMWuIIJoSY" TargetMode="External"/><Relationship Id="rId626" Type="http://schemas.openxmlformats.org/officeDocument/2006/relationships/hyperlink" Target="https://gld.legislaturacba.gob.ar/Publics/Actas.aspx?id=Lq9I7CY9r2s=" TargetMode="External"/><Relationship Id="rId973" Type="http://schemas.openxmlformats.org/officeDocument/2006/relationships/hyperlink" Targe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49" Type="http://schemas.openxmlformats.org/officeDocument/2006/relationships/hyperlink" Targe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56" Type="http://schemas.openxmlformats.org/officeDocument/2006/relationships/hyperlink" Target="https://www.youtube.com/watch?v=z6mVhcgywBY" TargetMode="External"/><Relationship Id="rId2002" Type="http://schemas.openxmlformats.org/officeDocument/2006/relationships/hyperlink" Target="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33" Type="http://schemas.openxmlformats.org/officeDocument/2006/relationships/hyperlink" Target="https://gld.legislaturacba.gob.ar/Publics/Actas.aspx?id=9fTB4fDGh98=;https://gld.legislaturacba.gob.ar/Publics/Actas.aspx?id=02cMHhIZHjY=;https://gld.legislaturacba.gob.ar/Publics/Actas.aspx?id=TQ0VOZYKfW0=" TargetMode="External"/><Relationship Id="rId1116" Type="http://schemas.openxmlformats.org/officeDocument/2006/relationships/hyperlink" Target="https://gld.legislaturacba.gob.ar/Publics/Actas.aspx?id=Cyz2rpIOLHA=" TargetMode="External"/><Relationship Id="rId1463" Type="http://schemas.openxmlformats.org/officeDocument/2006/relationships/hyperlink" Target="https://www.youtube.com/watch?v=Ny6-1TDk3cs" TargetMode="External"/><Relationship Id="rId1670" Type="http://schemas.openxmlformats.org/officeDocument/2006/relationships/hyperlink" Target="https://gld.legislaturacba.gob.ar/Publics/Actas.aspx?id=WstocYgW4ao=" TargetMode="External"/><Relationship Id="rId1768" Type="http://schemas.openxmlformats.org/officeDocument/2006/relationships/hyperlink" Target="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900" Type="http://schemas.openxmlformats.org/officeDocument/2006/relationships/hyperlink" Target="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323" Type="http://schemas.openxmlformats.org/officeDocument/2006/relationships/hyperlink" Target="https://gld.legislaturacba.gob.ar/Publics/Actas.aspx?id=7bwOoBKkoWY=" TargetMode="External"/><Relationship Id="rId1530" Type="http://schemas.openxmlformats.org/officeDocument/2006/relationships/hyperlink" Target="https://www.youtube.com/watch?v=RrmdHw8n3fY" TargetMode="External"/><Relationship Id="rId1628" Type="http://schemas.openxmlformats.org/officeDocument/2006/relationships/hyperlink" Target="https://gld.legislaturacba.gob.ar/Publics/Actas.aspx?id=4C4-4UT0dDw=" TargetMode="External"/><Relationship Id="rId1975" Type="http://schemas.openxmlformats.org/officeDocument/2006/relationships/hyperlink" Target="https://www.youtube.com/watch?v=AhwQDRRprbo" TargetMode="External"/><Relationship Id="rId1835" Type="http://schemas.openxmlformats.org/officeDocument/2006/relationships/hyperlink" Target="https://www.youtube.com/watch?v=MqUNEle30J0" TargetMode="External"/><Relationship Id="rId1902" Type="http://schemas.openxmlformats.org/officeDocument/2006/relationships/hyperlink" Target="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97" Type="http://schemas.openxmlformats.org/officeDocument/2006/relationships/hyperlink" Target="https://gld.legislaturacba.gob.ar/Publics/Actas.aspx?id=ShIHVN8G-nE=" TargetMode="External"/><Relationship Id="rId276" Type="http://schemas.openxmlformats.org/officeDocument/2006/relationships/hyperlink" Targe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3" Type="http://schemas.openxmlformats.org/officeDocument/2006/relationships/hyperlink" Targe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0" Type="http://schemas.openxmlformats.org/officeDocument/2006/relationships/hyperlink" Targe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6" Type="http://schemas.openxmlformats.org/officeDocument/2006/relationships/hyperlink" Target="https://www.youtube.com/watch?v=mZikB96oorc" TargetMode="External"/><Relationship Id="rId343" Type="http://schemas.openxmlformats.org/officeDocument/2006/relationships/hyperlink" Targe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0" Type="http://schemas.openxmlformats.org/officeDocument/2006/relationships/hyperlink" Target="https://gld.legislaturacba.gob.ar/Publics/Actas.aspx?id=MVwTfCIXhYc=" TargetMode="External"/><Relationship Id="rId788" Type="http://schemas.openxmlformats.org/officeDocument/2006/relationships/hyperlink" Target="https://www.youtube.com/watch?v=4kMZngFeGVw" TargetMode="External"/><Relationship Id="rId995" Type="http://schemas.openxmlformats.org/officeDocument/2006/relationships/hyperlink" Target="https://gld.legislaturacba.gob.ar/Publics/Actas.aspx?id=7rNl_5RuuaM=;https://gld.legislaturacba.gob.ar/Publics/Actas.aspx?id=9j5-xe7o5oo=" TargetMode="External"/><Relationship Id="rId1180" Type="http://schemas.openxmlformats.org/officeDocument/2006/relationships/hyperlink" Target="https://www.youtube.com/watch?v=ggJ8_X2pdVw" TargetMode="External"/><Relationship Id="rId2024" Type="http://schemas.openxmlformats.org/officeDocument/2006/relationships/hyperlink" Target="https://gld.legislaturacba.gob.ar/Publics/Actas.aspx?id=1gSqRiE1Wb4=" TargetMode="External"/><Relationship Id="rId203" Type="http://schemas.openxmlformats.org/officeDocument/2006/relationships/hyperlink" Targe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8" Type="http://schemas.openxmlformats.org/officeDocument/2006/relationships/hyperlink" Target="https://gld.legislaturacba.gob.ar/Publics/Actas.aspx?id=gjGiUFxvvps=" TargetMode="External"/><Relationship Id="rId855" Type="http://schemas.openxmlformats.org/officeDocument/2006/relationships/hyperlink" Targe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40" Type="http://schemas.openxmlformats.org/officeDocument/2006/relationships/hyperlink" Targe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78" Type="http://schemas.openxmlformats.org/officeDocument/2006/relationships/hyperlink" Target="https://www.youtube.com/watch?v=ECY4CsWMPsg" TargetMode="External"/><Relationship Id="rId1485" Type="http://schemas.openxmlformats.org/officeDocument/2006/relationships/hyperlink" Target="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92" Type="http://schemas.openxmlformats.org/officeDocument/2006/relationships/hyperlink" Targe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10" Type="http://schemas.openxmlformats.org/officeDocument/2006/relationships/hyperlink" Target="https://gld.legislaturacba.gob.ar/Publics/Actas.aspx?id=pz23WaaTfbI=;https://gld.legislaturacba.gob.ar/Publics/Actas.aspx?id=QldnPW4oqwg=" TargetMode="External"/><Relationship Id="rId508" Type="http://schemas.openxmlformats.org/officeDocument/2006/relationships/hyperlink" Target="https://www.youtube.com/watch?v=Am4QbKSB-4I" TargetMode="External"/><Relationship Id="rId715" Type="http://schemas.openxmlformats.org/officeDocument/2006/relationships/hyperlink" Target="https://www.youtube.com/watch?v=Rux7DvQKSAE" TargetMode="External"/><Relationship Id="rId922" Type="http://schemas.openxmlformats.org/officeDocument/2006/relationships/hyperlink" Target="https://www.youtube.com/watch?v=BqsyFydVHpU" TargetMode="External"/><Relationship Id="rId1138" Type="http://schemas.openxmlformats.org/officeDocument/2006/relationships/hyperlink" Target="https://gld.legislaturacba.gob.ar/Publics/Actas.aspx?id=fehBi1gxVc0=;https://gld.legislaturacba.gob.ar/Publics/Actas.aspx?id=GKqn_eVrO-U=" TargetMode="External"/><Relationship Id="rId1345" Type="http://schemas.openxmlformats.org/officeDocument/2006/relationships/hyperlink" Targe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52" Type="http://schemas.openxmlformats.org/officeDocument/2006/relationships/hyperlink" Targe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TargetMode="External"/><Relationship Id="rId1997" Type="http://schemas.openxmlformats.org/officeDocument/2006/relationships/hyperlink" Target="https://www.youtube.com/watch?v=dCE8tE28b9A" TargetMode="External"/><Relationship Id="rId1205" Type="http://schemas.openxmlformats.org/officeDocument/2006/relationships/hyperlink" Target="https://www.youtube.com/watch?v=PMnuw3vgI48" TargetMode="External"/><Relationship Id="rId1857" Type="http://schemas.openxmlformats.org/officeDocument/2006/relationships/hyperlink" Target="https://www.youtube.com/watch?v=sC1c01fBw8Q" TargetMode="External"/><Relationship Id="rId51" Type="http://schemas.openxmlformats.org/officeDocument/2006/relationships/hyperlink" Target="https://www.youtube.com/watch?v=2l00sknI04g" TargetMode="External"/><Relationship Id="rId1412" Type="http://schemas.openxmlformats.org/officeDocument/2006/relationships/hyperlink" Target="https://www.youtube.com/watch?v=4VFSpl8AzPA" TargetMode="External"/><Relationship Id="rId1717" Type="http://schemas.openxmlformats.org/officeDocument/2006/relationships/hyperlink" Target="https://www.youtube.com/watch?v=Gu4w2Rw0CgY" TargetMode="External"/><Relationship Id="rId1924" Type="http://schemas.openxmlformats.org/officeDocument/2006/relationships/hyperlink" Target="https://gld.legislaturacba.gob.ar/Publics/Actas.aspx?id=iPFMQmxbd4o=" TargetMode="External"/><Relationship Id="rId298" Type="http://schemas.openxmlformats.org/officeDocument/2006/relationships/hyperlink" Targe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8" Type="http://schemas.openxmlformats.org/officeDocument/2006/relationships/hyperlink" Target="https://gld.legislaturacba.gob.ar/Publics/Actas.aspx?id=ehQB6nziyfc=" TargetMode="External"/><Relationship Id="rId365" Type="http://schemas.openxmlformats.org/officeDocument/2006/relationships/hyperlink" Target="https://gld.legislaturacba.gob.ar/Publics/Actas.aspx?id=_3aZRSAlN0Y=" TargetMode="External"/><Relationship Id="rId572" Type="http://schemas.openxmlformats.org/officeDocument/2006/relationships/hyperlink" Target="https://gld.legislaturacba.gob.ar/Publics/Actas.aspx?id=OFQxzPyBYGE=" TargetMode="External"/><Relationship Id="rId2046" Type="http://schemas.openxmlformats.org/officeDocument/2006/relationships/hyperlink" Target="https://gld.legislaturacba.gob.ar/Publics/Actas.aspx?id=1qYqXjWrf3M=;https://gld.legislaturacba.gob.ar/Publics/Actas.aspx?id=M5KKACBVueM=;https://gld.legislaturacba.gob.ar/Publics/Actas.aspx?id=WH489q1hhDg=" TargetMode="External"/><Relationship Id="rId225" Type="http://schemas.openxmlformats.org/officeDocument/2006/relationships/hyperlink" Targe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2" Type="http://schemas.openxmlformats.org/officeDocument/2006/relationships/hyperlink" Target="https://gld.legislaturacba.gob.ar/Publics/Actas.aspx?id=0FJ_2R8fchk=" TargetMode="External"/><Relationship Id="rId877" Type="http://schemas.openxmlformats.org/officeDocument/2006/relationships/hyperlink" Target="https://www.youtube.com/watch?v=vGwbGM_oa2g" TargetMode="External"/><Relationship Id="rId1062" Type="http://schemas.openxmlformats.org/officeDocument/2006/relationships/hyperlink" Targe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113" Type="http://schemas.openxmlformats.org/officeDocument/2006/relationships/hyperlink" Target="https://www.youtube.com/watch?v=opO--2cSNUo" TargetMode="External"/><Relationship Id="rId737" Type="http://schemas.openxmlformats.org/officeDocument/2006/relationships/hyperlink" Target="https://www.youtube.com/watch?v=RaPOtgpIwkM" TargetMode="External"/><Relationship Id="rId944" Type="http://schemas.openxmlformats.org/officeDocument/2006/relationships/hyperlink" Targe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67" Type="http://schemas.openxmlformats.org/officeDocument/2006/relationships/hyperlink" Target="https://www.youtube.com/watch?v=C9h90xYtShY" TargetMode="External"/><Relationship Id="rId1574" Type="http://schemas.openxmlformats.org/officeDocument/2006/relationships/hyperlink" Target="https://www.youtube.com/watch?v=xMwdanqJFOU" TargetMode="External"/><Relationship Id="rId1781" Type="http://schemas.openxmlformats.org/officeDocument/2006/relationships/hyperlink" Target="https://www.youtube.com/watch?v=P0UD-8wJH0Q" TargetMode="External"/><Relationship Id="rId73" Type="http://schemas.openxmlformats.org/officeDocument/2006/relationships/hyperlink" Target="https://www.youtube.com/watch?v=djS9MQlIzg8" TargetMode="External"/><Relationship Id="rId804" Type="http://schemas.openxmlformats.org/officeDocument/2006/relationships/hyperlink" Target="https://gld.legislaturacba.gob.ar/Publics/Actas.aspx?id=CzQDWN9zH6k=;https://gld.legislaturacba.gob.ar/Publics/Actas.aspx?id=IlbUj_uAWm4=;https://gld.legislaturacba.gob.ar/Publics/Actas.aspx?id=fgQCxotGL-Y=" TargetMode="External"/><Relationship Id="rId1227" Type="http://schemas.openxmlformats.org/officeDocument/2006/relationships/hyperlink" Target="https://gld.legislaturacba.gob.ar/Publics/Actas.aspx?id=uszbQrzqNn8=" TargetMode="External"/><Relationship Id="rId1434" Type="http://schemas.openxmlformats.org/officeDocument/2006/relationships/hyperlink" Target="https://gld.legislaturacba.gob.ar/Publics/Actas.aspx?id=38PDFgd7u20=" TargetMode="External"/><Relationship Id="rId1641" Type="http://schemas.openxmlformats.org/officeDocument/2006/relationships/hyperlink" Target="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79" Type="http://schemas.openxmlformats.org/officeDocument/2006/relationships/hyperlink" Target="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1" Type="http://schemas.openxmlformats.org/officeDocument/2006/relationships/hyperlink" Target="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39" Type="http://schemas.openxmlformats.org/officeDocument/2006/relationships/hyperlink" Target="https://gld.legislaturacba.gob.ar/Publics/Actas.aspx?id=usc1x2lZowM=" TargetMode="External"/><Relationship Id="rId1946" Type="http://schemas.openxmlformats.org/officeDocument/2006/relationships/hyperlink" Target="https://www.youtube.com/watch?v=kxIc9HnZJX8" TargetMode="External"/><Relationship Id="rId1806" Type="http://schemas.openxmlformats.org/officeDocument/2006/relationships/hyperlink" Target="https://www.youtube.com/watch?v=N1mekePlvfU" TargetMode="External"/><Relationship Id="rId387" Type="http://schemas.openxmlformats.org/officeDocument/2006/relationships/hyperlink" Target="https://www.youtube.com/watch?v=Tc5MWKTolhg" TargetMode="External"/><Relationship Id="rId594" Type="http://schemas.openxmlformats.org/officeDocument/2006/relationships/hyperlink" Target="https://gld.legislaturacba.gob.ar/Publics/Actas.aspx?id=0pxXrXiqsOU=" TargetMode="External"/><Relationship Id="rId2068" Type="http://schemas.openxmlformats.org/officeDocument/2006/relationships/hyperlink" Target="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47" Type="http://schemas.openxmlformats.org/officeDocument/2006/relationships/hyperlink" Target="https://gld.legislaturacba.gob.ar/Publics/Actas.aspx?id=zzFOTHxW9eA=" TargetMode="External"/><Relationship Id="rId899" Type="http://schemas.openxmlformats.org/officeDocument/2006/relationships/hyperlink" Target="https://gld.legislaturacba.gob.ar/Publics/Actas.aspx?id=sBt_QC4D32I=;https://gld.legislaturacba.gob.ar/Publics/Actas.aspx?id=8ysqMhlsbW8=;https://gld.legislaturacba.gob.ar/Publics/Actas.aspx?id=1g4-lm1-H3w=" TargetMode="External"/><Relationship Id="rId1084" Type="http://schemas.openxmlformats.org/officeDocument/2006/relationships/hyperlink" Target="https://gld.legislaturacba.gob.ar/Publics/Actas.aspx?id=NmQB2-gzEK0=" TargetMode="External"/><Relationship Id="rId107" Type="http://schemas.openxmlformats.org/officeDocument/2006/relationships/hyperlink" Targe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4" Type="http://schemas.openxmlformats.org/officeDocument/2006/relationships/hyperlink" Target="https://gld.legislaturacba.gob.ar/Publics/Actas.aspx?id=ImbOVZ3-EZE=;https://gld.legislaturacba.gob.ar/Publics/Actas.aspx?id=pUa-FFia1ac=;https://gld.legislaturacba.gob.ar/Publics/Actas.aspx?id=tSYBJr4IslM=" TargetMode="External"/><Relationship Id="rId661" Type="http://schemas.openxmlformats.org/officeDocument/2006/relationships/hyperlink" Targe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9" Type="http://schemas.openxmlformats.org/officeDocument/2006/relationships/hyperlink" Target="https://gld.legislaturacba.gob.ar/Publics/Actas.aspx?id=vBt2S33Fnfk=;https://gld.legislaturacba.gob.ar/Publics/Actas.aspx?id=BZI2qRsF1rc=" TargetMode="External"/><Relationship Id="rId966" Type="http://schemas.openxmlformats.org/officeDocument/2006/relationships/hyperlink" Target="https://gld.legislaturacba.gob.ar/Publics/Actas.aspx?id=mD5yIZy3mXY=" TargetMode="External"/><Relationship Id="rId1291" Type="http://schemas.openxmlformats.org/officeDocument/2006/relationships/hyperlink" Target="https://www.youtube.com/watch?v=RIlCrqnWAuU" TargetMode="External"/><Relationship Id="rId1389" Type="http://schemas.openxmlformats.org/officeDocument/2006/relationships/hyperlink" Target="https://gld.legislaturacba.gob.ar/Publics/Actas.aspx?id=xOj1r6HNrNI=" TargetMode="External"/><Relationship Id="rId1596" Type="http://schemas.openxmlformats.org/officeDocument/2006/relationships/hyperlink" Targe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TargetMode="External"/><Relationship Id="rId314" Type="http://schemas.openxmlformats.org/officeDocument/2006/relationships/hyperlink" Target="https://www.youtube.com/watch?v=bfCu1Bs-Y6k" TargetMode="External"/><Relationship Id="rId521" Type="http://schemas.openxmlformats.org/officeDocument/2006/relationships/hyperlink" Target="https://gld.legislaturacba.gob.ar/Publics/Actas.aspx?id=wpMvJu52fI0=;https://gld.legislaturacba.gob.ar/Publics/Actas.aspx?id=CuGxoppufEg=" TargetMode="External"/><Relationship Id="rId619" Type="http://schemas.openxmlformats.org/officeDocument/2006/relationships/hyperlink" Target="https://www.youtube.com/watch?v=eFcVj0dlImQ" TargetMode="External"/><Relationship Id="rId1151" Type="http://schemas.openxmlformats.org/officeDocument/2006/relationships/hyperlink" Target="https://www.youtube.com/watch?v=SV36PQceT6M" TargetMode="External"/><Relationship Id="rId1249" Type="http://schemas.openxmlformats.org/officeDocument/2006/relationships/hyperlink" Targe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 Type="http://schemas.openxmlformats.org/officeDocument/2006/relationships/hyperlink" Target="https://gld.legislaturacba.gob.ar/Publics/Actas.aspx?id=7fiRyVaVZFQ=" TargetMode="External"/><Relationship Id="rId826" Type="http://schemas.openxmlformats.org/officeDocument/2006/relationships/hyperlink" Target="https://www.youtube.com/watch?v=82avDn8HpcE" TargetMode="External"/><Relationship Id="rId1011" Type="http://schemas.openxmlformats.org/officeDocument/2006/relationships/hyperlink" Target="https://gld.legislaturacba.gob.ar/Publics/Actas.aspx?id=gIqLVo_9FM0=" TargetMode="External"/><Relationship Id="rId1109" Type="http://schemas.openxmlformats.org/officeDocument/2006/relationships/hyperlink" Target="https://www.youtube.com/watch?v=I4VOVNuLxO0" TargetMode="External"/><Relationship Id="rId1456" Type="http://schemas.openxmlformats.org/officeDocument/2006/relationships/hyperlink" Target="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63" Type="http://schemas.openxmlformats.org/officeDocument/2006/relationships/hyperlink" Target="https://www.youtube.com/watch?v=5RqRfDMoJOs" TargetMode="External"/><Relationship Id="rId1870" Type="http://schemas.openxmlformats.org/officeDocument/2006/relationships/hyperlink" Target="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68" Type="http://schemas.openxmlformats.org/officeDocument/2006/relationships/hyperlink" Target="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316" Type="http://schemas.openxmlformats.org/officeDocument/2006/relationships/hyperlink" Target="https://www.youtube.com/watch?v=ormC49K7nBg" TargetMode="External"/><Relationship Id="rId1523" Type="http://schemas.openxmlformats.org/officeDocument/2006/relationships/hyperlink" Target="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 TargetMode="External"/><Relationship Id="rId1730" Type="http://schemas.openxmlformats.org/officeDocument/2006/relationships/hyperlink" Target="https://www.youtube.com/watch?v=PeuApIFXz6Y" TargetMode="External"/><Relationship Id="rId22" Type="http://schemas.openxmlformats.org/officeDocument/2006/relationships/hyperlink" Target="https://gld.legislaturacba.gob.ar/Publics/Actas.aspx?id=IVUZ6YuNgyA=" TargetMode="External"/><Relationship Id="rId1828" Type="http://schemas.openxmlformats.org/officeDocument/2006/relationships/hyperlink" Target="https://gld.legislaturacba.gob.ar/Publics/Actas.aspx?id=cofQnHSqY84=" TargetMode="External"/><Relationship Id="rId171" Type="http://schemas.openxmlformats.org/officeDocument/2006/relationships/hyperlink" Targe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9" Type="http://schemas.openxmlformats.org/officeDocument/2006/relationships/hyperlink" Targe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6" Type="http://schemas.openxmlformats.org/officeDocument/2006/relationships/hyperlink" Target="https://gld.legislaturacba.gob.ar/Publics/Actas.aspx?id=Ow7xqyo3Eb8=" TargetMode="External"/><Relationship Id="rId683" Type="http://schemas.openxmlformats.org/officeDocument/2006/relationships/hyperlink" Target="https://gld.legislaturacba.gob.ar/Publics/Actas.aspx?id=URU9j_j_GKk=" TargetMode="External"/><Relationship Id="rId890" Type="http://schemas.openxmlformats.org/officeDocument/2006/relationships/hyperlink" Target="https://gld.legislaturacba.gob.ar/Publics/Actas.aspx?id=tLfP-fmigYA=;https://gld.legislaturacba.gob.ar/Publics/Actas.aspx?id=D1eDff2wPQA=" TargetMode="External"/><Relationship Id="rId129" Type="http://schemas.openxmlformats.org/officeDocument/2006/relationships/hyperlink" Targe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6" Type="http://schemas.openxmlformats.org/officeDocument/2006/relationships/hyperlink" Target="https://gld.legislaturacba.gob.ar/Publics/Actas.aspx?id=GtUVpHM7gug=;https://gld.legislaturacba.gob.ar/Publics/Actas.aspx?id=RpZv2gqGEj0=" TargetMode="External"/><Relationship Id="rId543" Type="http://schemas.openxmlformats.org/officeDocument/2006/relationships/hyperlink" Targe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88" Type="http://schemas.openxmlformats.org/officeDocument/2006/relationships/hyperlink" Targe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73" Type="http://schemas.openxmlformats.org/officeDocument/2006/relationships/hyperlink" Target="https://gld.legislaturacba.gob.ar/Publics/Actas.aspx?id=pAoyCnxY2cg=" TargetMode="External"/><Relationship Id="rId1380" Type="http://schemas.openxmlformats.org/officeDocument/2006/relationships/hyperlink" Target="https://gld.legislaturacba.gob.ar/Publics/Actas.aspx?id=zCg0MifoKuQ=" TargetMode="External"/><Relationship Id="rId2017" Type="http://schemas.openxmlformats.org/officeDocument/2006/relationships/hyperlink" Target="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403" Type="http://schemas.openxmlformats.org/officeDocument/2006/relationships/hyperlink" Target="https://gld.legislaturacba.gob.ar/Publics/Actas.aspx?id=rmWCLExN_LM=" TargetMode="External"/><Relationship Id="rId750" Type="http://schemas.openxmlformats.org/officeDocument/2006/relationships/hyperlink" Target="https://gld.legislaturacba.gob.ar/Publics/Actas.aspx?id=v9d5eqd7aW8=;https://gld.legislaturacba.gob.ar/Publics/Actas.aspx?id=EI2f1QpkhT4=;https://gld.legislaturacba.gob.ar/Publics/Actas.aspx?id=myg8Hf6cpz0=" TargetMode="External"/><Relationship Id="rId848" Type="http://schemas.openxmlformats.org/officeDocument/2006/relationships/hyperlink" Target="https://gld.legislaturacba.gob.ar/Publics/Actas.aspx?id=Jbxxo5bUc3s=" TargetMode="External"/><Relationship Id="rId1033" Type="http://schemas.openxmlformats.org/officeDocument/2006/relationships/hyperlink" Target="https://gld.legislaturacba.gob.ar/Publics/Actas.aspx?id=c7SlWdbqPps=" TargetMode="External"/><Relationship Id="rId1478" Type="http://schemas.openxmlformats.org/officeDocument/2006/relationships/hyperlink" Target="https://gld.legislaturacba.gob.ar/Publics/Actas.aspx?id=2sJjM1BF8B8=;https://gld.legislaturacba.gob.ar/Publics/Actas.aspx?id=pwdRpUax_SU=" TargetMode="External"/><Relationship Id="rId1685" Type="http://schemas.openxmlformats.org/officeDocument/2006/relationships/hyperlink" Target="https://gld.legislaturacba.gob.ar/Publics/Actas.aspx?id=bWA8IRCqhfU=;https://gld.legislaturacba.gob.ar/Publics/Actas.aspx?id=JxF-L9HVCOY=" TargetMode="External"/><Relationship Id="rId1892" Type="http://schemas.openxmlformats.org/officeDocument/2006/relationships/hyperlink" Target="https://www.youtube.com/watch?v=Da5GuV0dKxc" TargetMode="External"/><Relationship Id="rId610" Type="http://schemas.openxmlformats.org/officeDocument/2006/relationships/hyperlink" Target="https://www.youtube.com/watch?v=k0zVfDPHs2w" TargetMode="External"/><Relationship Id="rId708" Type="http://schemas.openxmlformats.org/officeDocument/2006/relationships/hyperlink" Targe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5" Type="http://schemas.openxmlformats.org/officeDocument/2006/relationships/hyperlink" Targe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40" Type="http://schemas.openxmlformats.org/officeDocument/2006/relationships/hyperlink" Targe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38" Type="http://schemas.openxmlformats.org/officeDocument/2006/relationships/hyperlink" Target="https://gld.legislaturacba.gob.ar/Publics/Actas.aspx?id=1CEIVmy1Vfs=" TargetMode="External"/><Relationship Id="rId1545" Type="http://schemas.openxmlformats.org/officeDocument/2006/relationships/hyperlink" Target="https://gld.legislaturacba.gob.ar/Publics/Actas.aspx?id=KNtpW_ckNF4=;https://gld.legislaturacba.gob.ar/Publics/Actas.aspx?id=08Ylj4PRrqI=" TargetMode="External"/><Relationship Id="rId1100" Type="http://schemas.openxmlformats.org/officeDocument/2006/relationships/hyperlink" Targe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405" Type="http://schemas.openxmlformats.org/officeDocument/2006/relationships/hyperlink" Target="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52" Type="http://schemas.openxmlformats.org/officeDocument/2006/relationships/hyperlink" Target="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4" Type="http://schemas.openxmlformats.org/officeDocument/2006/relationships/hyperlink" Targe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12" Type="http://schemas.openxmlformats.org/officeDocument/2006/relationships/hyperlink" Target="https://gld.legislaturacba.gob.ar/Publics/Actas.aspx?id=xfAGUXO94i4=" TargetMode="External"/><Relationship Id="rId1917" Type="http://schemas.openxmlformats.org/officeDocument/2006/relationships/hyperlink" Target="https://www.youtube.com/watch?v=4lqHyOYEf3c" TargetMode="External"/><Relationship Id="rId193" Type="http://schemas.openxmlformats.org/officeDocument/2006/relationships/hyperlink" Targe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8" Type="http://schemas.openxmlformats.org/officeDocument/2006/relationships/hyperlink" Targe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81" Type="http://schemas.openxmlformats.org/officeDocument/2006/relationships/hyperlink" Target="https://www.youtube.com/watch?v=KJ68Ku-0Zg8" TargetMode="External"/><Relationship Id="rId260" Type="http://schemas.openxmlformats.org/officeDocument/2006/relationships/hyperlink" Targe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 Type="http://schemas.openxmlformats.org/officeDocument/2006/relationships/hyperlink" Target="https://gld.legislaturacba.gob.ar/Publics/Actas.aspx?id=0a-VWLGzTlE=" TargetMode="External"/><Relationship Id="rId358" Type="http://schemas.openxmlformats.org/officeDocument/2006/relationships/hyperlink" Targe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5" Type="http://schemas.openxmlformats.org/officeDocument/2006/relationships/hyperlink" Targe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2" Type="http://schemas.openxmlformats.org/officeDocument/2006/relationships/hyperlink" Targe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5" Type="http://schemas.openxmlformats.org/officeDocument/2006/relationships/hyperlink" Targe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39" Type="http://schemas.openxmlformats.org/officeDocument/2006/relationships/hyperlink" Target="https://gld.legislaturacba.gob.ar/Publics/Actas.aspx?id=HDWF62FDAVA=;https://gld.legislaturacba.gob.ar/Publics/Actas.aspx?id=KR5xX2tYn4w=;https://gld.legislaturacba.gob.ar/Publics/Actas.aspx?id=V9L5SXdgjog=" TargetMode="External"/><Relationship Id="rId218" Type="http://schemas.openxmlformats.org/officeDocument/2006/relationships/hyperlink" Target="https://gld.legislaturacba.gob.ar/Publics/Actas.aspx?id=RkUKcIaoVmk=" TargetMode="External"/><Relationship Id="rId425" Type="http://schemas.openxmlformats.org/officeDocument/2006/relationships/hyperlink" Target="https://www.youtube.com/watch?v=0vdosNhELQw" TargetMode="External"/><Relationship Id="rId632" Type="http://schemas.openxmlformats.org/officeDocument/2006/relationships/hyperlink" Target="https://gld.legislaturacba.gob.ar/Publics/Actas.aspx?id=S2UWuN0HG4A=" TargetMode="External"/><Relationship Id="rId1055" Type="http://schemas.openxmlformats.org/officeDocument/2006/relationships/hyperlink" Targe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62" Type="http://schemas.openxmlformats.org/officeDocument/2006/relationships/hyperlink" Targe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06" Type="http://schemas.openxmlformats.org/officeDocument/2006/relationships/hyperlink" Target="https://www.youtube.com/watch?v=QtYfChZuWww" TargetMode="External"/><Relationship Id="rId937" Type="http://schemas.openxmlformats.org/officeDocument/2006/relationships/hyperlink" Target="https://www.youtube.com/watch?v=wAKPFq_8rcw" TargetMode="External"/><Relationship Id="rId1122" Type="http://schemas.openxmlformats.org/officeDocument/2006/relationships/hyperlink" Target="https://gld.legislaturacba.gob.ar/Publics/Actas.aspx?id=gdlbIcxv_pw=" TargetMode="External"/><Relationship Id="rId1567" Type="http://schemas.openxmlformats.org/officeDocument/2006/relationships/hyperlink" Targe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TargetMode="External"/><Relationship Id="rId1774" Type="http://schemas.openxmlformats.org/officeDocument/2006/relationships/hyperlink" Target="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81" Type="http://schemas.openxmlformats.org/officeDocument/2006/relationships/hyperlink" Target="https://www.youtube.com/watch?v=voiuoW8J0k8" TargetMode="External"/><Relationship Id="rId66" Type="http://schemas.openxmlformats.org/officeDocument/2006/relationships/hyperlink" Target="https://gld.legislaturacba.gob.ar/Publics/Actas.aspx?id=MsIhocb7vlw=" TargetMode="External"/><Relationship Id="rId1427" Type="http://schemas.openxmlformats.org/officeDocument/2006/relationships/hyperlink" Target="https://www.youtube.com/watch?v=U1QToX9sSfM" TargetMode="External"/><Relationship Id="rId1634" Type="http://schemas.openxmlformats.org/officeDocument/2006/relationships/hyperlink" Target="https://gld.legislaturacba.gob.ar/Publics/Actas.aspx?id=EWfatZF0hNs=" TargetMode="External"/><Relationship Id="rId1841" Type="http://schemas.openxmlformats.org/officeDocument/2006/relationships/hyperlink" Target="https://gld.legislaturacba.gob.ar/Publics/Actas.aspx?id=03kGqwLPde8=" TargetMode="External"/><Relationship Id="rId1939" Type="http://schemas.openxmlformats.org/officeDocument/2006/relationships/hyperlink" Target="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701" Type="http://schemas.openxmlformats.org/officeDocument/2006/relationships/hyperlink" Target="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82" Type="http://schemas.openxmlformats.org/officeDocument/2006/relationships/hyperlink" Target="https://www.youtube.com/watch?v=7Vn9mBijDiA" TargetMode="External"/><Relationship Id="rId587" Type="http://schemas.openxmlformats.org/officeDocument/2006/relationships/hyperlink" Target="https://www.youtube.com/watch?v=vlkgI_1PBNM" TargetMode="External"/><Relationship Id="rId8" Type="http://schemas.openxmlformats.org/officeDocument/2006/relationships/hyperlink" Target="https://gld.legislaturacba.gob.ar/Publics/Actas.aspx?id=JYF6CVKRM3A=" TargetMode="External"/><Relationship Id="rId142" Type="http://schemas.openxmlformats.org/officeDocument/2006/relationships/hyperlink" Target="https://www.youtube.com/watch?v=4mMZS65PqEU" TargetMode="External"/><Relationship Id="rId447" Type="http://schemas.openxmlformats.org/officeDocument/2006/relationships/hyperlink" Targe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4" Type="http://schemas.openxmlformats.org/officeDocument/2006/relationships/hyperlink" Target="https://www.youtube.com/watch?v=rRZGZmMD6OA&amp;t" TargetMode="External"/><Relationship Id="rId1077" Type="http://schemas.openxmlformats.org/officeDocument/2006/relationships/hyperlink" Targe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30" Type="http://schemas.openxmlformats.org/officeDocument/2006/relationships/hyperlink" Target="https://gld.legislaturacba.gob.ar/Publics/Actas.aspx?id=St7UBev-UhQ=" TargetMode="External"/><Relationship Id="rId2128" Type="http://schemas.openxmlformats.org/officeDocument/2006/relationships/hyperlink" Target="https://www.youtube.com/watch?v=6jC6n3GJlf8" TargetMode="External"/><Relationship Id="rId654" Type="http://schemas.openxmlformats.org/officeDocument/2006/relationships/hyperlink" Target="https://gld.legislaturacba.gob.ar/Publics/Actas.aspx?id=q1QblYiKG4k=" TargetMode="External"/><Relationship Id="rId861" Type="http://schemas.openxmlformats.org/officeDocument/2006/relationships/hyperlink" Targe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9" Type="http://schemas.openxmlformats.org/officeDocument/2006/relationships/hyperlink" Targe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84" Type="http://schemas.openxmlformats.org/officeDocument/2006/relationships/hyperlink" Target="https://www.youtube.com/watch?v=ohIgBDHbLIY" TargetMode="External"/><Relationship Id="rId1491" Type="http://schemas.openxmlformats.org/officeDocument/2006/relationships/hyperlink" Target="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589" Type="http://schemas.openxmlformats.org/officeDocument/2006/relationships/hyperlink" Target="https://gld.legislaturacba.gob.ar/Publics/Actas.aspx?id=mIc8xt0Z__8=" TargetMode="External"/><Relationship Id="rId307" Type="http://schemas.openxmlformats.org/officeDocument/2006/relationships/hyperlink" Target="https://gld.legislaturacba.gob.ar/Publics/Actas.aspx?id=RTONUjDdWK8=;https://gld.legislaturacba.gob.ar/Publics/Actas.aspx?id=eTUR2rQYVCQ=;https://gld.legislaturacba.gob.ar/Publics/Actas.aspx?id=XpVIBT4DHG8=" TargetMode="External"/><Relationship Id="rId514" Type="http://schemas.openxmlformats.org/officeDocument/2006/relationships/hyperlink" Target="https://gld.legislaturacba.gob.ar/Publics/Actas.aspx?id=8Zf1xV_deUM=;https://gld.legislaturacba.gob.ar/Publics/Actas.aspx?id=18RFV5cQ_z4=" TargetMode="External"/><Relationship Id="rId721" Type="http://schemas.openxmlformats.org/officeDocument/2006/relationships/hyperlink" Target="https://www.youtube.com/watch?v=j738bC5gtSA" TargetMode="External"/><Relationship Id="rId1144" Type="http://schemas.openxmlformats.org/officeDocument/2006/relationships/hyperlink" Target="https://gld.legislaturacba.gob.ar/Publics/Actas.aspx?id=RZcJaWI6fCw=;https://gld.legislaturacba.gob.ar/Publics/Actas.aspx?id=Gyvsz9-kHnU=" TargetMode="External"/><Relationship Id="rId1351" Type="http://schemas.openxmlformats.org/officeDocument/2006/relationships/hyperlink" Targe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9" Type="http://schemas.openxmlformats.org/officeDocument/2006/relationships/hyperlink" Target="https://gld.legislaturacba.gob.ar/Publics/Actas.aspx?id=OReozX5VDRQ=;https://gld.legislaturacba.gob.ar/Publics/Actas.aspx?id=ln2LoS3POeA=" TargetMode="External"/><Relationship Id="rId1796" Type="http://schemas.openxmlformats.org/officeDocument/2006/relationships/hyperlink" Target="https://www.youtube.com/watch?v=I_DnH6ZjUkQ" TargetMode="External"/><Relationship Id="rId88" Type="http://schemas.openxmlformats.org/officeDocument/2006/relationships/hyperlink" Target="https://www.youtube.com/watch?v=VP2Goa6bZWs" TargetMode="External"/><Relationship Id="rId819" Type="http://schemas.openxmlformats.org/officeDocument/2006/relationships/hyperlink" Targe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04" Type="http://schemas.openxmlformats.org/officeDocument/2006/relationships/hyperlink" Targe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11" Type="http://schemas.openxmlformats.org/officeDocument/2006/relationships/hyperlink" Target="https://www.youtube.com/watch?v=3BbsY6DE7fg" TargetMode="External"/><Relationship Id="rId1656"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863" Type="http://schemas.openxmlformats.org/officeDocument/2006/relationships/hyperlink" Target="https://gld.legislaturacba.gob.ar/Publics/Actas.aspx?id=T_idxx1Wvd4=;https://gld.legislaturacba.gob.ar/Publics/Actas.aspx?id=1l0Zvqti13A=" TargetMode="External"/><Relationship Id="rId1309" Type="http://schemas.openxmlformats.org/officeDocument/2006/relationships/hyperlink" Target="https://gld.legislaturacba.gob.ar/Publics/Actas.aspx?id=UkCJ7P74Cp0=;https://gld.legislaturacba.gob.ar/Publics/Actas.aspx?id=ioPa_xH4XXI=;https://gld.legislaturacba.gob.ar/Publics/Actas.aspx?id=caRyUdQNdR4=" TargetMode="External"/><Relationship Id="rId1516" Type="http://schemas.openxmlformats.org/officeDocument/2006/relationships/hyperlink" Target="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23" Type="http://schemas.openxmlformats.org/officeDocument/2006/relationships/hyperlink" Target="https://gld.legislaturacba.gob.ar/Publics/Actas.aspx?id=MlojQ7y89cY=;https://gld.legislaturacba.gob.ar/Publics/Actas.aspx?id=iMpAe8aVd2Y=;https://gld.legislaturacba.gob.ar/Publics/Actas.aspx?id=tl4CvXDQuWA=" TargetMode="External"/><Relationship Id="rId1930" Type="http://schemas.openxmlformats.org/officeDocument/2006/relationships/hyperlink" Target="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5" Type="http://schemas.openxmlformats.org/officeDocument/2006/relationships/hyperlink" Target="https://gld.legislaturacba.gob.ar/Publics/Actas.aspx?id=LkDsrjpMKeM=;https://gld.legislaturacba.gob.ar/Publics/Actas.aspx?id=Axm3py3JWEs=" TargetMode="External"/><Relationship Id="rId164" Type="http://schemas.openxmlformats.org/officeDocument/2006/relationships/hyperlink" Target="https://gld.legislaturacba.gob.ar/Publics/Actas.aspx?id=3D54FEXKeEk=" TargetMode="External"/><Relationship Id="rId371" Type="http://schemas.openxmlformats.org/officeDocument/2006/relationships/hyperlink" Targe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52" Type="http://schemas.openxmlformats.org/officeDocument/2006/relationships/hyperlink" Target="https://www.youtube.com/watch?v=Dkk5syaQm7s" TargetMode="External"/><Relationship Id="rId469" Type="http://schemas.openxmlformats.org/officeDocument/2006/relationships/hyperlink" Targe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6" Type="http://schemas.openxmlformats.org/officeDocument/2006/relationships/hyperlink" Target="https://www.youtube.com/watch?v=aySeCFRHCZQ" TargetMode="External"/><Relationship Id="rId883" Type="http://schemas.openxmlformats.org/officeDocument/2006/relationships/hyperlink" Target="https://www.youtube.com/watch?v=K36CMgqIzFM" TargetMode="External"/><Relationship Id="rId1099" Type="http://schemas.openxmlformats.org/officeDocument/2006/relationships/hyperlink" Target="https://gld.legislaturacba.gob.ar/Publics/Actas.aspx?id=JsJ8e2X8Lk0=;https://gld.legislaturacba.gob.ar/Publics/Actas.aspx?id=vZvWx5cWyXI=" TargetMode="External"/><Relationship Id="rId231" Type="http://schemas.openxmlformats.org/officeDocument/2006/relationships/hyperlink" Targe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9" Type="http://schemas.openxmlformats.org/officeDocument/2006/relationships/hyperlink" Target="https://www.youtube.com/watch?v=mhktJQOgiIc" TargetMode="External"/><Relationship Id="rId536" Type="http://schemas.openxmlformats.org/officeDocument/2006/relationships/hyperlink" Targe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66" Type="http://schemas.openxmlformats.org/officeDocument/2006/relationships/hyperlink" Target="https://www.youtube.com/watch?v=ROQrNF16rz0" TargetMode="External"/><Relationship Id="rId1373" Type="http://schemas.openxmlformats.org/officeDocument/2006/relationships/hyperlink" Target="https://www.youtube.com/watch?v=hYSKvl7cifY" TargetMode="External"/><Relationship Id="rId743" Type="http://schemas.openxmlformats.org/officeDocument/2006/relationships/hyperlink" Target="https://www.youtube.com/watch?v=Rhtdb8mU5ls" TargetMode="External"/><Relationship Id="rId950" Type="http://schemas.openxmlformats.org/officeDocument/2006/relationships/hyperlink" Targe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26" Type="http://schemas.openxmlformats.org/officeDocument/2006/relationships/hyperlink" Target="https://www.youtube.com/watch?v=ZdfYSq7GUps" TargetMode="External"/><Relationship Id="rId1580" Type="http://schemas.openxmlformats.org/officeDocument/2006/relationships/hyperlink" Target="https://www.youtube.com/watch?v=EcGH_lvrRTs" TargetMode="External"/><Relationship Id="rId1678" Type="http://schemas.openxmlformats.org/officeDocument/2006/relationships/hyperlink" Target="https://www.youtube.com/watch?v=qiogU2i2LgI" TargetMode="External"/><Relationship Id="rId1885" Type="http://schemas.openxmlformats.org/officeDocument/2006/relationships/hyperlink" Target="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603" Type="http://schemas.openxmlformats.org/officeDocument/2006/relationships/hyperlink" Targe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0" Type="http://schemas.openxmlformats.org/officeDocument/2006/relationships/hyperlink" Target="https://gld.legislaturacba.gob.ar/Publics/Actas.aspx?id=x8k_b6kY8rg=" TargetMode="External"/><Relationship Id="rId908" Type="http://schemas.openxmlformats.org/officeDocument/2006/relationships/hyperlink" Target="https://gld.legislaturacba.gob.ar/Publics/Actas.aspx?id=VMukCI7nhGo=" TargetMode="External"/><Relationship Id="rId1233" Type="http://schemas.openxmlformats.org/officeDocument/2006/relationships/hyperlink" Target="https://gld.legislaturacba.gob.ar/Publics/Actas.aspx?id=4U5E4JZk_SE=;https://gld.legislaturacba.gob.ar/Publics/Actas.aspx?id=kpbnrjpsjFQ=;https://gld.legislaturacba.gob.ar/Publics/Actas.aspx?id=pocfJl7Mq1g=" TargetMode="External"/><Relationship Id="rId1440" Type="http://schemas.openxmlformats.org/officeDocument/2006/relationships/hyperlink" Target="https://gld.legislaturacba.gob.ar/Publics/Actas.aspx?id=gPvuS2r-QWA=" TargetMode="External"/><Relationship Id="rId1538" Type="http://schemas.openxmlformats.org/officeDocument/2006/relationships/hyperlink" Target="https://www.youtube.com/watch?v=ztBCSpzmJMU" TargetMode="External"/><Relationship Id="rId1300" Type="http://schemas.openxmlformats.org/officeDocument/2006/relationships/hyperlink" Target="https://gld.legislaturacba.gob.ar/Publics/Actas.aspx?id=RYvSStNWDVI=;https://gld.legislaturacba.gob.ar/Publics/Actas.aspx?id=aKdUFWlTuTQ=;https://gld.legislaturacba.gob.ar/Publics/Actas.aspx?id=-iO8dahwLKo=" TargetMode="External"/><Relationship Id="rId1745" Type="http://schemas.openxmlformats.org/officeDocument/2006/relationships/hyperlink" Target="https://gld.legislaturacba.gob.ar/Publics/Actas.aspx?id=Bu9XMDWgVRE=;https://gld.legislaturacba.gob.ar/Publics/Actas.aspx?id=9kZf_tkSv9I=;https://gld.legislaturacba.gob.ar/Publics/Actas.aspx?id=0jXDObisALs=" TargetMode="External"/><Relationship Id="rId1952" Type="http://schemas.openxmlformats.org/officeDocument/2006/relationships/hyperlink" Target="https://gld.legislaturacba.gob.ar/Publics/Actas.aspx?id=H4ptXP01yok=" TargetMode="External"/><Relationship Id="rId37" Type="http://schemas.openxmlformats.org/officeDocument/2006/relationships/hyperlink" Target="https://gld.legislaturacba.gob.ar/Publics/Actas.aspx?id=05nq1TIMSso=" TargetMode="External"/><Relationship Id="rId1605" Type="http://schemas.openxmlformats.org/officeDocument/2006/relationships/hyperlink" Targe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TargetMode="External"/><Relationship Id="rId1812" Type="http://schemas.openxmlformats.org/officeDocument/2006/relationships/hyperlink" Target="https://www.youtube.com/watch?v=q74DYCrTEGc" TargetMode="External"/><Relationship Id="rId186" Type="http://schemas.openxmlformats.org/officeDocument/2006/relationships/hyperlink" Target="https://gld.legislaturacba.gob.ar/Publics/Actas.aspx?id=GbG3M9A6i8s=" TargetMode="External"/><Relationship Id="rId393" Type="http://schemas.openxmlformats.org/officeDocument/2006/relationships/hyperlink" Targe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74" Type="http://schemas.openxmlformats.org/officeDocument/2006/relationships/hyperlink" Target="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253" Type="http://schemas.openxmlformats.org/officeDocument/2006/relationships/hyperlink" Target="https://gld.legislaturacba.gob.ar/Publics/Actas.aspx?id=KFHAn9vxNos=" TargetMode="External"/><Relationship Id="rId460" Type="http://schemas.openxmlformats.org/officeDocument/2006/relationships/hyperlink" Targe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98" Type="http://schemas.openxmlformats.org/officeDocument/2006/relationships/hyperlink" Target="https://gld.legislaturacba.gob.ar/Publics/Actas.aspx?id=RyDoqZbPMtM=;https://gld.legislaturacba.gob.ar/Publics/Actas.aspx?id=_0KyI6jZhVo=" TargetMode="External"/><Relationship Id="rId1090" Type="http://schemas.openxmlformats.org/officeDocument/2006/relationships/hyperlink" Target="https://gld.legislaturacba.gob.ar/Publics/Actas.aspx?id=Z4Q6z8X8III=" TargetMode="External"/><Relationship Id="rId113" Type="http://schemas.openxmlformats.org/officeDocument/2006/relationships/hyperlink" Target="https://gld.legislaturacba.gob.ar/Publics/Actas.aspx?id=g4UxmTFTTPk=" TargetMode="External"/><Relationship Id="rId320" Type="http://schemas.openxmlformats.org/officeDocument/2006/relationships/hyperlink" Target="https://www.youtube.com/watch?v=90lnND66oos" TargetMode="External"/><Relationship Id="rId558" Type="http://schemas.openxmlformats.org/officeDocument/2006/relationships/hyperlink" Target="https://gld.legislaturacba.gob.ar/Publics/Actas.aspx?id=3T-10Ie_BlA=" TargetMode="External"/><Relationship Id="rId765" Type="http://schemas.openxmlformats.org/officeDocument/2006/relationships/hyperlink" Target="https://gld.legislaturacba.gob.ar/Publics/Actas.aspx?id=tO6slmj3p6M=;https://gld.legislaturacba.gob.ar/Publics/Actas.aspx?id=apkd3TpmF1o=" TargetMode="External"/><Relationship Id="rId972" Type="http://schemas.openxmlformats.org/officeDocument/2006/relationships/hyperlink" Target="https://gld.legislaturacba.gob.ar/Publics/Actas.aspx?id=ysfIb-oHytE=" TargetMode="External"/><Relationship Id="rId1188" Type="http://schemas.openxmlformats.org/officeDocument/2006/relationships/hyperlink" Targe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95" Type="http://schemas.openxmlformats.org/officeDocument/2006/relationships/hyperlink" Target="https://gld.legislaturacba.gob.ar/Publics/Actas.aspx?id=vq_h92e6vkU=;https://gld.legislaturacba.gob.ar/Publics/Actas.aspx?id=jTWA2aW8Np8=" TargetMode="External"/><Relationship Id="rId2001" Type="http://schemas.openxmlformats.org/officeDocument/2006/relationships/hyperlink" Target="https://gld.legislaturacba.gob.ar/Publics/Actas.aspx?id=xxosVBwE1no=" TargetMode="External"/><Relationship Id="rId418" Type="http://schemas.openxmlformats.org/officeDocument/2006/relationships/hyperlink" Target="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25" Type="http://schemas.openxmlformats.org/officeDocument/2006/relationships/hyperlink" Target="https://www.youtube.com/watch?v=PSBFKu3piew" TargetMode="External"/><Relationship Id="rId832" Type="http://schemas.openxmlformats.org/officeDocument/2006/relationships/hyperlink" Target="https://www.youtube.com/watch?v=ZX748qaI8so" TargetMode="External"/><Relationship Id="rId1048" Type="http://schemas.openxmlformats.org/officeDocument/2006/relationships/hyperlink" Target="https://gld.legislaturacba.gob.ar/Publics/Actas.aspx?id=mbRHxobTh3g=;https://gld.legislaturacba.gob.ar/Publics/Actas.aspx?id=hvM3D8hFMyw=" TargetMode="External"/><Relationship Id="rId1255" Type="http://schemas.openxmlformats.org/officeDocument/2006/relationships/hyperlink" Targe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62" Type="http://schemas.openxmlformats.org/officeDocument/2006/relationships/hyperlink" Target="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115" Type="http://schemas.openxmlformats.org/officeDocument/2006/relationships/hyperlink" Target="https://www.youtube.com/watch?v=Y13rEIaPP7I" TargetMode="External"/><Relationship Id="rId1322" Type="http://schemas.openxmlformats.org/officeDocument/2006/relationships/hyperlink" Target="https://www.youtube.com/watch?v=OfcwC_9ek5o" TargetMode="External"/><Relationship Id="rId1767" Type="http://schemas.openxmlformats.org/officeDocument/2006/relationships/hyperlink" Target="https://gld.legislaturacba.gob.ar/Publics/Actas.aspx?id=sDs2CiZeX_s=" TargetMode="External"/><Relationship Id="rId1974" Type="http://schemas.openxmlformats.org/officeDocument/2006/relationships/hyperlink" Target="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9" Type="http://schemas.openxmlformats.org/officeDocument/2006/relationships/hyperlink" Targe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27" Type="http://schemas.openxmlformats.org/officeDocument/2006/relationships/hyperlink" Target="https://www.youtube.com/watch?v=oLiAO9mTVSM" TargetMode="External"/><Relationship Id="rId1834" Type="http://schemas.openxmlformats.org/officeDocument/2006/relationships/hyperlink" Target="https://gld.legislaturacba.gob.ar/Publics/Actas.aspx?id=CZn94RQiBpE=" TargetMode="External"/><Relationship Id="rId2096" Type="http://schemas.openxmlformats.org/officeDocument/2006/relationships/hyperlink" Target="https://www.youtube.com/watch?v=jGHmdHnE3qo" TargetMode="External"/><Relationship Id="rId1901" Type="http://schemas.openxmlformats.org/officeDocument/2006/relationships/hyperlink" Target="https://gld.legislaturacba.gob.ar/Publics/Actas.aspx?id=6RyHc34pvPQ=;https://gld.legislaturacba.gob.ar/Publics/Actas.aspx?id=lntnUHabJdg=;https://gld.legislaturacba.gob.ar/Publics/Actas.aspx?id=xXJzwDiTwBQ=" TargetMode="External"/><Relationship Id="rId275" Type="http://schemas.openxmlformats.org/officeDocument/2006/relationships/hyperlink" Target="https://gld.legislaturacba.gob.ar/Publics/Actas.aspx?id=SrgkloHQ82k=" TargetMode="External"/><Relationship Id="rId482" Type="http://schemas.openxmlformats.org/officeDocument/2006/relationships/hyperlink" Target="https://gld.legislaturacba.gob.ar/Publics/Actas.aspx?id=6ZRa_6WmIj4=;https://gld.legislaturacba.gob.ar/Publics/Actas.aspx?id=PCgUn_X273I=;https://gld.legislaturacba.gob.ar/Publics/Actas.aspx?id=r-WtQ-tqZxY=" TargetMode="External"/><Relationship Id="rId135" Type="http://schemas.openxmlformats.org/officeDocument/2006/relationships/hyperlink" Targe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2" Type="http://schemas.openxmlformats.org/officeDocument/2006/relationships/hyperlink" Target="https://gld.legislaturacba.gob.ar/Publics/Actas.aspx?id=5zY69mbZrZg=;https://gld.legislaturacba.gob.ar/Publics/Actas.aspx?id=PfSUe_9VIj8=" TargetMode="External"/><Relationship Id="rId787" Type="http://schemas.openxmlformats.org/officeDocument/2006/relationships/hyperlink" Targe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94" Type="http://schemas.openxmlformats.org/officeDocument/2006/relationships/hyperlink" Target="https://www.youtube.com/watch?v=JrVTLPfTEaY" TargetMode="External"/><Relationship Id="rId2023" Type="http://schemas.openxmlformats.org/officeDocument/2006/relationships/hyperlink" Target="https://www.youtube.com/watch?v=GxBEFobw4ZA" TargetMode="External"/><Relationship Id="rId202" Type="http://schemas.openxmlformats.org/officeDocument/2006/relationships/hyperlink" Target="https://gld.legislaturacba.gob.ar/Publics/Actas.aspx?id=hZXs_FwvcZ8=" TargetMode="External"/><Relationship Id="rId647" Type="http://schemas.openxmlformats.org/officeDocument/2006/relationships/hyperlink" Target="https://www.youtube.com/watch?v=oyKsXPSxQ8U" TargetMode="External"/><Relationship Id="rId854" Type="http://schemas.openxmlformats.org/officeDocument/2006/relationships/hyperlink" Target="https://gld.legislaturacba.gob.ar/Publics/Actas.aspx?id=4uhqqiSZEQY=;https://gld.legislaturacba.gob.ar/Publics/Actas.aspx?id=nzR3oamYFuw=" TargetMode="External"/><Relationship Id="rId1277" Type="http://schemas.openxmlformats.org/officeDocument/2006/relationships/hyperlink" Targe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84" Type="http://schemas.openxmlformats.org/officeDocument/2006/relationships/hyperlink" Target="https://gld.legislaturacba.gob.ar/Publics/Actas.aspx?id=QgfIgsvT50I=;https://gld.legislaturacba.gob.ar/Publics/Actas.aspx?id=AWIeX2MQvNE=" TargetMode="External"/><Relationship Id="rId1691" Type="http://schemas.openxmlformats.org/officeDocument/2006/relationships/hyperlink" Target="https://gld.legislaturacba.gob.ar/Publics/Actas.aspx?id=pVwhKDlCzQ8=;https://gld.legislaturacba.gob.ar/Publics/Actas.aspx?id=nSdSm_HZW1M=" TargetMode="External"/><Relationship Id="rId507" Type="http://schemas.openxmlformats.org/officeDocument/2006/relationships/hyperlink" Targe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4" Type="http://schemas.openxmlformats.org/officeDocument/2006/relationships/hyperlink" Targe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1" Type="http://schemas.openxmlformats.org/officeDocument/2006/relationships/hyperlink" Targe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37" Type="http://schemas.openxmlformats.org/officeDocument/2006/relationships/hyperlink" Target="https://www.youtube.com/watch?v=8IsZsIKrGig" TargetMode="External"/><Relationship Id="rId1344" Type="http://schemas.openxmlformats.org/officeDocument/2006/relationships/hyperlink" Target="https://gld.legislaturacba.gob.ar/Publics/Actas.aspx?id=Odv8BFo0s_k=" TargetMode="External"/><Relationship Id="rId1551" Type="http://schemas.openxmlformats.org/officeDocument/2006/relationships/hyperlink" Target="https://gld.legislaturacba.gob.ar/Publics/Actas.aspx?id=aSn5c-NtTFY=;https://gld.legislaturacba.gob.ar/Publics/Actas.aspx?id=3kGc6UNOcxU=" TargetMode="External"/><Relationship Id="rId1789" Type="http://schemas.openxmlformats.org/officeDocument/2006/relationships/hyperlink" Target="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96" Type="http://schemas.openxmlformats.org/officeDocument/2006/relationships/hyperlink" Target="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50" Type="http://schemas.openxmlformats.org/officeDocument/2006/relationships/hyperlink" Targe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04" Type="http://schemas.openxmlformats.org/officeDocument/2006/relationships/hyperlink" Targe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411" Type="http://schemas.openxmlformats.org/officeDocument/2006/relationships/hyperlink" Target="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49" Type="http://schemas.openxmlformats.org/officeDocument/2006/relationships/hyperlink" Target="https://gld.legislaturacba.gob.ar/Publics/Actas.aspx?id=jWp3de-bQPQ=" TargetMode="External"/><Relationship Id="rId1856" Type="http://schemas.openxmlformats.org/officeDocument/2006/relationships/hyperlink" Target="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509" Type="http://schemas.openxmlformats.org/officeDocument/2006/relationships/hyperlink" Target="https://gld.legislaturacba.gob.ar/Publics/Actas.aspx?id=adN1VgXm7Jc=;https://gld.legislaturacba.gob.ar/Publics/Actas.aspx?id=5rjiXF-CazA=;https://gld.legislaturacba.gob.ar/Publics/Actas.aspx?id=7McDwR8Bye4=;https://gld.legislaturacba.gob.ar/Publics/Actas.aspx?id=GWGmxjdxlDo=" TargetMode="External"/><Relationship Id="rId1716" Type="http://schemas.openxmlformats.org/officeDocument/2006/relationships/hyperlink" Targe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23" Type="http://schemas.openxmlformats.org/officeDocument/2006/relationships/hyperlink" Target="https://www.youtube.com/watch?v=BemX7HhBQAk" TargetMode="External"/><Relationship Id="rId297" Type="http://schemas.openxmlformats.org/officeDocument/2006/relationships/hyperlink" Target="https://gld.legislaturacba.gob.ar/Publics/Actas.aspx?id=rNuySbc59e4=" TargetMode="External"/><Relationship Id="rId157" Type="http://schemas.openxmlformats.org/officeDocument/2006/relationships/hyperlink" Targe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4" Type="http://schemas.openxmlformats.org/officeDocument/2006/relationships/hyperlink" Target="https://www.youtube.com/watch?v=_bZ4GO_otlM" TargetMode="External"/><Relationship Id="rId2045" Type="http://schemas.openxmlformats.org/officeDocument/2006/relationships/hyperlink" Target="https://www.youtube.com/watch?v=pRmlcIL_haE" TargetMode="External"/><Relationship Id="rId571" Type="http://schemas.openxmlformats.org/officeDocument/2006/relationships/hyperlink" Targe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9" Type="http://schemas.openxmlformats.org/officeDocument/2006/relationships/hyperlink" Target="https://gld.legislaturacba.gob.ar/Publics/Actas.aspx?id=r0JHAId7A7Q=" TargetMode="External"/><Relationship Id="rId876" Type="http://schemas.openxmlformats.org/officeDocument/2006/relationships/hyperlink" Targe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99" Type="http://schemas.openxmlformats.org/officeDocument/2006/relationships/hyperlink" Target="https://www.youtube.com/watch?v=0KHVoD7Sm10" TargetMode="External"/><Relationship Id="rId224" Type="http://schemas.openxmlformats.org/officeDocument/2006/relationships/hyperlink" Target="https://gld.legislaturacba.gob.ar/Publics/Actas.aspx?id=qs9q-YlEAIU=" TargetMode="External"/><Relationship Id="rId431" Type="http://schemas.openxmlformats.org/officeDocument/2006/relationships/hyperlink" Target="https://www.youtube.com/watch?v=jIoQ5lJ13D4" TargetMode="External"/><Relationship Id="rId529" Type="http://schemas.openxmlformats.org/officeDocument/2006/relationships/hyperlink" Target="https://gld.legislaturacba.gob.ar/Publics/Actas.aspx?id=IvjjLPLBnvE=;https://gld.legislaturacba.gob.ar/Publics/Actas.aspx?id=UhNmx57rtvg=" TargetMode="External"/><Relationship Id="rId736" Type="http://schemas.openxmlformats.org/officeDocument/2006/relationships/hyperlink" Targe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061" Type="http://schemas.openxmlformats.org/officeDocument/2006/relationships/hyperlink" Target="https://gld.legislaturacba.gob.ar/Publics/Actas.aspx?id=rxi9_pwrpmk=;https://gld.legislaturacba.gob.ar/Publics/Actas.aspx?id=JaqBMqnEpVk=;https://gld.legislaturacba.gob.ar/Publics/Actas.aspx?id=_9xLcdg04aU=;https://gld.legislaturacba.gob.ar/Publics/Actas.aspx?id=fIp0B02BCYE=;https://gld.legislaturacba.gob.ar/Publics/Actas.aspx?id=Lf2s-7fnWOg=" TargetMode="External"/><Relationship Id="rId1159" Type="http://schemas.openxmlformats.org/officeDocument/2006/relationships/hyperlink" Targe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66" Type="http://schemas.openxmlformats.org/officeDocument/2006/relationships/hyperlink" Target="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12" Type="http://schemas.openxmlformats.org/officeDocument/2006/relationships/hyperlink" Target="https://www.youtube.com/watch?v=My8XfhDvm-8" TargetMode="External"/><Relationship Id="rId943" Type="http://schemas.openxmlformats.org/officeDocument/2006/relationships/hyperlink" Target="https://gld.legislaturacba.gob.ar/Publics/Actas.aspx?id=z5ZTO6JkY90=" TargetMode="External"/><Relationship Id="rId1019" Type="http://schemas.openxmlformats.org/officeDocument/2006/relationships/hyperlink" Target="https://gld.legislaturacba.gob.ar/Publics/Actas.aspx?id=s02NJisIHGY=" TargetMode="External"/><Relationship Id="rId1573" Type="http://schemas.openxmlformats.org/officeDocument/2006/relationships/hyperlink" Targe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TargetMode="External"/><Relationship Id="rId1780" Type="http://schemas.openxmlformats.org/officeDocument/2006/relationships/hyperlink" Target="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878" Type="http://schemas.openxmlformats.org/officeDocument/2006/relationships/hyperlink" Target="https://gld.legislaturacba.gob.ar/Publics/Actas.aspx?id=ozPghPo4spM=;https://gld.legislaturacba.gob.ar/Publics/Actas.aspx?id=F0U7XNDlbbw=" TargetMode="External"/><Relationship Id="rId72" Type="http://schemas.openxmlformats.org/officeDocument/2006/relationships/hyperlink" Target="https://gld.legislaturacba.gob.ar/Publics/Actas.aspx?id=7XiWl0SmqtE=" TargetMode="External"/><Relationship Id="rId803" Type="http://schemas.openxmlformats.org/officeDocument/2006/relationships/hyperlink" Target="https://www.youtube.com/watch?v=CvwOBWJqGiM" TargetMode="External"/><Relationship Id="rId1226" Type="http://schemas.openxmlformats.org/officeDocument/2006/relationships/hyperlink" Target="https://www.youtube.com/watch?v=PONSvQAOXLY" TargetMode="External"/><Relationship Id="rId1433" Type="http://schemas.openxmlformats.org/officeDocument/2006/relationships/hyperlink" Target="https://www.youtube.com/watch?v=Or4RWCZcT48" TargetMode="External"/><Relationship Id="rId1640" Type="http://schemas.openxmlformats.org/officeDocument/2006/relationships/hyperlink" Target="https://gld.legislaturacba.gob.ar/Publics/Actas.aspx?id=lQRN_lf1RYE=" TargetMode="External"/><Relationship Id="rId1738" Type="http://schemas.openxmlformats.org/officeDocument/2006/relationships/hyperlink" Target="https://www.youtube.com/watch?v=HuVeWCA3Iqc" TargetMode="External"/><Relationship Id="rId1500" Type="http://schemas.openxmlformats.org/officeDocument/2006/relationships/hyperlink" Target="https://gld.legislaturacba.gob.ar/Publics/Actas.aspx?id=4EW_rBWIutU=" TargetMode="External"/><Relationship Id="rId1945" Type="http://schemas.openxmlformats.org/officeDocument/2006/relationships/hyperlink" Target="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1805" Type="http://schemas.openxmlformats.org/officeDocument/2006/relationships/hyperlink" Target="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9" Type="http://schemas.openxmlformats.org/officeDocument/2006/relationships/hyperlink" Targe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6" Type="http://schemas.openxmlformats.org/officeDocument/2006/relationships/hyperlink" Targe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3" Type="http://schemas.openxmlformats.org/officeDocument/2006/relationships/hyperlink" Target="https://gld.legislaturacba.gob.ar/Publics/Actas.aspx?id=MBANNCC_cms=" TargetMode="External"/><Relationship Id="rId2067" Type="http://schemas.openxmlformats.org/officeDocument/2006/relationships/hyperlink" Target="https://www.youtube.com/watch?v=7dBO7mX9ldk" TargetMode="External"/><Relationship Id="rId246" Type="http://schemas.openxmlformats.org/officeDocument/2006/relationships/hyperlink" Target="https://www.youtube.com/watch?v=MADXHdHhY2Q" TargetMode="External"/><Relationship Id="rId453" Type="http://schemas.openxmlformats.org/officeDocument/2006/relationships/hyperlink" Target="https://www.youtube.com/watch?v=IP6wcc8pYlY" TargetMode="External"/><Relationship Id="rId660" Type="http://schemas.openxmlformats.org/officeDocument/2006/relationships/hyperlink" Target="https://gld.legislaturacba.gob.ar/Publics/Actas.aspx?id=D3t1T2H1GDY=;https://gld.legislaturacba.gob.ar/Publics/Actas.aspx?id=V7Og8IUIWJg=" TargetMode="External"/><Relationship Id="rId898" Type="http://schemas.openxmlformats.org/officeDocument/2006/relationships/hyperlink" Target="https://www.youtube.com/watch?v=ipPhH4x6s5s" TargetMode="External"/><Relationship Id="rId1083" Type="http://schemas.openxmlformats.org/officeDocument/2006/relationships/hyperlink" Target="https://www.youtube.com/watch?v=GBUP35jvbEw" TargetMode="External"/><Relationship Id="rId1290" Type="http://schemas.openxmlformats.org/officeDocument/2006/relationships/hyperlink" Target="https://www.youtube.com/watch?v=RIlCrqnWAuU" TargetMode="External"/><Relationship Id="rId106" Type="http://schemas.openxmlformats.org/officeDocument/2006/relationships/hyperlink" Target="https://gld.legislaturacba.gob.ar/Publics/Actas.aspx?id=fkfnXSWbB_U=;https://gld.legislaturacba.gob.ar/Publics/Actas.aspx?id=8lFGCx5eMV4=" TargetMode="External"/><Relationship Id="rId313" Type="http://schemas.openxmlformats.org/officeDocument/2006/relationships/hyperlink" Targe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8" Type="http://schemas.openxmlformats.org/officeDocument/2006/relationships/hyperlink" Target="https://www.youtube.com/watch?v=dbHjvjs58R8" TargetMode="External"/><Relationship Id="rId965" Type="http://schemas.openxmlformats.org/officeDocument/2006/relationships/hyperlink" Target="https://www.youtube.com/watch?v=5n6UghT3J5o" TargetMode="External"/><Relationship Id="rId1150" Type="http://schemas.openxmlformats.org/officeDocument/2006/relationships/hyperlink" Targe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8" Type="http://schemas.openxmlformats.org/officeDocument/2006/relationships/hyperlink" Target="https://www.youtube.com/watch?v=6howXqxnqQA" TargetMode="External"/><Relationship Id="rId1595" Type="http://schemas.openxmlformats.org/officeDocument/2006/relationships/hyperlink" Target="https://gld.legislaturacba.gob.ar/Publics/Actas.aspx?id=1XpzP1nrTkc=;https://gld.legislaturacba.gob.ar/Publics/Actas.aspx?id=nfVzHLUO02I=" TargetMode="External"/><Relationship Id="rId94" Type="http://schemas.openxmlformats.org/officeDocument/2006/relationships/hyperlink" Target="https://www.youtube.com/watch?v=8agLeR4ew_Q" TargetMode="External"/><Relationship Id="rId520" Type="http://schemas.openxmlformats.org/officeDocument/2006/relationships/hyperlink" Target="https://www.youtube.com/watch?v=302h4bFsFjw" TargetMode="External"/><Relationship Id="rId618" Type="http://schemas.openxmlformats.org/officeDocument/2006/relationships/hyperlink" Targe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5" Type="http://schemas.openxmlformats.org/officeDocument/2006/relationships/hyperlink" Targe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48" Type="http://schemas.openxmlformats.org/officeDocument/2006/relationships/hyperlink" Target="https://gld.legislaturacba.gob.ar/Publics/Actas.aspx?id=jZBqtkLucxg=;https://gld.legislaturacba.gob.ar/Publics/Actas.aspx?id=3usMNl4AZfM=" TargetMode="External"/><Relationship Id="rId1455" Type="http://schemas.openxmlformats.org/officeDocument/2006/relationships/hyperlink" Target="https://gld.legislaturacba.gob.ar/Publics/Actas.aspx?id=XTznM6KEZPo=;https://gld.legislaturacba.gob.ar/Publics/Actas.aspx?id=LiBpMfRQnZA=" TargetMode="External"/><Relationship Id="rId1662" Type="http://schemas.openxmlformats.org/officeDocument/2006/relationships/hyperlink" Target="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010" Type="http://schemas.openxmlformats.org/officeDocument/2006/relationships/hyperlink" Target="https://www.youtube.com/watch?v=jEhxL5lNbik" TargetMode="External"/><Relationship Id="rId1108" Type="http://schemas.openxmlformats.org/officeDocument/2006/relationships/hyperlink" Targe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15" Type="http://schemas.openxmlformats.org/officeDocument/2006/relationships/hyperlink" Targe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67" Type="http://schemas.openxmlformats.org/officeDocument/2006/relationships/hyperlink" Target="https://gld.legislaturacba.gob.ar/Publics/Actas.aspx?id=8ragWnSsIEM=" TargetMode="External"/><Relationship Id="rId1522" Type="http://schemas.openxmlformats.org/officeDocument/2006/relationships/hyperlink" Target="https://gld.legislaturacba.gob.ar/Publics/Actas.aspx?id=btQVleqDoE0=" TargetMode="External"/><Relationship Id="rId21" Type="http://schemas.openxmlformats.org/officeDocument/2006/relationships/hyperlink" Target="https://gld.legislaturacba.gob.ar/Publics/Actas.aspx?id=htjkbebq8Dw=" TargetMode="External"/><Relationship Id="rId2089" Type="http://schemas.openxmlformats.org/officeDocument/2006/relationships/hyperlink" Target="https://www.youtube.com/watch?v=CW2mETQ4XhM" TargetMode="External"/><Relationship Id="rId268" Type="http://schemas.openxmlformats.org/officeDocument/2006/relationships/hyperlink" Target="https://gld.legislaturacba.gob.ar/Publics/Actas.aspx?id=jJTv-KiWCi8=;https://gld.legislaturacba.gob.ar/Publics/Actas.aspx?id=24pmfQb_IAE=" TargetMode="External"/><Relationship Id="rId475" Type="http://schemas.openxmlformats.org/officeDocument/2006/relationships/hyperlink" Target="https://www.youtube.com/watch?v=Ge0l9NFj9qg" TargetMode="External"/><Relationship Id="rId682" Type="http://schemas.openxmlformats.org/officeDocument/2006/relationships/hyperlink" Target="https://www.youtube.com/watch?v=9l_Mfb9-QEw" TargetMode="External"/><Relationship Id="rId128" Type="http://schemas.openxmlformats.org/officeDocument/2006/relationships/hyperlink" Target="https://gld.legislaturacba.gob.ar/Publics/Actas.aspx?id=hpVfcUhJmFk=" TargetMode="External"/><Relationship Id="rId335" Type="http://schemas.openxmlformats.org/officeDocument/2006/relationships/hyperlink" Target="https://www.youtube.com/watch?v=AvcfqDLIjJ0" TargetMode="External"/><Relationship Id="rId542" Type="http://schemas.openxmlformats.org/officeDocument/2006/relationships/hyperlink" Target="https://gld.legislaturacba.gob.ar/Publics/Actas.aspx?id=fLn_jKDwbf8=" TargetMode="External"/><Relationship Id="rId1172" Type="http://schemas.openxmlformats.org/officeDocument/2006/relationships/hyperlink" Target="https://www.youtube.com/watch?v=-iA2mMOyvao" TargetMode="External"/><Relationship Id="rId2016" Type="http://schemas.openxmlformats.org/officeDocument/2006/relationships/hyperlink" Target="https://www.youtube.com/watch?v=RH2aYnkn1UU" TargetMode="External"/><Relationship Id="rId402" Type="http://schemas.openxmlformats.org/officeDocument/2006/relationships/hyperlink" Targe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2" Type="http://schemas.openxmlformats.org/officeDocument/2006/relationships/hyperlink" Target="https://www.youtube.com/watch?v=1gKllbjM6pI" TargetMode="External"/><Relationship Id="rId1989" Type="http://schemas.openxmlformats.org/officeDocument/2006/relationships/hyperlink" Target="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 TargetMode="External"/><Relationship Id="rId1849" Type="http://schemas.openxmlformats.org/officeDocument/2006/relationships/hyperlink" Target="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92" Type="http://schemas.openxmlformats.org/officeDocument/2006/relationships/hyperlink" Target="https://gld.legislaturacba.gob.ar/Publics/Actas.aspx?id=D4FWBWSlL5c=" TargetMode="External"/><Relationship Id="rId1709" Type="http://schemas.openxmlformats.org/officeDocument/2006/relationships/hyperlink" Target="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1916" Type="http://schemas.openxmlformats.org/officeDocument/2006/relationships/hyperlink" Target="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 TargetMode="External"/><Relationship Id="rId2080" Type="http://schemas.openxmlformats.org/officeDocument/2006/relationships/hyperlink" Target="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869" Type="http://schemas.openxmlformats.org/officeDocument/2006/relationships/hyperlink" Target="https://gld.legislaturacba.gob.ar/Publics/Actas.aspx?id=YPCfw0f7iDc=" TargetMode="External"/><Relationship Id="rId1499" Type="http://schemas.openxmlformats.org/officeDocument/2006/relationships/hyperlink" Target="https://www.youtube.com/watch?v=EqpjedezNlk" TargetMode="External"/><Relationship Id="rId729" Type="http://schemas.openxmlformats.org/officeDocument/2006/relationships/hyperlink" Targe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359" Type="http://schemas.openxmlformats.org/officeDocument/2006/relationships/hyperlink" Target="https://gld.legislaturacba.gob.ar/Publics/Actas.aspx?id=8p1nhiia4Zw=" TargetMode="External"/><Relationship Id="rId936" Type="http://schemas.openxmlformats.org/officeDocument/2006/relationships/hyperlink" Targe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219" Type="http://schemas.openxmlformats.org/officeDocument/2006/relationships/hyperlink" Targe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566" Type="http://schemas.openxmlformats.org/officeDocument/2006/relationships/hyperlink" Target="https://gld.legislaturacba.gob.ar/Publics/Actas.aspx?id=pvnSyvW2C5s=;https://gld.legislaturacba.gob.ar/Publics/Actas.aspx?id=NmH8aTbQniA=" TargetMode="External"/><Relationship Id="rId1773" Type="http://schemas.openxmlformats.org/officeDocument/2006/relationships/hyperlink" Target="https://gld.legislaturacba.gob.ar/Publics/Actas.aspx?id=QeS3-8Coht0=" TargetMode="External"/><Relationship Id="rId1980" Type="http://schemas.openxmlformats.org/officeDocument/2006/relationships/hyperlink" Target="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 TargetMode="External"/><Relationship Id="rId65" Type="http://schemas.openxmlformats.org/officeDocument/2006/relationships/hyperlink" Target="https://gld.legislaturacba.gob.ar/Publics/Actas.aspx?id=dVHyxoNfHEg=" TargetMode="External"/><Relationship Id="rId1426" Type="http://schemas.openxmlformats.org/officeDocument/2006/relationships/hyperlink" Target="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633" Type="http://schemas.openxmlformats.org/officeDocument/2006/relationships/hyperlink" Target="https://www.youtube.com/watch?v=kYkxrHKzUco" TargetMode="External"/><Relationship Id="rId1840" Type="http://schemas.openxmlformats.org/officeDocument/2006/relationships/hyperlink" Target="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 TargetMode="External"/><Relationship Id="rId1700" Type="http://schemas.openxmlformats.org/officeDocument/2006/relationships/hyperlink" Target="https://gld.legislaturacba.gob.ar/Publics/Actas.aspx?id=apidZIVzDd4=" TargetMode="External"/><Relationship Id="rId379" Type="http://schemas.openxmlformats.org/officeDocument/2006/relationships/hyperlink" Target="https://gld.legislaturacba.gob.ar/Publics/Actas.aspx?id=VU0SBXKGIaM=;https://gld.legislaturacba.gob.ar/Publics/Actas.aspx?id=7M6Mt40IfIQ=" TargetMode="External"/><Relationship Id="rId586" Type="http://schemas.openxmlformats.org/officeDocument/2006/relationships/hyperlink" Targe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3" Type="http://schemas.openxmlformats.org/officeDocument/2006/relationships/hyperlink" Targe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39" Type="http://schemas.openxmlformats.org/officeDocument/2006/relationships/hyperlink" Target="https://gld.legislaturacba.gob.ar/Publics/Actas.aspx?id=vzuSkNqgoZM=;https://gld.legislaturacba.gob.ar/Publics/Actas.aspx?id=FNJwqNWZm3Y=" TargetMode="External"/><Relationship Id="rId446" Type="http://schemas.openxmlformats.org/officeDocument/2006/relationships/hyperlink" Target="https://gld.legislaturacba.gob.ar/Publics/Actas.aspx?id=gXAvmCNWmB8=;https://gld.legislaturacba.gob.ar/Publics/Actas.aspx?id=1zwgInz6V2k=" TargetMode="External"/><Relationship Id="rId653" Type="http://schemas.openxmlformats.org/officeDocument/2006/relationships/hyperlink" Target="https://www.youtube.com/watch?v=_sEbHgZIPnQ" TargetMode="External"/><Relationship Id="rId1076" Type="http://schemas.openxmlformats.org/officeDocument/2006/relationships/hyperlink" Target="https://gld.legislaturacba.gob.ar/Publics/Actas.aspx?id=cHr1dT5HBkY=" TargetMode="External"/><Relationship Id="rId1283" Type="http://schemas.openxmlformats.org/officeDocument/2006/relationships/hyperlink" Targe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0" Type="http://schemas.openxmlformats.org/officeDocument/2006/relationships/hyperlink" Target="https://gld.legislaturacba.gob.ar/Publics/Actas.aspx?id=yL_YoMoSBk0=" TargetMode="External"/><Relationship Id="rId2127" Type="http://schemas.openxmlformats.org/officeDocument/2006/relationships/hyperlink" Target="https://www.youtube.com/watch?v=uW5UAHZps6A" TargetMode="External"/><Relationship Id="rId306" Type="http://schemas.openxmlformats.org/officeDocument/2006/relationships/hyperlink" Targe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0" Type="http://schemas.openxmlformats.org/officeDocument/2006/relationships/hyperlink" Target="https://gld.legislaturacba.gob.ar/Publics/Actas.aspx?id=eaEIQ6Z2JKY=" TargetMode="External"/><Relationship Id="rId1143" Type="http://schemas.openxmlformats.org/officeDocument/2006/relationships/hyperlink" Target="https://www.youtube.com/watch?v=hGBmHhdqVy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355"/>
  <sheetViews>
    <sheetView tabSelected="1" workbookViewId="0">
      <pane xSplit="6" ySplit="1" topLeftCell="I1317" activePane="bottomRight" state="frozen"/>
      <selection pane="topRight" activeCell="G1" sqref="G1"/>
      <selection pane="bottomLeft" activeCell="A2" sqref="A2"/>
      <selection pane="bottomRight" activeCell="P1358" sqref="P1358"/>
    </sheetView>
  </sheetViews>
  <sheetFormatPr baseColWidth="10" defaultColWidth="12.5703125" defaultRowHeight="15.75" customHeight="1"/>
  <sheetData>
    <row r="1" spans="1:19" ht="12.75">
      <c r="A1" s="1" t="s">
        <v>0</v>
      </c>
      <c r="B1" s="1" t="s">
        <v>1</v>
      </c>
      <c r="C1" s="1" t="s">
        <v>2</v>
      </c>
      <c r="D1" s="2" t="s">
        <v>3</v>
      </c>
      <c r="E1" s="1" t="s">
        <v>4</v>
      </c>
      <c r="F1" s="1" t="s">
        <v>5</v>
      </c>
      <c r="G1" s="1" t="s">
        <v>6</v>
      </c>
      <c r="H1" s="1" t="s">
        <v>7</v>
      </c>
      <c r="I1" s="1" t="s">
        <v>8</v>
      </c>
      <c r="J1" s="3" t="s">
        <v>9</v>
      </c>
      <c r="K1" s="3" t="s">
        <v>10</v>
      </c>
      <c r="L1" s="4" t="s">
        <v>11</v>
      </c>
      <c r="M1" s="1" t="s">
        <v>12</v>
      </c>
      <c r="N1" s="5" t="s">
        <v>13</v>
      </c>
      <c r="O1" s="6" t="s">
        <v>14</v>
      </c>
      <c r="P1" s="6" t="s">
        <v>15</v>
      </c>
      <c r="Q1" s="7" t="s">
        <v>16</v>
      </c>
      <c r="R1" s="8" t="s">
        <v>17</v>
      </c>
      <c r="S1" s="9" t="s">
        <v>18</v>
      </c>
    </row>
    <row r="2" spans="1:19" ht="15.75" customHeight="1">
      <c r="A2" s="10">
        <v>1</v>
      </c>
      <c r="B2" s="10">
        <v>2020</v>
      </c>
      <c r="C2" s="11" t="s">
        <v>19</v>
      </c>
      <c r="D2" s="12">
        <v>43879</v>
      </c>
      <c r="E2" s="11" t="s">
        <v>20</v>
      </c>
      <c r="F2" s="1" t="s">
        <v>21</v>
      </c>
      <c r="G2" s="10">
        <v>1</v>
      </c>
      <c r="H2" s="10">
        <v>1</v>
      </c>
      <c r="I2" s="10">
        <v>1</v>
      </c>
      <c r="J2" s="13" t="s">
        <v>22</v>
      </c>
      <c r="K2" s="4" t="s">
        <v>23</v>
      </c>
      <c r="L2" s="14" t="s">
        <v>23</v>
      </c>
      <c r="M2" s="15" t="s">
        <v>24</v>
      </c>
      <c r="N2" s="11" t="s">
        <v>23</v>
      </c>
      <c r="O2" s="1" t="s">
        <v>20</v>
      </c>
      <c r="P2" s="6">
        <v>0</v>
      </c>
      <c r="Q2" s="7" t="s">
        <v>23</v>
      </c>
      <c r="R2" s="16" t="s">
        <v>23</v>
      </c>
      <c r="S2" s="17" t="s">
        <v>25</v>
      </c>
    </row>
    <row r="3" spans="1:19" ht="15.75" customHeight="1">
      <c r="A3" s="10">
        <v>2</v>
      </c>
      <c r="B3" s="10">
        <v>2020</v>
      </c>
      <c r="C3" s="11" t="s">
        <v>19</v>
      </c>
      <c r="D3" s="12">
        <v>43879</v>
      </c>
      <c r="E3" s="11" t="s">
        <v>20</v>
      </c>
      <c r="F3" s="1" t="s">
        <v>26</v>
      </c>
      <c r="G3" s="10">
        <v>1</v>
      </c>
      <c r="H3" s="10">
        <v>1</v>
      </c>
      <c r="I3" s="10">
        <v>1</v>
      </c>
      <c r="J3" s="13" t="s">
        <v>22</v>
      </c>
      <c r="K3" s="4" t="s">
        <v>23</v>
      </c>
      <c r="L3" s="14" t="s">
        <v>23</v>
      </c>
      <c r="M3" s="15" t="s">
        <v>24</v>
      </c>
      <c r="N3" s="11" t="s">
        <v>23</v>
      </c>
      <c r="O3" s="1" t="s">
        <v>20</v>
      </c>
      <c r="P3" s="1">
        <v>0</v>
      </c>
      <c r="Q3" s="7" t="s">
        <v>23</v>
      </c>
      <c r="R3" s="16" t="s">
        <v>23</v>
      </c>
      <c r="S3" s="17" t="s">
        <v>27</v>
      </c>
    </row>
    <row r="4" spans="1:19" ht="15.75" customHeight="1">
      <c r="A4" s="10">
        <v>3</v>
      </c>
      <c r="B4" s="10">
        <v>2020</v>
      </c>
      <c r="C4" s="11" t="s">
        <v>19</v>
      </c>
      <c r="D4" s="12">
        <v>43879</v>
      </c>
      <c r="E4" s="11" t="s">
        <v>20</v>
      </c>
      <c r="F4" s="1" t="s">
        <v>28</v>
      </c>
      <c r="G4" s="10">
        <v>1</v>
      </c>
      <c r="H4" s="18">
        <v>3</v>
      </c>
      <c r="I4" s="10">
        <v>1</v>
      </c>
      <c r="J4" s="13" t="s">
        <v>22</v>
      </c>
      <c r="K4" s="4" t="s">
        <v>23</v>
      </c>
      <c r="L4" s="14" t="s">
        <v>23</v>
      </c>
      <c r="M4" s="15" t="s">
        <v>24</v>
      </c>
      <c r="N4" s="11" t="s">
        <v>23</v>
      </c>
      <c r="O4" s="1" t="s">
        <v>20</v>
      </c>
      <c r="P4" s="1">
        <v>0</v>
      </c>
      <c r="Q4" s="7" t="s">
        <v>23</v>
      </c>
      <c r="R4" s="16" t="s">
        <v>23</v>
      </c>
      <c r="S4" s="17" t="s">
        <v>29</v>
      </c>
    </row>
    <row r="5" spans="1:19" ht="15.75" customHeight="1">
      <c r="A5" s="10">
        <v>3</v>
      </c>
      <c r="B5" s="10">
        <v>2020</v>
      </c>
      <c r="C5" s="11" t="s">
        <v>19</v>
      </c>
      <c r="D5" s="12">
        <v>43879</v>
      </c>
      <c r="E5" s="11" t="s">
        <v>20</v>
      </c>
      <c r="F5" s="1" t="s">
        <v>28</v>
      </c>
      <c r="G5" s="10">
        <v>1</v>
      </c>
      <c r="H5" s="18">
        <v>3</v>
      </c>
      <c r="I5" s="18">
        <v>2</v>
      </c>
      <c r="J5" s="4" t="s">
        <v>30</v>
      </c>
      <c r="K5" s="4">
        <v>29506</v>
      </c>
      <c r="L5" s="14" t="s">
        <v>31</v>
      </c>
      <c r="M5" s="19" t="s">
        <v>32</v>
      </c>
      <c r="N5" s="4" t="s">
        <v>33</v>
      </c>
      <c r="O5" s="6" t="s">
        <v>23</v>
      </c>
      <c r="P5" s="6" t="s">
        <v>23</v>
      </c>
      <c r="Q5" s="7" t="s">
        <v>23</v>
      </c>
      <c r="R5" s="16" t="s">
        <v>23</v>
      </c>
      <c r="S5" s="20" t="s">
        <v>23</v>
      </c>
    </row>
    <row r="6" spans="1:19" ht="15.75" customHeight="1">
      <c r="A6" s="10">
        <v>3</v>
      </c>
      <c r="B6" s="10">
        <v>2020</v>
      </c>
      <c r="C6" s="11" t="s">
        <v>19</v>
      </c>
      <c r="D6" s="12">
        <v>43879</v>
      </c>
      <c r="E6" s="11" t="s">
        <v>20</v>
      </c>
      <c r="F6" s="1" t="s">
        <v>28</v>
      </c>
      <c r="G6" s="18">
        <v>1</v>
      </c>
      <c r="H6" s="18">
        <v>3</v>
      </c>
      <c r="I6" s="18">
        <v>3</v>
      </c>
      <c r="J6" s="4" t="s">
        <v>30</v>
      </c>
      <c r="K6" s="4">
        <v>29854</v>
      </c>
      <c r="L6" s="14" t="s">
        <v>31</v>
      </c>
      <c r="M6" s="19" t="s">
        <v>34</v>
      </c>
      <c r="N6" s="4" t="s">
        <v>33</v>
      </c>
      <c r="O6" s="6" t="s">
        <v>23</v>
      </c>
      <c r="P6" s="6" t="s">
        <v>23</v>
      </c>
      <c r="Q6" s="7" t="s">
        <v>23</v>
      </c>
      <c r="R6" s="16" t="s">
        <v>23</v>
      </c>
      <c r="S6" s="20" t="s">
        <v>23</v>
      </c>
    </row>
    <row r="7" spans="1:19" ht="15.75" customHeight="1">
      <c r="A7" s="10">
        <v>4</v>
      </c>
      <c r="B7" s="10">
        <v>2020</v>
      </c>
      <c r="C7" s="11" t="s">
        <v>19</v>
      </c>
      <c r="D7" s="12">
        <v>43879</v>
      </c>
      <c r="E7" s="11" t="s">
        <v>20</v>
      </c>
      <c r="F7" s="1" t="s">
        <v>35</v>
      </c>
      <c r="G7" s="10">
        <v>1</v>
      </c>
      <c r="H7" s="10">
        <v>1</v>
      </c>
      <c r="I7" s="10">
        <v>1</v>
      </c>
      <c r="J7" s="13" t="s">
        <v>22</v>
      </c>
      <c r="K7" s="4" t="s">
        <v>23</v>
      </c>
      <c r="L7" s="14" t="s">
        <v>23</v>
      </c>
      <c r="M7" s="15" t="s">
        <v>24</v>
      </c>
      <c r="N7" s="11" t="s">
        <v>23</v>
      </c>
      <c r="O7" s="1" t="s">
        <v>20</v>
      </c>
      <c r="P7" s="1">
        <v>0</v>
      </c>
      <c r="Q7" s="7" t="s">
        <v>23</v>
      </c>
      <c r="R7" s="16" t="s">
        <v>23</v>
      </c>
      <c r="S7" s="17" t="s">
        <v>36</v>
      </c>
    </row>
    <row r="8" spans="1:19" ht="15.75" customHeight="1">
      <c r="A8" s="10">
        <v>5</v>
      </c>
      <c r="B8" s="10">
        <v>2020</v>
      </c>
      <c r="C8" s="11" t="s">
        <v>19</v>
      </c>
      <c r="D8" s="12">
        <v>43879</v>
      </c>
      <c r="E8" s="11" t="s">
        <v>20</v>
      </c>
      <c r="F8" s="1" t="s">
        <v>37</v>
      </c>
      <c r="G8" s="10">
        <v>1</v>
      </c>
      <c r="H8" s="10">
        <v>1</v>
      </c>
      <c r="I8" s="10">
        <v>1</v>
      </c>
      <c r="J8" s="13" t="s">
        <v>22</v>
      </c>
      <c r="K8" s="4" t="s">
        <v>23</v>
      </c>
      <c r="L8" s="14" t="s">
        <v>23</v>
      </c>
      <c r="M8" s="15" t="s">
        <v>24</v>
      </c>
      <c r="N8" s="11" t="s">
        <v>23</v>
      </c>
      <c r="O8" s="1" t="s">
        <v>20</v>
      </c>
      <c r="P8" s="1">
        <v>0</v>
      </c>
      <c r="Q8" s="7" t="s">
        <v>23</v>
      </c>
      <c r="R8" s="16" t="s">
        <v>23</v>
      </c>
      <c r="S8" s="21" t="s">
        <v>38</v>
      </c>
    </row>
    <row r="9" spans="1:19" ht="15.75" customHeight="1">
      <c r="A9" s="10">
        <v>6</v>
      </c>
      <c r="B9" s="10">
        <v>2020</v>
      </c>
      <c r="C9" s="11" t="s">
        <v>19</v>
      </c>
      <c r="D9" s="12">
        <v>43879</v>
      </c>
      <c r="E9" s="11" t="s">
        <v>20</v>
      </c>
      <c r="F9" s="1" t="s">
        <v>39</v>
      </c>
      <c r="G9" s="10">
        <v>1</v>
      </c>
      <c r="H9" s="10">
        <v>1</v>
      </c>
      <c r="I9" s="10">
        <v>1</v>
      </c>
      <c r="J9" s="13" t="s">
        <v>22</v>
      </c>
      <c r="K9" s="4" t="s">
        <v>23</v>
      </c>
      <c r="L9" s="14" t="s">
        <v>23</v>
      </c>
      <c r="M9" s="15" t="s">
        <v>24</v>
      </c>
      <c r="N9" s="11" t="s">
        <v>23</v>
      </c>
      <c r="O9" s="1" t="s">
        <v>20</v>
      </c>
      <c r="P9" s="1">
        <v>0</v>
      </c>
      <c r="Q9" s="7" t="s">
        <v>23</v>
      </c>
      <c r="R9" s="16" t="s">
        <v>23</v>
      </c>
      <c r="S9" s="17" t="s">
        <v>40</v>
      </c>
    </row>
    <row r="10" spans="1:19" ht="15.75" customHeight="1">
      <c r="A10" s="10">
        <v>7</v>
      </c>
      <c r="B10" s="10">
        <v>2020</v>
      </c>
      <c r="C10" s="11" t="s">
        <v>19</v>
      </c>
      <c r="D10" s="12">
        <v>43879</v>
      </c>
      <c r="E10" s="11" t="s">
        <v>20</v>
      </c>
      <c r="F10" s="1" t="s">
        <v>41</v>
      </c>
      <c r="G10" s="10">
        <v>1</v>
      </c>
      <c r="H10" s="10">
        <v>1</v>
      </c>
      <c r="I10" s="10">
        <v>1</v>
      </c>
      <c r="J10" s="13" t="s">
        <v>22</v>
      </c>
      <c r="K10" s="4" t="s">
        <v>23</v>
      </c>
      <c r="L10" s="14" t="s">
        <v>23</v>
      </c>
      <c r="M10" s="15" t="s">
        <v>24</v>
      </c>
      <c r="N10" s="11" t="s">
        <v>23</v>
      </c>
      <c r="O10" s="1" t="s">
        <v>20</v>
      </c>
      <c r="P10" s="1">
        <v>0</v>
      </c>
      <c r="Q10" s="7" t="s">
        <v>23</v>
      </c>
      <c r="R10" s="16" t="s">
        <v>23</v>
      </c>
      <c r="S10" s="17" t="s">
        <v>42</v>
      </c>
    </row>
    <row r="11" spans="1:19" ht="15.75" customHeight="1">
      <c r="A11" s="10">
        <v>8</v>
      </c>
      <c r="B11" s="10">
        <v>2020</v>
      </c>
      <c r="C11" s="11" t="s">
        <v>19</v>
      </c>
      <c r="D11" s="12">
        <v>43879</v>
      </c>
      <c r="E11" s="11" t="s">
        <v>20</v>
      </c>
      <c r="F11" s="1" t="s">
        <v>43</v>
      </c>
      <c r="G11" s="10">
        <v>1</v>
      </c>
      <c r="H11" s="10">
        <v>1</v>
      </c>
      <c r="I11" s="10">
        <v>1</v>
      </c>
      <c r="J11" s="13" t="s">
        <v>22</v>
      </c>
      <c r="K11" s="4" t="s">
        <v>23</v>
      </c>
      <c r="L11" s="14" t="s">
        <v>23</v>
      </c>
      <c r="M11" s="15" t="s">
        <v>24</v>
      </c>
      <c r="N11" s="11" t="s">
        <v>23</v>
      </c>
      <c r="O11" s="1" t="s">
        <v>20</v>
      </c>
      <c r="P11" s="1">
        <v>0</v>
      </c>
      <c r="Q11" s="7" t="s">
        <v>23</v>
      </c>
      <c r="R11" s="16" t="s">
        <v>23</v>
      </c>
      <c r="S11" s="17" t="s">
        <v>44</v>
      </c>
    </row>
    <row r="12" spans="1:19" ht="15.75" customHeight="1">
      <c r="A12" s="10">
        <v>9</v>
      </c>
      <c r="B12" s="10">
        <v>2020</v>
      </c>
      <c r="C12" s="11" t="s">
        <v>19</v>
      </c>
      <c r="D12" s="12">
        <v>43879</v>
      </c>
      <c r="E12" s="11" t="s">
        <v>20</v>
      </c>
      <c r="F12" s="1" t="s">
        <v>45</v>
      </c>
      <c r="G12" s="10">
        <v>1</v>
      </c>
      <c r="H12" s="10">
        <v>1</v>
      </c>
      <c r="I12" s="10">
        <v>1</v>
      </c>
      <c r="J12" s="13" t="s">
        <v>22</v>
      </c>
      <c r="K12" s="4" t="s">
        <v>23</v>
      </c>
      <c r="L12" s="14" t="s">
        <v>23</v>
      </c>
      <c r="M12" s="15" t="s">
        <v>24</v>
      </c>
      <c r="N12" s="11" t="s">
        <v>23</v>
      </c>
      <c r="O12" s="1" t="s">
        <v>20</v>
      </c>
      <c r="P12" s="1">
        <v>0</v>
      </c>
      <c r="Q12" s="7" t="s">
        <v>23</v>
      </c>
      <c r="R12" s="16" t="s">
        <v>23</v>
      </c>
      <c r="S12" s="17" t="s">
        <v>46</v>
      </c>
    </row>
    <row r="13" spans="1:19" ht="15.75" customHeight="1">
      <c r="A13" s="10">
        <v>10</v>
      </c>
      <c r="B13" s="10">
        <v>2020</v>
      </c>
      <c r="C13" s="11" t="s">
        <v>19</v>
      </c>
      <c r="D13" s="12">
        <v>43880</v>
      </c>
      <c r="E13" s="11" t="s">
        <v>20</v>
      </c>
      <c r="F13" s="1" t="s">
        <v>47</v>
      </c>
      <c r="G13" s="10">
        <v>1</v>
      </c>
      <c r="H13" s="10">
        <v>1</v>
      </c>
      <c r="I13" s="10">
        <v>1</v>
      </c>
      <c r="J13" s="13" t="s">
        <v>22</v>
      </c>
      <c r="K13" s="4" t="s">
        <v>23</v>
      </c>
      <c r="L13" s="14" t="s">
        <v>23</v>
      </c>
      <c r="M13" s="15" t="s">
        <v>24</v>
      </c>
      <c r="N13" s="22" t="s">
        <v>23</v>
      </c>
      <c r="O13" s="1" t="s">
        <v>20</v>
      </c>
      <c r="P13" s="1">
        <v>0</v>
      </c>
      <c r="Q13" s="7" t="s">
        <v>23</v>
      </c>
      <c r="R13" s="16" t="s">
        <v>23</v>
      </c>
      <c r="S13" s="17" t="s">
        <v>48</v>
      </c>
    </row>
    <row r="14" spans="1:19" ht="15.75" customHeight="1">
      <c r="A14" s="10">
        <v>11</v>
      </c>
      <c r="B14" s="10">
        <v>2020</v>
      </c>
      <c r="C14" s="11" t="s">
        <v>19</v>
      </c>
      <c r="D14" s="12">
        <v>43880</v>
      </c>
      <c r="E14" s="11" t="s">
        <v>20</v>
      </c>
      <c r="F14" s="1" t="s">
        <v>49</v>
      </c>
      <c r="G14" s="10">
        <v>1</v>
      </c>
      <c r="H14" s="10">
        <v>1</v>
      </c>
      <c r="I14" s="10">
        <v>1</v>
      </c>
      <c r="J14" s="13" t="s">
        <v>22</v>
      </c>
      <c r="K14" s="4" t="s">
        <v>23</v>
      </c>
      <c r="L14" s="14" t="s">
        <v>23</v>
      </c>
      <c r="M14" s="15" t="s">
        <v>24</v>
      </c>
      <c r="N14" s="11" t="s">
        <v>23</v>
      </c>
      <c r="O14" s="1" t="s">
        <v>20</v>
      </c>
      <c r="P14" s="1">
        <v>0</v>
      </c>
      <c r="Q14" s="7" t="s">
        <v>23</v>
      </c>
      <c r="R14" s="16" t="s">
        <v>23</v>
      </c>
      <c r="S14" s="17" t="s">
        <v>50</v>
      </c>
    </row>
    <row r="15" spans="1:19" ht="15.75" customHeight="1">
      <c r="A15" s="10">
        <v>12</v>
      </c>
      <c r="B15" s="10">
        <v>2020</v>
      </c>
      <c r="C15" s="11" t="s">
        <v>19</v>
      </c>
      <c r="D15" s="12">
        <v>43880</v>
      </c>
      <c r="E15" s="11" t="s">
        <v>20</v>
      </c>
      <c r="F15" s="1" t="s">
        <v>51</v>
      </c>
      <c r="G15" s="10">
        <v>1</v>
      </c>
      <c r="H15" s="10">
        <v>1</v>
      </c>
      <c r="I15" s="10">
        <v>1</v>
      </c>
      <c r="J15" s="13" t="s">
        <v>22</v>
      </c>
      <c r="K15" s="4" t="s">
        <v>23</v>
      </c>
      <c r="L15" s="14" t="s">
        <v>23</v>
      </c>
      <c r="M15" s="15" t="s">
        <v>24</v>
      </c>
      <c r="N15" s="11" t="s">
        <v>23</v>
      </c>
      <c r="O15" s="1" t="s">
        <v>20</v>
      </c>
      <c r="P15" s="1">
        <v>0</v>
      </c>
      <c r="Q15" s="7" t="s">
        <v>23</v>
      </c>
      <c r="R15" s="16" t="s">
        <v>23</v>
      </c>
      <c r="S15" s="17" t="s">
        <v>52</v>
      </c>
    </row>
    <row r="16" spans="1:19" ht="15.75" customHeight="1">
      <c r="A16" s="10">
        <v>13</v>
      </c>
      <c r="B16" s="10">
        <v>2020</v>
      </c>
      <c r="C16" s="11" t="s">
        <v>19</v>
      </c>
      <c r="D16" s="12">
        <v>43880</v>
      </c>
      <c r="E16" s="11" t="s">
        <v>20</v>
      </c>
      <c r="F16" s="1" t="s">
        <v>53</v>
      </c>
      <c r="G16" s="10">
        <v>1</v>
      </c>
      <c r="H16" s="10">
        <v>1</v>
      </c>
      <c r="I16" s="10">
        <v>1</v>
      </c>
      <c r="J16" s="13" t="s">
        <v>22</v>
      </c>
      <c r="K16" s="4" t="s">
        <v>23</v>
      </c>
      <c r="L16" s="14" t="s">
        <v>23</v>
      </c>
      <c r="M16" s="15" t="s">
        <v>24</v>
      </c>
      <c r="N16" s="11" t="s">
        <v>23</v>
      </c>
      <c r="O16" s="1" t="s">
        <v>20</v>
      </c>
      <c r="P16" s="1">
        <v>0</v>
      </c>
      <c r="Q16" s="7" t="s">
        <v>23</v>
      </c>
      <c r="R16" s="16" t="s">
        <v>23</v>
      </c>
      <c r="S16" s="17" t="s">
        <v>54</v>
      </c>
    </row>
    <row r="17" spans="1:19" ht="15.75" customHeight="1">
      <c r="A17" s="10">
        <v>14</v>
      </c>
      <c r="B17" s="10">
        <v>2020</v>
      </c>
      <c r="C17" s="11" t="s">
        <v>19</v>
      </c>
      <c r="D17" s="12">
        <v>43880</v>
      </c>
      <c r="E17" s="11" t="s">
        <v>20</v>
      </c>
      <c r="F17" s="1" t="s">
        <v>55</v>
      </c>
      <c r="G17" s="10">
        <v>1</v>
      </c>
      <c r="H17" s="10">
        <v>1</v>
      </c>
      <c r="I17" s="10">
        <v>1</v>
      </c>
      <c r="J17" s="13" t="s">
        <v>22</v>
      </c>
      <c r="K17" s="4" t="s">
        <v>23</v>
      </c>
      <c r="L17" s="14" t="s">
        <v>23</v>
      </c>
      <c r="M17" s="15" t="s">
        <v>24</v>
      </c>
      <c r="N17" s="11" t="s">
        <v>23</v>
      </c>
      <c r="O17" s="1" t="s">
        <v>20</v>
      </c>
      <c r="P17" s="1">
        <v>0</v>
      </c>
      <c r="Q17" s="7" t="s">
        <v>23</v>
      </c>
      <c r="R17" s="16" t="s">
        <v>23</v>
      </c>
      <c r="S17" s="17" t="s">
        <v>56</v>
      </c>
    </row>
    <row r="18" spans="1:19" ht="15.75" customHeight="1">
      <c r="A18" s="10">
        <v>15</v>
      </c>
      <c r="B18" s="10">
        <v>2020</v>
      </c>
      <c r="C18" s="11" t="s">
        <v>19</v>
      </c>
      <c r="D18" s="12">
        <v>43887</v>
      </c>
      <c r="E18" s="11" t="s">
        <v>33</v>
      </c>
      <c r="F18" s="6" t="s">
        <v>57</v>
      </c>
      <c r="G18" s="10">
        <v>2</v>
      </c>
      <c r="H18" s="10">
        <v>1</v>
      </c>
      <c r="I18" s="10">
        <v>1</v>
      </c>
      <c r="J18" s="13" t="s">
        <v>30</v>
      </c>
      <c r="K18" s="13">
        <v>29850</v>
      </c>
      <c r="L18" s="14" t="s">
        <v>31</v>
      </c>
      <c r="M18" s="15" t="s">
        <v>58</v>
      </c>
      <c r="N18" s="4" t="s">
        <v>33</v>
      </c>
      <c r="O18" s="1" t="s">
        <v>20</v>
      </c>
      <c r="P18" s="1">
        <v>0</v>
      </c>
      <c r="Q18" s="7" t="s">
        <v>23</v>
      </c>
      <c r="R18" s="16" t="s">
        <v>23</v>
      </c>
      <c r="S18" s="23" t="s">
        <v>59</v>
      </c>
    </row>
    <row r="19" spans="1:19" ht="15.75" customHeight="1">
      <c r="A19" s="10">
        <v>16</v>
      </c>
      <c r="B19" s="10">
        <v>2020</v>
      </c>
      <c r="C19" s="11" t="s">
        <v>19</v>
      </c>
      <c r="D19" s="12">
        <v>43893</v>
      </c>
      <c r="E19" s="11" t="s">
        <v>33</v>
      </c>
      <c r="F19" s="6" t="s">
        <v>60</v>
      </c>
      <c r="G19" s="10">
        <v>2</v>
      </c>
      <c r="H19" s="10">
        <v>1</v>
      </c>
      <c r="I19" s="10">
        <v>1</v>
      </c>
      <c r="J19" s="13" t="s">
        <v>30</v>
      </c>
      <c r="K19" s="13">
        <v>29860</v>
      </c>
      <c r="L19" s="14" t="s">
        <v>61</v>
      </c>
      <c r="M19" s="15" t="s">
        <v>62</v>
      </c>
      <c r="N19" s="4" t="s">
        <v>20</v>
      </c>
      <c r="O19" s="1" t="s">
        <v>33</v>
      </c>
      <c r="P19" s="1">
        <v>1</v>
      </c>
      <c r="Q19" s="7" t="s">
        <v>23</v>
      </c>
      <c r="R19" s="16" t="s">
        <v>23</v>
      </c>
      <c r="S19" s="24" t="s">
        <v>63</v>
      </c>
    </row>
    <row r="20" spans="1:19" ht="15.75" customHeight="1">
      <c r="A20" s="10">
        <v>17</v>
      </c>
      <c r="B20" s="10">
        <v>2020</v>
      </c>
      <c r="C20" s="11" t="s">
        <v>19</v>
      </c>
      <c r="D20" s="12">
        <v>43893</v>
      </c>
      <c r="E20" s="11" t="s">
        <v>20</v>
      </c>
      <c r="F20" s="1" t="s">
        <v>37</v>
      </c>
      <c r="G20" s="10">
        <v>1</v>
      </c>
      <c r="H20" s="10">
        <v>1</v>
      </c>
      <c r="I20" s="10">
        <v>1</v>
      </c>
      <c r="J20" s="13" t="s">
        <v>64</v>
      </c>
      <c r="K20" s="13">
        <v>29849</v>
      </c>
      <c r="L20" s="14" t="s">
        <v>31</v>
      </c>
      <c r="M20" s="19" t="s">
        <v>65</v>
      </c>
      <c r="N20" s="4" t="s">
        <v>33</v>
      </c>
      <c r="O20" s="11" t="s">
        <v>20</v>
      </c>
      <c r="P20" s="11">
        <v>0</v>
      </c>
      <c r="Q20" s="7" t="s">
        <v>23</v>
      </c>
      <c r="R20" s="16" t="s">
        <v>23</v>
      </c>
      <c r="S20" s="17" t="s">
        <v>66</v>
      </c>
    </row>
    <row r="21" spans="1:19" ht="15.75" customHeight="1">
      <c r="A21" s="10">
        <v>18</v>
      </c>
      <c r="B21" s="10">
        <v>2020</v>
      </c>
      <c r="C21" s="11" t="s">
        <v>19</v>
      </c>
      <c r="D21" s="12">
        <v>43893</v>
      </c>
      <c r="E21" s="11" t="s">
        <v>20</v>
      </c>
      <c r="F21" s="1" t="s">
        <v>67</v>
      </c>
      <c r="G21" s="10">
        <v>1</v>
      </c>
      <c r="H21" s="10">
        <v>1</v>
      </c>
      <c r="I21" s="10">
        <v>1</v>
      </c>
      <c r="J21" s="13" t="s">
        <v>22</v>
      </c>
      <c r="K21" s="4" t="s">
        <v>23</v>
      </c>
      <c r="L21" s="14" t="s">
        <v>23</v>
      </c>
      <c r="M21" s="15" t="s">
        <v>24</v>
      </c>
      <c r="N21" s="11" t="s">
        <v>23</v>
      </c>
      <c r="O21" s="1" t="s">
        <v>20</v>
      </c>
      <c r="P21" s="1">
        <v>0</v>
      </c>
      <c r="Q21" s="7" t="s">
        <v>23</v>
      </c>
      <c r="R21" s="16" t="s">
        <v>23</v>
      </c>
      <c r="S21" s="17" t="s">
        <v>68</v>
      </c>
    </row>
    <row r="22" spans="1:19" ht="15.75" customHeight="1">
      <c r="A22" s="10">
        <v>19</v>
      </c>
      <c r="B22" s="10">
        <v>2020</v>
      </c>
      <c r="C22" s="11" t="s">
        <v>19</v>
      </c>
      <c r="D22" s="12">
        <v>43893</v>
      </c>
      <c r="E22" s="11" t="s">
        <v>20</v>
      </c>
      <c r="F22" s="1" t="s">
        <v>39</v>
      </c>
      <c r="G22" s="10">
        <v>1</v>
      </c>
      <c r="H22" s="10">
        <v>2</v>
      </c>
      <c r="I22" s="10">
        <v>1</v>
      </c>
      <c r="J22" s="13" t="s">
        <v>22</v>
      </c>
      <c r="K22" s="4" t="s">
        <v>23</v>
      </c>
      <c r="L22" s="3" t="s">
        <v>23</v>
      </c>
      <c r="M22" s="16" t="s">
        <v>69</v>
      </c>
      <c r="N22" s="11" t="s">
        <v>23</v>
      </c>
      <c r="O22" s="1" t="s">
        <v>33</v>
      </c>
      <c r="P22" s="6">
        <v>5</v>
      </c>
      <c r="Q22" s="7" t="s">
        <v>23</v>
      </c>
      <c r="R22" s="16" t="s">
        <v>23</v>
      </c>
      <c r="S22" s="17" t="s">
        <v>70</v>
      </c>
    </row>
    <row r="23" spans="1:19" ht="15.75" customHeight="1">
      <c r="A23" s="10">
        <v>19</v>
      </c>
      <c r="B23" s="10">
        <v>2020</v>
      </c>
      <c r="C23" s="11" t="s">
        <v>19</v>
      </c>
      <c r="D23" s="12">
        <v>43893</v>
      </c>
      <c r="E23" s="11" t="s">
        <v>20</v>
      </c>
      <c r="F23" s="1" t="s">
        <v>39</v>
      </c>
      <c r="G23" s="10">
        <v>1</v>
      </c>
      <c r="H23" s="10">
        <v>2</v>
      </c>
      <c r="I23" s="10">
        <v>2</v>
      </c>
      <c r="J23" s="13" t="s">
        <v>71</v>
      </c>
      <c r="K23" s="13">
        <v>29882</v>
      </c>
      <c r="L23" s="14" t="s">
        <v>61</v>
      </c>
      <c r="M23" s="16" t="s">
        <v>72</v>
      </c>
      <c r="N23" s="4" t="s">
        <v>33</v>
      </c>
      <c r="O23" s="1" t="s">
        <v>23</v>
      </c>
      <c r="P23" s="1" t="s">
        <v>23</v>
      </c>
      <c r="Q23" s="7" t="s">
        <v>23</v>
      </c>
      <c r="R23" s="16" t="s">
        <v>23</v>
      </c>
      <c r="S23" s="20" t="s">
        <v>23</v>
      </c>
    </row>
    <row r="24" spans="1:19" ht="15.75" customHeight="1">
      <c r="A24" s="10">
        <v>20</v>
      </c>
      <c r="B24" s="10">
        <v>2020</v>
      </c>
      <c r="C24" s="11" t="s">
        <v>19</v>
      </c>
      <c r="D24" s="12">
        <v>43893</v>
      </c>
      <c r="E24" s="11" t="s">
        <v>20</v>
      </c>
      <c r="F24" s="1" t="s">
        <v>73</v>
      </c>
      <c r="G24" s="10">
        <v>1</v>
      </c>
      <c r="H24" s="10">
        <v>1</v>
      </c>
      <c r="I24" s="10">
        <v>1</v>
      </c>
      <c r="J24" s="13" t="s">
        <v>22</v>
      </c>
      <c r="K24" s="4" t="s">
        <v>23</v>
      </c>
      <c r="L24" s="14" t="s">
        <v>23</v>
      </c>
      <c r="M24" s="15" t="s">
        <v>24</v>
      </c>
      <c r="N24" s="11" t="s">
        <v>23</v>
      </c>
      <c r="O24" s="1" t="s">
        <v>20</v>
      </c>
      <c r="P24" s="1">
        <v>0</v>
      </c>
      <c r="Q24" s="7" t="s">
        <v>23</v>
      </c>
      <c r="R24" s="16" t="s">
        <v>23</v>
      </c>
      <c r="S24" s="17" t="s">
        <v>74</v>
      </c>
    </row>
    <row r="25" spans="1:19" ht="15.75" customHeight="1">
      <c r="A25" s="10">
        <v>21</v>
      </c>
      <c r="B25" s="10">
        <v>2020</v>
      </c>
      <c r="C25" s="11" t="s">
        <v>19</v>
      </c>
      <c r="D25" s="12">
        <v>43893</v>
      </c>
      <c r="E25" s="11" t="s">
        <v>20</v>
      </c>
      <c r="F25" s="1" t="s">
        <v>41</v>
      </c>
      <c r="G25" s="10">
        <v>1</v>
      </c>
      <c r="H25" s="10">
        <v>1</v>
      </c>
      <c r="I25" s="10">
        <v>1</v>
      </c>
      <c r="J25" s="13" t="s">
        <v>22</v>
      </c>
      <c r="K25" s="4" t="s">
        <v>23</v>
      </c>
      <c r="L25" s="14" t="s">
        <v>23</v>
      </c>
      <c r="M25" s="15" t="s">
        <v>75</v>
      </c>
      <c r="N25" s="11" t="s">
        <v>23</v>
      </c>
      <c r="O25" s="1" t="s">
        <v>33</v>
      </c>
      <c r="P25" s="1">
        <v>1</v>
      </c>
      <c r="Q25" s="7" t="s">
        <v>23</v>
      </c>
      <c r="R25" s="16" t="s">
        <v>23</v>
      </c>
      <c r="S25" s="17" t="s">
        <v>76</v>
      </c>
    </row>
    <row r="26" spans="1:19" ht="15.75" customHeight="1">
      <c r="A26" s="10">
        <v>22</v>
      </c>
      <c r="B26" s="10">
        <v>2020</v>
      </c>
      <c r="C26" s="11" t="s">
        <v>19</v>
      </c>
      <c r="D26" s="12">
        <v>43894</v>
      </c>
      <c r="E26" s="11" t="s">
        <v>20</v>
      </c>
      <c r="F26" s="1" t="s">
        <v>47</v>
      </c>
      <c r="G26" s="10">
        <v>1</v>
      </c>
      <c r="H26" s="10">
        <v>1</v>
      </c>
      <c r="I26" s="10">
        <v>1</v>
      </c>
      <c r="J26" s="13" t="s">
        <v>30</v>
      </c>
      <c r="K26" s="13">
        <v>29791</v>
      </c>
      <c r="L26" s="14" t="s">
        <v>31</v>
      </c>
      <c r="M26" s="15" t="s">
        <v>77</v>
      </c>
      <c r="N26" s="25" t="s">
        <v>33</v>
      </c>
      <c r="O26" s="1" t="s">
        <v>20</v>
      </c>
      <c r="P26" s="1">
        <v>0</v>
      </c>
      <c r="Q26" s="7" t="s">
        <v>23</v>
      </c>
      <c r="R26" s="16" t="s">
        <v>23</v>
      </c>
      <c r="S26" s="17" t="s">
        <v>78</v>
      </c>
    </row>
    <row r="27" spans="1:19" ht="15.75" customHeight="1">
      <c r="A27" s="10">
        <v>23</v>
      </c>
      <c r="B27" s="10">
        <v>2020</v>
      </c>
      <c r="C27" s="11" t="s">
        <v>19</v>
      </c>
      <c r="D27" s="12">
        <v>43894</v>
      </c>
      <c r="E27" s="11" t="s">
        <v>20</v>
      </c>
      <c r="F27" s="1" t="s">
        <v>79</v>
      </c>
      <c r="G27" s="10">
        <v>1</v>
      </c>
      <c r="H27" s="10">
        <v>1</v>
      </c>
      <c r="I27" s="10">
        <v>1</v>
      </c>
      <c r="J27" s="13" t="s">
        <v>22</v>
      </c>
      <c r="K27" s="4" t="s">
        <v>23</v>
      </c>
      <c r="L27" s="14" t="s">
        <v>23</v>
      </c>
      <c r="M27" s="15" t="s">
        <v>24</v>
      </c>
      <c r="N27" s="11" t="s">
        <v>23</v>
      </c>
      <c r="O27" s="1" t="s">
        <v>20</v>
      </c>
      <c r="P27" s="1">
        <v>0</v>
      </c>
      <c r="Q27" s="7" t="s">
        <v>23</v>
      </c>
      <c r="R27" s="16" t="s">
        <v>23</v>
      </c>
      <c r="S27" s="17" t="s">
        <v>80</v>
      </c>
    </row>
    <row r="28" spans="1:19" ht="15.75" customHeight="1">
      <c r="A28" s="10">
        <v>24</v>
      </c>
      <c r="B28" s="10">
        <v>2020</v>
      </c>
      <c r="C28" s="11" t="s">
        <v>19</v>
      </c>
      <c r="D28" s="12">
        <v>43900</v>
      </c>
      <c r="E28" s="11" t="s">
        <v>20</v>
      </c>
      <c r="F28" s="1" t="s">
        <v>79</v>
      </c>
      <c r="G28" s="10">
        <v>1</v>
      </c>
      <c r="H28" s="10">
        <v>1</v>
      </c>
      <c r="I28" s="10">
        <v>1</v>
      </c>
      <c r="J28" s="13" t="s">
        <v>22</v>
      </c>
      <c r="K28" s="4" t="s">
        <v>23</v>
      </c>
      <c r="L28" s="14" t="s">
        <v>23</v>
      </c>
      <c r="M28" s="15" t="s">
        <v>81</v>
      </c>
      <c r="N28" s="11" t="s">
        <v>23</v>
      </c>
      <c r="O28" s="1" t="s">
        <v>20</v>
      </c>
      <c r="P28" s="1">
        <v>0</v>
      </c>
      <c r="Q28" s="7" t="s">
        <v>23</v>
      </c>
      <c r="R28" s="16" t="s">
        <v>23</v>
      </c>
      <c r="S28" s="17" t="s">
        <v>82</v>
      </c>
    </row>
    <row r="29" spans="1:19" ht="15.75" customHeight="1">
      <c r="A29" s="10">
        <v>25</v>
      </c>
      <c r="B29" s="10">
        <v>2020</v>
      </c>
      <c r="C29" s="11" t="s">
        <v>19</v>
      </c>
      <c r="D29" s="12">
        <v>43900</v>
      </c>
      <c r="E29" s="11" t="s">
        <v>33</v>
      </c>
      <c r="F29" s="6" t="s">
        <v>60</v>
      </c>
      <c r="G29" s="10">
        <v>2</v>
      </c>
      <c r="H29" s="10">
        <v>2</v>
      </c>
      <c r="I29" s="10">
        <v>1</v>
      </c>
      <c r="J29" s="13" t="s">
        <v>30</v>
      </c>
      <c r="K29" s="13">
        <v>29860</v>
      </c>
      <c r="L29" s="14" t="s">
        <v>61</v>
      </c>
      <c r="M29" s="16" t="s">
        <v>62</v>
      </c>
      <c r="N29" s="4" t="s">
        <v>33</v>
      </c>
      <c r="O29" s="1" t="s">
        <v>20</v>
      </c>
      <c r="P29" s="1">
        <v>0</v>
      </c>
      <c r="Q29" s="7" t="s">
        <v>23</v>
      </c>
      <c r="R29" s="16" t="s">
        <v>23</v>
      </c>
      <c r="S29" s="26" t="s">
        <v>83</v>
      </c>
    </row>
    <row r="30" spans="1:19" ht="15.75" customHeight="1">
      <c r="A30" s="10">
        <v>25</v>
      </c>
      <c r="B30" s="10">
        <v>2020</v>
      </c>
      <c r="C30" s="11" t="s">
        <v>19</v>
      </c>
      <c r="D30" s="12">
        <v>43900</v>
      </c>
      <c r="E30" s="11" t="s">
        <v>33</v>
      </c>
      <c r="F30" s="6" t="s">
        <v>60</v>
      </c>
      <c r="G30" s="10">
        <v>2</v>
      </c>
      <c r="H30" s="10">
        <v>2</v>
      </c>
      <c r="I30" s="10">
        <v>2</v>
      </c>
      <c r="J30" s="13" t="s">
        <v>30</v>
      </c>
      <c r="K30" s="13">
        <v>29961</v>
      </c>
      <c r="L30" s="14" t="s">
        <v>61</v>
      </c>
      <c r="M30" s="16" t="s">
        <v>84</v>
      </c>
      <c r="N30" s="4" t="s">
        <v>33</v>
      </c>
      <c r="O30" s="1" t="s">
        <v>23</v>
      </c>
      <c r="P30" s="1" t="s">
        <v>23</v>
      </c>
      <c r="Q30" s="7" t="s">
        <v>23</v>
      </c>
      <c r="R30" s="16" t="s">
        <v>23</v>
      </c>
      <c r="S30" s="20" t="s">
        <v>23</v>
      </c>
    </row>
    <row r="31" spans="1:19" ht="15.75" customHeight="1">
      <c r="A31" s="10">
        <v>26</v>
      </c>
      <c r="B31" s="10">
        <v>2020</v>
      </c>
      <c r="C31" s="11" t="s">
        <v>19</v>
      </c>
      <c r="D31" s="12">
        <v>43900</v>
      </c>
      <c r="E31" s="11" t="s">
        <v>20</v>
      </c>
      <c r="F31" s="1" t="s">
        <v>47</v>
      </c>
      <c r="G31" s="10">
        <v>1</v>
      </c>
      <c r="H31" s="10">
        <v>2</v>
      </c>
      <c r="I31" s="10">
        <v>1</v>
      </c>
      <c r="J31" s="13" t="s">
        <v>85</v>
      </c>
      <c r="K31" s="13">
        <v>29996</v>
      </c>
      <c r="L31" s="14" t="s">
        <v>61</v>
      </c>
      <c r="M31" s="16" t="s">
        <v>86</v>
      </c>
      <c r="N31" s="25" t="s">
        <v>20</v>
      </c>
      <c r="O31" s="1" t="s">
        <v>20</v>
      </c>
      <c r="P31" s="1">
        <v>0</v>
      </c>
      <c r="Q31" s="7" t="s">
        <v>23</v>
      </c>
      <c r="R31" s="16" t="s">
        <v>23</v>
      </c>
      <c r="S31" s="17" t="s">
        <v>87</v>
      </c>
    </row>
    <row r="32" spans="1:19" ht="15.75" customHeight="1">
      <c r="A32" s="10">
        <v>26</v>
      </c>
      <c r="B32" s="10">
        <v>2020</v>
      </c>
      <c r="C32" s="11" t="s">
        <v>19</v>
      </c>
      <c r="D32" s="12">
        <v>43900</v>
      </c>
      <c r="E32" s="11" t="s">
        <v>20</v>
      </c>
      <c r="F32" s="1" t="s">
        <v>47</v>
      </c>
      <c r="G32" s="10">
        <v>1</v>
      </c>
      <c r="H32" s="10">
        <v>2</v>
      </c>
      <c r="I32" s="10">
        <v>2</v>
      </c>
      <c r="J32" s="13" t="s">
        <v>85</v>
      </c>
      <c r="K32" s="13">
        <v>30035</v>
      </c>
      <c r="L32" s="14" t="s">
        <v>61</v>
      </c>
      <c r="M32" s="16" t="s">
        <v>88</v>
      </c>
      <c r="N32" s="25" t="s">
        <v>20</v>
      </c>
      <c r="O32" s="1" t="s">
        <v>23</v>
      </c>
      <c r="P32" s="1" t="s">
        <v>23</v>
      </c>
      <c r="Q32" s="7" t="s">
        <v>23</v>
      </c>
      <c r="R32" s="16" t="s">
        <v>23</v>
      </c>
      <c r="S32" s="20" t="s">
        <v>23</v>
      </c>
    </row>
    <row r="33" spans="1:19" ht="15.75" customHeight="1">
      <c r="A33" s="10">
        <v>27</v>
      </c>
      <c r="B33" s="10">
        <v>2020</v>
      </c>
      <c r="C33" s="11" t="s">
        <v>19</v>
      </c>
      <c r="D33" s="12">
        <v>43900</v>
      </c>
      <c r="E33" s="11" t="s">
        <v>20</v>
      </c>
      <c r="F33" s="1" t="s">
        <v>73</v>
      </c>
      <c r="G33" s="10">
        <v>1</v>
      </c>
      <c r="H33" s="10">
        <v>1</v>
      </c>
      <c r="I33" s="10">
        <v>1</v>
      </c>
      <c r="J33" s="13" t="s">
        <v>22</v>
      </c>
      <c r="K33" s="4" t="s">
        <v>23</v>
      </c>
      <c r="L33" s="14" t="s">
        <v>23</v>
      </c>
      <c r="M33" s="15" t="s">
        <v>89</v>
      </c>
      <c r="N33" s="11" t="s">
        <v>23</v>
      </c>
      <c r="O33" s="1" t="s">
        <v>33</v>
      </c>
      <c r="P33" s="1">
        <v>1</v>
      </c>
      <c r="Q33" s="7" t="s">
        <v>23</v>
      </c>
      <c r="R33" s="16" t="s">
        <v>23</v>
      </c>
      <c r="S33" s="17" t="s">
        <v>90</v>
      </c>
    </row>
    <row r="34" spans="1:19" ht="15.75" customHeight="1">
      <c r="A34" s="10">
        <v>28</v>
      </c>
      <c r="B34" s="10">
        <v>2020</v>
      </c>
      <c r="C34" s="11" t="s">
        <v>19</v>
      </c>
      <c r="D34" s="12">
        <v>43900</v>
      </c>
      <c r="E34" s="11" t="s">
        <v>20</v>
      </c>
      <c r="F34" s="1" t="s">
        <v>35</v>
      </c>
      <c r="G34" s="10">
        <v>1</v>
      </c>
      <c r="H34" s="10">
        <v>1</v>
      </c>
      <c r="I34" s="10">
        <v>1</v>
      </c>
      <c r="J34" s="13" t="s">
        <v>22</v>
      </c>
      <c r="K34" s="4" t="s">
        <v>23</v>
      </c>
      <c r="L34" s="14" t="s">
        <v>23</v>
      </c>
      <c r="M34" s="15" t="s">
        <v>91</v>
      </c>
      <c r="N34" s="11" t="s">
        <v>23</v>
      </c>
      <c r="O34" s="1" t="s">
        <v>33</v>
      </c>
      <c r="P34" s="1">
        <v>1</v>
      </c>
      <c r="Q34" s="7" t="s">
        <v>23</v>
      </c>
      <c r="R34" s="16" t="s">
        <v>23</v>
      </c>
      <c r="S34" s="17" t="s">
        <v>92</v>
      </c>
    </row>
    <row r="35" spans="1:19" ht="15.75" customHeight="1">
      <c r="A35" s="10">
        <v>29</v>
      </c>
      <c r="B35" s="10">
        <v>2020</v>
      </c>
      <c r="C35" s="11" t="s">
        <v>19</v>
      </c>
      <c r="D35" s="12">
        <v>43900</v>
      </c>
      <c r="E35" s="11" t="s">
        <v>20</v>
      </c>
      <c r="F35" s="1" t="s">
        <v>21</v>
      </c>
      <c r="G35" s="10">
        <v>1</v>
      </c>
      <c r="H35" s="10">
        <v>2</v>
      </c>
      <c r="I35" s="10">
        <v>1</v>
      </c>
      <c r="J35" s="13" t="s">
        <v>30</v>
      </c>
      <c r="K35" s="4" t="s">
        <v>23</v>
      </c>
      <c r="L35" s="27" t="s">
        <v>23</v>
      </c>
      <c r="M35" s="16" t="s">
        <v>93</v>
      </c>
      <c r="N35" s="11" t="s">
        <v>23</v>
      </c>
      <c r="O35" s="1" t="s">
        <v>20</v>
      </c>
      <c r="P35" s="1">
        <v>0</v>
      </c>
      <c r="Q35" s="7" t="s">
        <v>23</v>
      </c>
      <c r="R35" s="16" t="s">
        <v>23</v>
      </c>
      <c r="S35" s="17" t="s">
        <v>94</v>
      </c>
    </row>
    <row r="36" spans="1:19" ht="15.75" customHeight="1">
      <c r="A36" s="10">
        <v>29</v>
      </c>
      <c r="B36" s="10">
        <v>2020</v>
      </c>
      <c r="C36" s="11" t="s">
        <v>19</v>
      </c>
      <c r="D36" s="12">
        <v>43900</v>
      </c>
      <c r="E36" s="11" t="s">
        <v>20</v>
      </c>
      <c r="F36" s="1" t="s">
        <v>21</v>
      </c>
      <c r="G36" s="10">
        <v>1</v>
      </c>
      <c r="H36" s="10">
        <v>2</v>
      </c>
      <c r="I36" s="10">
        <v>2</v>
      </c>
      <c r="J36" s="13" t="s">
        <v>30</v>
      </c>
      <c r="K36" s="13">
        <v>29918</v>
      </c>
      <c r="L36" s="14" t="s">
        <v>61</v>
      </c>
      <c r="M36" s="16" t="s">
        <v>95</v>
      </c>
      <c r="N36" s="4" t="s">
        <v>20</v>
      </c>
      <c r="O36" s="1" t="s">
        <v>23</v>
      </c>
      <c r="P36" s="1" t="s">
        <v>23</v>
      </c>
      <c r="Q36" s="7" t="s">
        <v>23</v>
      </c>
      <c r="R36" s="16" t="s">
        <v>23</v>
      </c>
      <c r="S36" s="20" t="s">
        <v>23</v>
      </c>
    </row>
    <row r="37" spans="1:19" ht="15.75" customHeight="1">
      <c r="A37" s="10">
        <v>30</v>
      </c>
      <c r="B37" s="10">
        <v>2020</v>
      </c>
      <c r="C37" s="11" t="s">
        <v>19</v>
      </c>
      <c r="D37" s="12">
        <v>43901</v>
      </c>
      <c r="E37" s="11" t="s">
        <v>20</v>
      </c>
      <c r="F37" s="1" t="s">
        <v>96</v>
      </c>
      <c r="G37" s="10">
        <v>1</v>
      </c>
      <c r="H37" s="10">
        <v>1</v>
      </c>
      <c r="I37" s="10">
        <v>1</v>
      </c>
      <c r="J37" s="13" t="s">
        <v>22</v>
      </c>
      <c r="K37" s="4" t="s">
        <v>23</v>
      </c>
      <c r="L37" s="14" t="s">
        <v>23</v>
      </c>
      <c r="M37" s="15" t="s">
        <v>24</v>
      </c>
      <c r="N37" s="11" t="s">
        <v>23</v>
      </c>
      <c r="O37" s="1" t="s">
        <v>20</v>
      </c>
      <c r="P37" s="1">
        <v>0</v>
      </c>
      <c r="Q37" s="7" t="s">
        <v>23</v>
      </c>
      <c r="R37" s="16" t="s">
        <v>23</v>
      </c>
      <c r="S37" s="17" t="s">
        <v>97</v>
      </c>
    </row>
    <row r="38" spans="1:19" ht="15.75" customHeight="1">
      <c r="A38" s="10">
        <v>31</v>
      </c>
      <c r="B38" s="10">
        <v>2020</v>
      </c>
      <c r="C38" s="11" t="s">
        <v>19</v>
      </c>
      <c r="D38" s="12">
        <v>43901</v>
      </c>
      <c r="E38" s="11" t="s">
        <v>33</v>
      </c>
      <c r="F38" s="6" t="s">
        <v>98</v>
      </c>
      <c r="G38" s="10">
        <v>2</v>
      </c>
      <c r="H38" s="10">
        <v>2</v>
      </c>
      <c r="I38" s="10">
        <v>1</v>
      </c>
      <c r="J38" s="13" t="s">
        <v>30</v>
      </c>
      <c r="K38" s="13">
        <v>30064</v>
      </c>
      <c r="L38" s="14" t="s">
        <v>61</v>
      </c>
      <c r="M38" s="16" t="s">
        <v>99</v>
      </c>
      <c r="N38" s="4" t="s">
        <v>20</v>
      </c>
      <c r="O38" s="1" t="s">
        <v>20</v>
      </c>
      <c r="P38" s="1">
        <v>0</v>
      </c>
      <c r="Q38" s="7" t="s">
        <v>23</v>
      </c>
      <c r="R38" s="16" t="s">
        <v>23</v>
      </c>
      <c r="S38" s="24" t="s">
        <v>100</v>
      </c>
    </row>
    <row r="39" spans="1:19" ht="15.75" customHeight="1">
      <c r="A39" s="10">
        <v>31</v>
      </c>
      <c r="B39" s="10">
        <v>2020</v>
      </c>
      <c r="C39" s="11" t="s">
        <v>19</v>
      </c>
      <c r="D39" s="12">
        <v>43901</v>
      </c>
      <c r="E39" s="11" t="s">
        <v>33</v>
      </c>
      <c r="F39" s="6" t="s">
        <v>98</v>
      </c>
      <c r="G39" s="10">
        <v>2</v>
      </c>
      <c r="H39" s="10">
        <v>2</v>
      </c>
      <c r="I39" s="10">
        <v>2</v>
      </c>
      <c r="J39" s="13" t="s">
        <v>30</v>
      </c>
      <c r="K39" s="13">
        <v>29791</v>
      </c>
      <c r="L39" s="14" t="s">
        <v>31</v>
      </c>
      <c r="M39" s="16" t="s">
        <v>101</v>
      </c>
      <c r="N39" s="4" t="s">
        <v>33</v>
      </c>
      <c r="O39" s="1" t="s">
        <v>23</v>
      </c>
      <c r="P39" s="1" t="s">
        <v>23</v>
      </c>
      <c r="Q39" s="20" t="s">
        <v>23</v>
      </c>
      <c r="R39" s="16" t="s">
        <v>23</v>
      </c>
      <c r="S39" s="20" t="s">
        <v>23</v>
      </c>
    </row>
    <row r="40" spans="1:19" ht="15.75" customHeight="1">
      <c r="A40" s="10">
        <v>32</v>
      </c>
      <c r="B40" s="10">
        <v>2020</v>
      </c>
      <c r="C40" s="11" t="s">
        <v>102</v>
      </c>
      <c r="D40" s="12">
        <v>43935</v>
      </c>
      <c r="E40" s="11" t="s">
        <v>20</v>
      </c>
      <c r="F40" s="1" t="s">
        <v>55</v>
      </c>
      <c r="G40" s="10">
        <v>1</v>
      </c>
      <c r="H40" s="10">
        <v>2</v>
      </c>
      <c r="I40" s="10">
        <v>1</v>
      </c>
      <c r="J40" s="13" t="s">
        <v>30</v>
      </c>
      <c r="K40" s="13">
        <v>30177</v>
      </c>
      <c r="L40" s="14" t="s">
        <v>31</v>
      </c>
      <c r="M40" s="16" t="s">
        <v>103</v>
      </c>
      <c r="N40" s="4" t="s">
        <v>33</v>
      </c>
      <c r="O40" s="1" t="s">
        <v>33</v>
      </c>
      <c r="P40" s="1">
        <v>1</v>
      </c>
      <c r="Q40" s="28" t="s">
        <v>104</v>
      </c>
      <c r="R40" s="29" t="s">
        <v>105</v>
      </c>
      <c r="S40" s="17" t="s">
        <v>106</v>
      </c>
    </row>
    <row r="41" spans="1:19" ht="15.75" customHeight="1">
      <c r="A41" s="10">
        <v>32</v>
      </c>
      <c r="B41" s="10">
        <v>2020</v>
      </c>
      <c r="C41" s="11" t="s">
        <v>102</v>
      </c>
      <c r="D41" s="12">
        <v>43935</v>
      </c>
      <c r="E41" s="11" t="s">
        <v>20</v>
      </c>
      <c r="F41" s="1" t="s">
        <v>55</v>
      </c>
      <c r="G41" s="10">
        <v>1</v>
      </c>
      <c r="H41" s="10">
        <v>2</v>
      </c>
      <c r="I41" s="10">
        <v>2</v>
      </c>
      <c r="J41" s="13" t="s">
        <v>30</v>
      </c>
      <c r="K41" s="13">
        <v>30219</v>
      </c>
      <c r="L41" s="14" t="s">
        <v>31</v>
      </c>
      <c r="M41" s="16" t="s">
        <v>107</v>
      </c>
      <c r="N41" s="4" t="s">
        <v>33</v>
      </c>
      <c r="O41" s="1" t="s">
        <v>23</v>
      </c>
      <c r="P41" s="1" t="s">
        <v>23</v>
      </c>
      <c r="Q41" s="7" t="s">
        <v>23</v>
      </c>
      <c r="R41" s="15" t="s">
        <v>23</v>
      </c>
      <c r="S41" s="20" t="s">
        <v>23</v>
      </c>
    </row>
    <row r="42" spans="1:19" ht="15.75" customHeight="1">
      <c r="A42" s="10">
        <v>33</v>
      </c>
      <c r="B42" s="10">
        <v>2020</v>
      </c>
      <c r="C42" s="11" t="s">
        <v>102</v>
      </c>
      <c r="D42" s="12">
        <v>43950</v>
      </c>
      <c r="E42" s="11" t="s">
        <v>20</v>
      </c>
      <c r="F42" s="1" t="s">
        <v>51</v>
      </c>
      <c r="G42" s="10">
        <v>1</v>
      </c>
      <c r="H42" s="10">
        <v>1</v>
      </c>
      <c r="I42" s="10">
        <v>1</v>
      </c>
      <c r="J42" s="13" t="s">
        <v>22</v>
      </c>
      <c r="K42" s="4" t="s">
        <v>23</v>
      </c>
      <c r="L42" s="14" t="s">
        <v>23</v>
      </c>
      <c r="M42" s="15" t="s">
        <v>108</v>
      </c>
      <c r="N42" s="11" t="s">
        <v>23</v>
      </c>
      <c r="O42" s="1" t="s">
        <v>33</v>
      </c>
      <c r="P42" s="1">
        <v>1</v>
      </c>
      <c r="Q42" s="28" t="s">
        <v>109</v>
      </c>
      <c r="R42" s="29" t="s">
        <v>110</v>
      </c>
      <c r="S42" s="17" t="s">
        <v>111</v>
      </c>
    </row>
    <row r="43" spans="1:19" ht="15.75" customHeight="1">
      <c r="A43" s="10">
        <v>34</v>
      </c>
      <c r="B43" s="10">
        <v>2020</v>
      </c>
      <c r="C43" s="11" t="s">
        <v>102</v>
      </c>
      <c r="D43" s="12">
        <v>43956</v>
      </c>
      <c r="E43" s="11" t="s">
        <v>20</v>
      </c>
      <c r="F43" s="1" t="s">
        <v>41</v>
      </c>
      <c r="G43" s="10">
        <v>1</v>
      </c>
      <c r="H43" s="10">
        <v>1</v>
      </c>
      <c r="I43" s="10">
        <v>1</v>
      </c>
      <c r="J43" s="13" t="s">
        <v>22</v>
      </c>
      <c r="K43" s="4" t="s">
        <v>23</v>
      </c>
      <c r="L43" s="14" t="s">
        <v>23</v>
      </c>
      <c r="M43" s="15" t="s">
        <v>112</v>
      </c>
      <c r="N43" s="11" t="s">
        <v>23</v>
      </c>
      <c r="O43" s="1" t="s">
        <v>33</v>
      </c>
      <c r="P43" s="1">
        <v>1</v>
      </c>
      <c r="Q43" s="28" t="s">
        <v>113</v>
      </c>
      <c r="R43" s="29" t="s">
        <v>114</v>
      </c>
      <c r="S43" s="17" t="s">
        <v>115</v>
      </c>
    </row>
    <row r="44" spans="1:19" ht="15.75" customHeight="1">
      <c r="A44" s="10">
        <v>35</v>
      </c>
      <c r="B44" s="10">
        <v>2020</v>
      </c>
      <c r="C44" s="11" t="s">
        <v>102</v>
      </c>
      <c r="D44" s="12">
        <v>43957</v>
      </c>
      <c r="E44" s="11" t="s">
        <v>20</v>
      </c>
      <c r="F44" s="1" t="s">
        <v>26</v>
      </c>
      <c r="G44" s="10">
        <v>1</v>
      </c>
      <c r="H44" s="10">
        <v>1</v>
      </c>
      <c r="I44" s="10">
        <v>1</v>
      </c>
      <c r="J44" s="13" t="s">
        <v>22</v>
      </c>
      <c r="K44" s="4" t="s">
        <v>23</v>
      </c>
      <c r="L44" s="14" t="s">
        <v>23</v>
      </c>
      <c r="M44" s="15" t="s">
        <v>116</v>
      </c>
      <c r="N44" s="11" t="s">
        <v>23</v>
      </c>
      <c r="O44" s="1" t="s">
        <v>33</v>
      </c>
      <c r="P44" s="1">
        <v>1</v>
      </c>
      <c r="Q44" s="28" t="s">
        <v>117</v>
      </c>
      <c r="R44" s="29" t="s">
        <v>118</v>
      </c>
      <c r="S44" s="17" t="s">
        <v>119</v>
      </c>
    </row>
    <row r="45" spans="1:19" ht="15.75" customHeight="1">
      <c r="A45" s="10">
        <v>36</v>
      </c>
      <c r="B45" s="10">
        <v>2020</v>
      </c>
      <c r="C45" s="11" t="s">
        <v>102</v>
      </c>
      <c r="D45" s="12">
        <v>43958</v>
      </c>
      <c r="E45" s="11" t="s">
        <v>20</v>
      </c>
      <c r="F45" s="1" t="s">
        <v>67</v>
      </c>
      <c r="G45" s="10">
        <v>1</v>
      </c>
      <c r="H45" s="10">
        <v>1</v>
      </c>
      <c r="I45" s="10">
        <v>1</v>
      </c>
      <c r="J45" s="13" t="s">
        <v>22</v>
      </c>
      <c r="K45" s="4" t="s">
        <v>23</v>
      </c>
      <c r="L45" s="14" t="s">
        <v>23</v>
      </c>
      <c r="M45" s="15" t="s">
        <v>120</v>
      </c>
      <c r="N45" s="11" t="s">
        <v>23</v>
      </c>
      <c r="O45" s="1" t="s">
        <v>33</v>
      </c>
      <c r="P45" s="1">
        <v>2</v>
      </c>
      <c r="Q45" s="28" t="s">
        <v>121</v>
      </c>
      <c r="R45" s="29" t="s">
        <v>122</v>
      </c>
      <c r="S45" s="17" t="s">
        <v>123</v>
      </c>
    </row>
    <row r="46" spans="1:19" ht="15.75" customHeight="1">
      <c r="A46" s="10">
        <v>37</v>
      </c>
      <c r="B46" s="10">
        <v>2020</v>
      </c>
      <c r="C46" s="11" t="s">
        <v>102</v>
      </c>
      <c r="D46" s="12">
        <v>43963</v>
      </c>
      <c r="E46" s="11" t="s">
        <v>20</v>
      </c>
      <c r="F46" s="6" t="s">
        <v>124</v>
      </c>
      <c r="G46" s="10">
        <v>1</v>
      </c>
      <c r="H46" s="10">
        <v>1</v>
      </c>
      <c r="I46" s="10">
        <v>1</v>
      </c>
      <c r="J46" s="13" t="s">
        <v>22</v>
      </c>
      <c r="K46" s="4" t="s">
        <v>23</v>
      </c>
      <c r="L46" s="14" t="s">
        <v>23</v>
      </c>
      <c r="M46" s="15" t="s">
        <v>24</v>
      </c>
      <c r="N46" s="11" t="s">
        <v>23</v>
      </c>
      <c r="O46" s="1" t="s">
        <v>20</v>
      </c>
      <c r="P46" s="1">
        <v>0</v>
      </c>
      <c r="Q46" s="28" t="s">
        <v>125</v>
      </c>
      <c r="R46" s="29" t="s">
        <v>126</v>
      </c>
      <c r="S46" s="17" t="s">
        <v>127</v>
      </c>
    </row>
    <row r="47" spans="1:19" ht="15.75" customHeight="1">
      <c r="A47" s="10">
        <v>38</v>
      </c>
      <c r="B47" s="10">
        <v>2020</v>
      </c>
      <c r="C47" s="11" t="s">
        <v>102</v>
      </c>
      <c r="D47" s="12">
        <v>43963</v>
      </c>
      <c r="E47" s="11" t="s">
        <v>20</v>
      </c>
      <c r="F47" s="1" t="s">
        <v>73</v>
      </c>
      <c r="G47" s="10">
        <v>1</v>
      </c>
      <c r="H47" s="10">
        <v>1</v>
      </c>
      <c r="I47" s="10">
        <v>1</v>
      </c>
      <c r="J47" s="13" t="s">
        <v>22</v>
      </c>
      <c r="K47" s="4" t="s">
        <v>23</v>
      </c>
      <c r="L47" s="14" t="s">
        <v>23</v>
      </c>
      <c r="M47" s="15" t="s">
        <v>128</v>
      </c>
      <c r="N47" s="11" t="s">
        <v>23</v>
      </c>
      <c r="O47" s="1" t="s">
        <v>33</v>
      </c>
      <c r="P47" s="1">
        <v>1</v>
      </c>
      <c r="Q47" s="28" t="s">
        <v>129</v>
      </c>
      <c r="R47" s="29" t="s">
        <v>130</v>
      </c>
      <c r="S47" s="17" t="s">
        <v>131</v>
      </c>
    </row>
    <row r="48" spans="1:19" ht="15.75" customHeight="1">
      <c r="A48" s="10">
        <v>39</v>
      </c>
      <c r="B48" s="10">
        <v>2020</v>
      </c>
      <c r="C48" s="11" t="s">
        <v>102</v>
      </c>
      <c r="D48" s="12">
        <v>43964</v>
      </c>
      <c r="E48" s="11" t="s">
        <v>20</v>
      </c>
      <c r="F48" s="1" t="s">
        <v>45</v>
      </c>
      <c r="G48" s="10">
        <v>1</v>
      </c>
      <c r="H48" s="10">
        <v>1</v>
      </c>
      <c r="I48" s="10">
        <v>1</v>
      </c>
      <c r="J48" s="13" t="s">
        <v>22</v>
      </c>
      <c r="K48" s="4" t="s">
        <v>23</v>
      </c>
      <c r="L48" s="14" t="s">
        <v>23</v>
      </c>
      <c r="M48" s="15" t="s">
        <v>132</v>
      </c>
      <c r="N48" s="11" t="s">
        <v>23</v>
      </c>
      <c r="O48" s="1" t="s">
        <v>33</v>
      </c>
      <c r="P48" s="6">
        <v>2</v>
      </c>
      <c r="Q48" s="28" t="s">
        <v>133</v>
      </c>
      <c r="R48" s="29" t="s">
        <v>134</v>
      </c>
      <c r="S48" s="17" t="s">
        <v>135</v>
      </c>
    </row>
    <row r="49" spans="1:19" ht="15.75" customHeight="1">
      <c r="A49" s="10">
        <v>40</v>
      </c>
      <c r="B49" s="10">
        <v>2020</v>
      </c>
      <c r="C49" s="11" t="s">
        <v>102</v>
      </c>
      <c r="D49" s="12">
        <v>43965</v>
      </c>
      <c r="E49" s="11" t="s">
        <v>20</v>
      </c>
      <c r="F49" s="1" t="s">
        <v>47</v>
      </c>
      <c r="G49" s="10">
        <v>1</v>
      </c>
      <c r="H49" s="10">
        <v>1</v>
      </c>
      <c r="I49" s="10">
        <v>1</v>
      </c>
      <c r="J49" s="13" t="s">
        <v>22</v>
      </c>
      <c r="K49" s="4" t="s">
        <v>23</v>
      </c>
      <c r="L49" s="14" t="s">
        <v>23</v>
      </c>
      <c r="M49" s="15" t="s">
        <v>136</v>
      </c>
      <c r="N49" s="22" t="s">
        <v>23</v>
      </c>
      <c r="O49" s="1" t="s">
        <v>20</v>
      </c>
      <c r="P49" s="1">
        <v>0</v>
      </c>
      <c r="Q49" s="28" t="s">
        <v>137</v>
      </c>
      <c r="R49" s="29" t="s">
        <v>138</v>
      </c>
      <c r="S49" s="17" t="s">
        <v>139</v>
      </c>
    </row>
    <row r="50" spans="1:19" ht="15.75" customHeight="1">
      <c r="A50" s="10">
        <v>41</v>
      </c>
      <c r="B50" s="10">
        <v>2020</v>
      </c>
      <c r="C50" s="11" t="s">
        <v>102</v>
      </c>
      <c r="D50" s="12">
        <v>43965</v>
      </c>
      <c r="E50" s="11" t="s">
        <v>33</v>
      </c>
      <c r="F50" s="6" t="s">
        <v>98</v>
      </c>
      <c r="G50" s="10">
        <v>2</v>
      </c>
      <c r="H50" s="10">
        <v>1</v>
      </c>
      <c r="I50" s="10">
        <v>1</v>
      </c>
      <c r="J50" s="13" t="s">
        <v>30</v>
      </c>
      <c r="K50" s="13">
        <v>30064</v>
      </c>
      <c r="L50" s="14" t="s">
        <v>61</v>
      </c>
      <c r="M50" s="15" t="s">
        <v>99</v>
      </c>
      <c r="N50" s="4" t="s">
        <v>20</v>
      </c>
      <c r="O50" s="1" t="s">
        <v>20</v>
      </c>
      <c r="P50" s="1">
        <v>0</v>
      </c>
      <c r="Q50" s="28" t="s">
        <v>140</v>
      </c>
      <c r="R50" s="29" t="s">
        <v>141</v>
      </c>
      <c r="S50" s="30" t="s">
        <v>142</v>
      </c>
    </row>
    <row r="51" spans="1:19" ht="15.75" customHeight="1">
      <c r="A51" s="10">
        <v>42</v>
      </c>
      <c r="B51" s="10">
        <v>2020</v>
      </c>
      <c r="C51" s="11" t="s">
        <v>102</v>
      </c>
      <c r="D51" s="12">
        <v>43970</v>
      </c>
      <c r="E51" s="11" t="s">
        <v>33</v>
      </c>
      <c r="F51" s="6" t="s">
        <v>143</v>
      </c>
      <c r="G51" s="10">
        <v>2</v>
      </c>
      <c r="H51" s="10">
        <v>2</v>
      </c>
      <c r="I51" s="10">
        <v>1</v>
      </c>
      <c r="J51" s="13" t="s">
        <v>30</v>
      </c>
      <c r="K51" s="13">
        <v>29909</v>
      </c>
      <c r="L51" s="14" t="s">
        <v>31</v>
      </c>
      <c r="M51" s="16" t="s">
        <v>144</v>
      </c>
      <c r="N51" s="4" t="s">
        <v>33</v>
      </c>
      <c r="O51" s="1" t="s">
        <v>20</v>
      </c>
      <c r="P51" s="1">
        <v>0</v>
      </c>
      <c r="Q51" s="28" t="s">
        <v>145</v>
      </c>
      <c r="R51" s="15" t="s">
        <v>23</v>
      </c>
      <c r="S51" s="26" t="s">
        <v>146</v>
      </c>
    </row>
    <row r="52" spans="1:19" ht="15.75" customHeight="1">
      <c r="A52" s="10">
        <v>42</v>
      </c>
      <c r="B52" s="10">
        <v>2020</v>
      </c>
      <c r="C52" s="11" t="s">
        <v>102</v>
      </c>
      <c r="D52" s="12">
        <v>43970</v>
      </c>
      <c r="E52" s="11" t="s">
        <v>33</v>
      </c>
      <c r="F52" s="6" t="s">
        <v>143</v>
      </c>
      <c r="G52" s="10">
        <v>2</v>
      </c>
      <c r="H52" s="10">
        <v>2</v>
      </c>
      <c r="I52" s="10">
        <v>2</v>
      </c>
      <c r="J52" s="13" t="s">
        <v>30</v>
      </c>
      <c r="K52" s="13">
        <v>29910</v>
      </c>
      <c r="L52" s="14" t="s">
        <v>31</v>
      </c>
      <c r="M52" s="16" t="s">
        <v>147</v>
      </c>
      <c r="N52" s="4" t="s">
        <v>33</v>
      </c>
      <c r="O52" s="1" t="s">
        <v>23</v>
      </c>
      <c r="P52" s="1" t="s">
        <v>23</v>
      </c>
      <c r="Q52" s="7" t="s">
        <v>23</v>
      </c>
      <c r="R52" s="15" t="s">
        <v>23</v>
      </c>
      <c r="S52" s="20" t="s">
        <v>23</v>
      </c>
    </row>
    <row r="53" spans="1:19" ht="15.75" customHeight="1">
      <c r="A53" s="10">
        <v>43</v>
      </c>
      <c r="B53" s="10">
        <v>2020</v>
      </c>
      <c r="C53" s="11" t="s">
        <v>102</v>
      </c>
      <c r="D53" s="12">
        <v>43970</v>
      </c>
      <c r="E53" s="11" t="s">
        <v>20</v>
      </c>
      <c r="F53" s="1" t="s">
        <v>148</v>
      </c>
      <c r="G53" s="10">
        <v>1</v>
      </c>
      <c r="H53" s="10">
        <v>1</v>
      </c>
      <c r="I53" s="10">
        <v>1</v>
      </c>
      <c r="J53" s="13" t="s">
        <v>22</v>
      </c>
      <c r="K53" s="4" t="s">
        <v>23</v>
      </c>
      <c r="L53" s="14" t="s">
        <v>23</v>
      </c>
      <c r="M53" s="15" t="s">
        <v>149</v>
      </c>
      <c r="N53" s="11" t="s">
        <v>23</v>
      </c>
      <c r="O53" s="1" t="s">
        <v>33</v>
      </c>
      <c r="P53" s="6">
        <v>3</v>
      </c>
      <c r="Q53" s="28" t="s">
        <v>150</v>
      </c>
      <c r="R53" s="31" t="s">
        <v>23</v>
      </c>
      <c r="S53" s="17" t="s">
        <v>151</v>
      </c>
    </row>
    <row r="54" spans="1:19" ht="15.75" customHeight="1">
      <c r="A54" s="10">
        <v>44</v>
      </c>
      <c r="B54" s="10">
        <v>2020</v>
      </c>
      <c r="C54" s="11" t="s">
        <v>102</v>
      </c>
      <c r="D54" s="12">
        <v>43971</v>
      </c>
      <c r="E54" s="11" t="s">
        <v>20</v>
      </c>
      <c r="F54" s="1" t="s">
        <v>21</v>
      </c>
      <c r="G54" s="10">
        <v>1</v>
      </c>
      <c r="H54" s="10">
        <v>1</v>
      </c>
      <c r="I54" s="10">
        <v>1</v>
      </c>
      <c r="J54" s="13" t="s">
        <v>30</v>
      </c>
      <c r="K54" s="13">
        <v>30091</v>
      </c>
      <c r="L54" s="14" t="s">
        <v>61</v>
      </c>
      <c r="M54" s="15" t="s">
        <v>152</v>
      </c>
      <c r="N54" s="4" t="s">
        <v>20</v>
      </c>
      <c r="O54" s="1" t="s">
        <v>20</v>
      </c>
      <c r="P54" s="1">
        <v>0</v>
      </c>
      <c r="Q54" s="7" t="s">
        <v>23</v>
      </c>
      <c r="R54" s="15" t="s">
        <v>23</v>
      </c>
      <c r="S54" s="17" t="s">
        <v>153</v>
      </c>
    </row>
    <row r="55" spans="1:19" ht="15.75" customHeight="1">
      <c r="A55" s="10">
        <v>45</v>
      </c>
      <c r="B55" s="10">
        <v>2020</v>
      </c>
      <c r="C55" s="11" t="s">
        <v>102</v>
      </c>
      <c r="D55" s="12">
        <v>43972</v>
      </c>
      <c r="E55" s="11" t="s">
        <v>20</v>
      </c>
      <c r="F55" s="1" t="s">
        <v>43</v>
      </c>
      <c r="G55" s="10">
        <v>1</v>
      </c>
      <c r="H55" s="10">
        <v>1</v>
      </c>
      <c r="I55" s="10">
        <v>1</v>
      </c>
      <c r="J55" s="13" t="s">
        <v>22</v>
      </c>
      <c r="K55" s="4" t="s">
        <v>23</v>
      </c>
      <c r="L55" s="14" t="s">
        <v>23</v>
      </c>
      <c r="M55" s="15" t="s">
        <v>154</v>
      </c>
      <c r="N55" s="11" t="s">
        <v>23</v>
      </c>
      <c r="O55" s="1" t="s">
        <v>33</v>
      </c>
      <c r="P55" s="1">
        <v>1</v>
      </c>
      <c r="Q55" s="7" t="s">
        <v>23</v>
      </c>
      <c r="R55" s="29" t="s">
        <v>155</v>
      </c>
      <c r="S55" s="17" t="s">
        <v>156</v>
      </c>
    </row>
    <row r="56" spans="1:19" ht="15.75" customHeight="1">
      <c r="A56" s="10">
        <v>46</v>
      </c>
      <c r="B56" s="10">
        <v>2020</v>
      </c>
      <c r="C56" s="11" t="s">
        <v>102</v>
      </c>
      <c r="D56" s="12">
        <v>43977</v>
      </c>
      <c r="E56" s="11" t="s">
        <v>20</v>
      </c>
      <c r="F56" s="1" t="s">
        <v>51</v>
      </c>
      <c r="G56" s="10">
        <v>1</v>
      </c>
      <c r="H56" s="10">
        <v>2</v>
      </c>
      <c r="I56" s="10">
        <v>1</v>
      </c>
      <c r="J56" s="13" t="s">
        <v>30</v>
      </c>
      <c r="K56" s="13">
        <v>29816</v>
      </c>
      <c r="L56" s="3" t="s">
        <v>31</v>
      </c>
      <c r="M56" s="16" t="s">
        <v>157</v>
      </c>
      <c r="N56" s="4" t="s">
        <v>20</v>
      </c>
      <c r="O56" s="1" t="s">
        <v>20</v>
      </c>
      <c r="P56" s="1">
        <v>0</v>
      </c>
      <c r="Q56" s="7" t="s">
        <v>23</v>
      </c>
      <c r="R56" s="29" t="s">
        <v>158</v>
      </c>
      <c r="S56" s="17" t="s">
        <v>159</v>
      </c>
    </row>
    <row r="57" spans="1:19" ht="15.75" customHeight="1">
      <c r="A57" s="10">
        <v>46</v>
      </c>
      <c r="B57" s="10">
        <v>2020</v>
      </c>
      <c r="C57" s="11" t="s">
        <v>102</v>
      </c>
      <c r="D57" s="12">
        <v>43977</v>
      </c>
      <c r="E57" s="11" t="s">
        <v>20</v>
      </c>
      <c r="F57" s="1" t="s">
        <v>51</v>
      </c>
      <c r="G57" s="10">
        <v>1</v>
      </c>
      <c r="H57" s="10">
        <v>2</v>
      </c>
      <c r="I57" s="10">
        <v>2</v>
      </c>
      <c r="J57" s="13" t="s">
        <v>22</v>
      </c>
      <c r="K57" s="4" t="s">
        <v>23</v>
      </c>
      <c r="L57" s="14" t="s">
        <v>23</v>
      </c>
      <c r="M57" s="16" t="s">
        <v>160</v>
      </c>
      <c r="N57" s="11" t="s">
        <v>23</v>
      </c>
      <c r="O57" s="1" t="s">
        <v>23</v>
      </c>
      <c r="P57" s="1" t="s">
        <v>23</v>
      </c>
      <c r="Q57" s="7" t="s">
        <v>23</v>
      </c>
      <c r="R57" s="15" t="s">
        <v>23</v>
      </c>
      <c r="S57" s="20" t="s">
        <v>23</v>
      </c>
    </row>
    <row r="58" spans="1:19" ht="15.75" customHeight="1">
      <c r="A58" s="10">
        <v>47</v>
      </c>
      <c r="B58" s="10">
        <v>2020</v>
      </c>
      <c r="C58" s="11" t="s">
        <v>102</v>
      </c>
      <c r="D58" s="12">
        <v>43977</v>
      </c>
      <c r="E58" s="11" t="s">
        <v>20</v>
      </c>
      <c r="F58" s="1" t="s">
        <v>79</v>
      </c>
      <c r="G58" s="10">
        <v>1</v>
      </c>
      <c r="H58" s="10">
        <v>1</v>
      </c>
      <c r="I58" s="10">
        <v>1</v>
      </c>
      <c r="J58" s="13" t="s">
        <v>22</v>
      </c>
      <c r="K58" s="4" t="s">
        <v>23</v>
      </c>
      <c r="L58" s="14" t="s">
        <v>23</v>
      </c>
      <c r="M58" s="15" t="s">
        <v>161</v>
      </c>
      <c r="N58" s="11" t="s">
        <v>23</v>
      </c>
      <c r="O58" s="1" t="s">
        <v>20</v>
      </c>
      <c r="P58" s="1">
        <v>0</v>
      </c>
      <c r="Q58" s="28" t="s">
        <v>162</v>
      </c>
      <c r="R58" s="15" t="s">
        <v>23</v>
      </c>
      <c r="S58" s="17" t="s">
        <v>163</v>
      </c>
    </row>
    <row r="59" spans="1:19" ht="15.75" customHeight="1">
      <c r="A59" s="10">
        <v>48</v>
      </c>
      <c r="B59" s="10">
        <v>2020</v>
      </c>
      <c r="C59" s="11" t="s">
        <v>102</v>
      </c>
      <c r="D59" s="12">
        <v>43978</v>
      </c>
      <c r="E59" s="11" t="s">
        <v>20</v>
      </c>
      <c r="F59" s="1" t="s">
        <v>21</v>
      </c>
      <c r="G59" s="10">
        <v>1</v>
      </c>
      <c r="H59" s="10">
        <v>1</v>
      </c>
      <c r="I59" s="10">
        <v>1</v>
      </c>
      <c r="J59" s="13" t="s">
        <v>22</v>
      </c>
      <c r="K59" s="13">
        <v>30091</v>
      </c>
      <c r="L59" s="14" t="s">
        <v>61</v>
      </c>
      <c r="M59" s="15" t="s">
        <v>164</v>
      </c>
      <c r="N59" s="4" t="s">
        <v>33</v>
      </c>
      <c r="O59" s="1" t="s">
        <v>20</v>
      </c>
      <c r="P59" s="1">
        <v>0</v>
      </c>
      <c r="Q59" s="7" t="s">
        <v>23</v>
      </c>
      <c r="R59" s="29" t="s">
        <v>165</v>
      </c>
      <c r="S59" s="17" t="s">
        <v>166</v>
      </c>
    </row>
    <row r="60" spans="1:19" ht="15.75" customHeight="1">
      <c r="A60" s="10">
        <v>49</v>
      </c>
      <c r="B60" s="10">
        <v>2020</v>
      </c>
      <c r="C60" s="11" t="s">
        <v>102</v>
      </c>
      <c r="D60" s="12">
        <v>43979</v>
      </c>
      <c r="E60" s="11" t="s">
        <v>33</v>
      </c>
      <c r="F60" s="6" t="s">
        <v>98</v>
      </c>
      <c r="G60" s="10">
        <v>2</v>
      </c>
      <c r="H60" s="10">
        <v>1</v>
      </c>
      <c r="I60" s="10">
        <v>1</v>
      </c>
      <c r="J60" s="13" t="s">
        <v>30</v>
      </c>
      <c r="K60" s="13">
        <v>30064</v>
      </c>
      <c r="L60" s="14" t="s">
        <v>61</v>
      </c>
      <c r="M60" s="15" t="s">
        <v>99</v>
      </c>
      <c r="N60" s="4" t="s">
        <v>33</v>
      </c>
      <c r="O60" s="1" t="s">
        <v>20</v>
      </c>
      <c r="P60" s="1">
        <v>0</v>
      </c>
      <c r="Q60" s="28" t="s">
        <v>167</v>
      </c>
      <c r="R60" s="29" t="s">
        <v>168</v>
      </c>
      <c r="S60" s="26" t="s">
        <v>169</v>
      </c>
    </row>
    <row r="61" spans="1:19" ht="15.75" customHeight="1">
      <c r="A61" s="10">
        <v>50</v>
      </c>
      <c r="B61" s="10">
        <v>2020</v>
      </c>
      <c r="C61" s="11" t="s">
        <v>102</v>
      </c>
      <c r="D61" s="12">
        <v>43979</v>
      </c>
      <c r="E61" s="11" t="s">
        <v>20</v>
      </c>
      <c r="F61" s="1" t="s">
        <v>37</v>
      </c>
      <c r="G61" s="10">
        <v>1</v>
      </c>
      <c r="H61" s="10">
        <v>2</v>
      </c>
      <c r="I61" s="10">
        <v>1</v>
      </c>
      <c r="J61" s="13" t="s">
        <v>64</v>
      </c>
      <c r="K61" s="13">
        <v>29695</v>
      </c>
      <c r="L61" s="3" t="s">
        <v>31</v>
      </c>
      <c r="M61" s="16" t="s">
        <v>170</v>
      </c>
      <c r="N61" s="4" t="s">
        <v>33</v>
      </c>
      <c r="O61" s="1" t="s">
        <v>20</v>
      </c>
      <c r="P61" s="1">
        <v>0</v>
      </c>
      <c r="Q61" s="28" t="s">
        <v>171</v>
      </c>
      <c r="R61" s="29" t="s">
        <v>172</v>
      </c>
      <c r="S61" s="17" t="s">
        <v>173</v>
      </c>
    </row>
    <row r="62" spans="1:19" ht="15.75" customHeight="1">
      <c r="A62" s="10">
        <v>50</v>
      </c>
      <c r="B62" s="10">
        <v>2020</v>
      </c>
      <c r="C62" s="11" t="s">
        <v>102</v>
      </c>
      <c r="D62" s="12">
        <v>43979</v>
      </c>
      <c r="E62" s="11" t="s">
        <v>20</v>
      </c>
      <c r="F62" s="1" t="s">
        <v>37</v>
      </c>
      <c r="G62" s="10">
        <v>1</v>
      </c>
      <c r="H62" s="10">
        <v>2</v>
      </c>
      <c r="I62" s="10">
        <v>2</v>
      </c>
      <c r="J62" s="13" t="s">
        <v>64</v>
      </c>
      <c r="K62" s="13">
        <v>29847</v>
      </c>
      <c r="L62" s="3" t="s">
        <v>31</v>
      </c>
      <c r="M62" s="16" t="s">
        <v>174</v>
      </c>
      <c r="N62" s="4" t="s">
        <v>33</v>
      </c>
      <c r="O62" s="1" t="s">
        <v>23</v>
      </c>
      <c r="P62" s="1" t="s">
        <v>23</v>
      </c>
      <c r="Q62" s="20" t="s">
        <v>23</v>
      </c>
      <c r="R62" s="15" t="s">
        <v>23</v>
      </c>
      <c r="S62" s="20" t="s">
        <v>23</v>
      </c>
    </row>
    <row r="63" spans="1:19" ht="15.75" customHeight="1">
      <c r="A63" s="10">
        <v>51</v>
      </c>
      <c r="B63" s="10">
        <v>2020</v>
      </c>
      <c r="C63" s="11" t="s">
        <v>102</v>
      </c>
      <c r="D63" s="12">
        <v>43979</v>
      </c>
      <c r="E63" s="11" t="s">
        <v>20</v>
      </c>
      <c r="F63" s="1" t="s">
        <v>175</v>
      </c>
      <c r="G63" s="10">
        <v>1</v>
      </c>
      <c r="H63" s="10">
        <v>1</v>
      </c>
      <c r="I63" s="10">
        <v>1</v>
      </c>
      <c r="J63" s="13" t="s">
        <v>22</v>
      </c>
      <c r="K63" s="4" t="s">
        <v>23</v>
      </c>
      <c r="L63" s="14" t="s">
        <v>23</v>
      </c>
      <c r="M63" s="15" t="s">
        <v>176</v>
      </c>
      <c r="N63" s="11" t="s">
        <v>23</v>
      </c>
      <c r="O63" s="1" t="s">
        <v>20</v>
      </c>
      <c r="P63" s="1">
        <v>0</v>
      </c>
      <c r="Q63" s="28" t="s">
        <v>177</v>
      </c>
      <c r="R63" s="15" t="s">
        <v>23</v>
      </c>
      <c r="S63" s="17" t="s">
        <v>178</v>
      </c>
    </row>
    <row r="64" spans="1:19" ht="15.75" customHeight="1">
      <c r="A64" s="10">
        <v>52</v>
      </c>
      <c r="B64" s="10">
        <v>2020</v>
      </c>
      <c r="C64" s="11" t="s">
        <v>102</v>
      </c>
      <c r="D64" s="12">
        <v>43984</v>
      </c>
      <c r="E64" s="11" t="s">
        <v>20</v>
      </c>
      <c r="F64" s="1" t="s">
        <v>35</v>
      </c>
      <c r="G64" s="10">
        <v>1</v>
      </c>
      <c r="H64" s="10">
        <v>3</v>
      </c>
      <c r="I64" s="10">
        <v>1</v>
      </c>
      <c r="J64" s="13" t="s">
        <v>22</v>
      </c>
      <c r="K64" s="4" t="s">
        <v>23</v>
      </c>
      <c r="L64" s="14" t="s">
        <v>23</v>
      </c>
      <c r="M64" s="16" t="s">
        <v>179</v>
      </c>
      <c r="N64" s="11" t="s">
        <v>23</v>
      </c>
      <c r="O64" s="1" t="s">
        <v>33</v>
      </c>
      <c r="P64" s="1">
        <v>4</v>
      </c>
      <c r="Q64" s="28" t="s">
        <v>180</v>
      </c>
      <c r="R64" s="29" t="s">
        <v>181</v>
      </c>
      <c r="S64" s="17" t="s">
        <v>182</v>
      </c>
    </row>
    <row r="65" spans="1:19" ht="15.75" customHeight="1">
      <c r="A65" s="10">
        <v>52</v>
      </c>
      <c r="B65" s="10">
        <v>2020</v>
      </c>
      <c r="C65" s="11" t="s">
        <v>102</v>
      </c>
      <c r="D65" s="12">
        <v>43984</v>
      </c>
      <c r="E65" s="11" t="s">
        <v>20</v>
      </c>
      <c r="F65" s="1" t="s">
        <v>35</v>
      </c>
      <c r="G65" s="10">
        <v>1</v>
      </c>
      <c r="H65" s="10">
        <v>3</v>
      </c>
      <c r="I65" s="10">
        <v>2</v>
      </c>
      <c r="J65" s="13" t="s">
        <v>22</v>
      </c>
      <c r="K65" s="4" t="s">
        <v>23</v>
      </c>
      <c r="L65" s="14" t="s">
        <v>23</v>
      </c>
      <c r="M65" s="16" t="s">
        <v>183</v>
      </c>
      <c r="N65" s="11" t="s">
        <v>23</v>
      </c>
      <c r="O65" s="1" t="s">
        <v>23</v>
      </c>
      <c r="P65" s="1" t="s">
        <v>23</v>
      </c>
      <c r="Q65" s="20" t="s">
        <v>23</v>
      </c>
      <c r="R65" s="15" t="s">
        <v>23</v>
      </c>
      <c r="S65" s="20" t="s">
        <v>23</v>
      </c>
    </row>
    <row r="66" spans="1:19" ht="15.75" customHeight="1">
      <c r="A66" s="10">
        <v>52</v>
      </c>
      <c r="B66" s="10">
        <v>2020</v>
      </c>
      <c r="C66" s="11" t="s">
        <v>102</v>
      </c>
      <c r="D66" s="12">
        <v>43984</v>
      </c>
      <c r="E66" s="11" t="s">
        <v>20</v>
      </c>
      <c r="F66" s="1" t="s">
        <v>35</v>
      </c>
      <c r="G66" s="10">
        <v>1</v>
      </c>
      <c r="H66" s="10">
        <v>3</v>
      </c>
      <c r="I66" s="10">
        <v>3</v>
      </c>
      <c r="J66" s="13" t="s">
        <v>22</v>
      </c>
      <c r="K66" s="4" t="s">
        <v>23</v>
      </c>
      <c r="L66" s="14" t="s">
        <v>23</v>
      </c>
      <c r="M66" s="16" t="s">
        <v>184</v>
      </c>
      <c r="N66" s="11" t="s">
        <v>23</v>
      </c>
      <c r="O66" s="1" t="s">
        <v>23</v>
      </c>
      <c r="P66" s="1" t="s">
        <v>23</v>
      </c>
      <c r="Q66" s="20" t="s">
        <v>23</v>
      </c>
      <c r="R66" s="15" t="s">
        <v>23</v>
      </c>
      <c r="S66" s="20" t="s">
        <v>23</v>
      </c>
    </row>
    <row r="67" spans="1:19" ht="15.75" customHeight="1">
      <c r="A67" s="10">
        <v>53</v>
      </c>
      <c r="B67" s="10">
        <v>2020</v>
      </c>
      <c r="C67" s="11" t="s">
        <v>102</v>
      </c>
      <c r="D67" s="12">
        <v>43984</v>
      </c>
      <c r="E67" s="11" t="s">
        <v>33</v>
      </c>
      <c r="F67" s="6" t="s">
        <v>185</v>
      </c>
      <c r="G67" s="10">
        <v>2</v>
      </c>
      <c r="H67" s="10">
        <v>2</v>
      </c>
      <c r="I67" s="10">
        <v>1</v>
      </c>
      <c r="J67" s="13" t="s">
        <v>22</v>
      </c>
      <c r="K67" s="4" t="s">
        <v>23</v>
      </c>
      <c r="L67" s="14" t="s">
        <v>23</v>
      </c>
      <c r="M67" s="16" t="s">
        <v>186</v>
      </c>
      <c r="N67" s="11" t="s">
        <v>23</v>
      </c>
      <c r="O67" s="1" t="s">
        <v>33</v>
      </c>
      <c r="P67" s="1">
        <v>4</v>
      </c>
      <c r="Q67" s="28" t="s">
        <v>187</v>
      </c>
      <c r="R67" s="15" t="s">
        <v>23</v>
      </c>
      <c r="S67" s="26" t="s">
        <v>188</v>
      </c>
    </row>
    <row r="68" spans="1:19" ht="15.75" customHeight="1">
      <c r="A68" s="10">
        <v>53</v>
      </c>
      <c r="B68" s="10">
        <v>2020</v>
      </c>
      <c r="C68" s="11" t="s">
        <v>102</v>
      </c>
      <c r="D68" s="12">
        <v>43984</v>
      </c>
      <c r="E68" s="11" t="s">
        <v>33</v>
      </c>
      <c r="F68" s="6" t="s">
        <v>185</v>
      </c>
      <c r="G68" s="10">
        <v>2</v>
      </c>
      <c r="H68" s="10">
        <v>2</v>
      </c>
      <c r="I68" s="10">
        <v>2</v>
      </c>
      <c r="J68" s="13" t="s">
        <v>30</v>
      </c>
      <c r="K68" s="13">
        <v>30455</v>
      </c>
      <c r="L68" s="3" t="s">
        <v>31</v>
      </c>
      <c r="M68" s="16" t="s">
        <v>189</v>
      </c>
      <c r="N68" s="4" t="s">
        <v>33</v>
      </c>
      <c r="O68" s="1" t="s">
        <v>23</v>
      </c>
      <c r="P68" s="1" t="s">
        <v>23</v>
      </c>
      <c r="Q68" s="7" t="s">
        <v>23</v>
      </c>
      <c r="R68" s="15" t="s">
        <v>23</v>
      </c>
      <c r="S68" s="20" t="s">
        <v>23</v>
      </c>
    </row>
    <row r="69" spans="1:19" ht="15.75" customHeight="1">
      <c r="A69" s="10">
        <v>54</v>
      </c>
      <c r="B69" s="10">
        <v>2020</v>
      </c>
      <c r="C69" s="11" t="s">
        <v>102</v>
      </c>
      <c r="D69" s="12">
        <v>43984</v>
      </c>
      <c r="E69" s="11" t="s">
        <v>20</v>
      </c>
      <c r="F69" s="1" t="s">
        <v>190</v>
      </c>
      <c r="G69" s="10">
        <v>1</v>
      </c>
      <c r="H69" s="10">
        <v>1</v>
      </c>
      <c r="I69" s="10">
        <v>1</v>
      </c>
      <c r="J69" s="13" t="s">
        <v>22</v>
      </c>
      <c r="K69" s="4" t="s">
        <v>23</v>
      </c>
      <c r="L69" s="14" t="s">
        <v>23</v>
      </c>
      <c r="M69" s="15" t="s">
        <v>24</v>
      </c>
      <c r="N69" s="11" t="s">
        <v>23</v>
      </c>
      <c r="O69" s="1" t="s">
        <v>20</v>
      </c>
      <c r="P69" s="1">
        <v>0</v>
      </c>
      <c r="Q69" s="32" t="s">
        <v>191</v>
      </c>
      <c r="R69" s="29" t="s">
        <v>192</v>
      </c>
      <c r="S69" s="17" t="s">
        <v>193</v>
      </c>
    </row>
    <row r="70" spans="1:19" ht="15.75" customHeight="1">
      <c r="A70" s="10">
        <v>55</v>
      </c>
      <c r="B70" s="10">
        <v>2020</v>
      </c>
      <c r="C70" s="11" t="s">
        <v>102</v>
      </c>
      <c r="D70" s="12">
        <v>43986</v>
      </c>
      <c r="E70" s="11" t="s">
        <v>20</v>
      </c>
      <c r="F70" s="1" t="s">
        <v>96</v>
      </c>
      <c r="G70" s="10">
        <v>1</v>
      </c>
      <c r="H70" s="10">
        <v>1</v>
      </c>
      <c r="I70" s="10">
        <v>1</v>
      </c>
      <c r="J70" s="13" t="s">
        <v>22</v>
      </c>
      <c r="K70" s="4" t="s">
        <v>23</v>
      </c>
      <c r="L70" s="14" t="s">
        <v>23</v>
      </c>
      <c r="M70" s="15" t="s">
        <v>194</v>
      </c>
      <c r="N70" s="11" t="s">
        <v>23</v>
      </c>
      <c r="O70" s="1" t="s">
        <v>20</v>
      </c>
      <c r="P70" s="1">
        <v>0</v>
      </c>
      <c r="Q70" s="28" t="s">
        <v>195</v>
      </c>
      <c r="R70" s="29" t="s">
        <v>196</v>
      </c>
      <c r="S70" s="17" t="s">
        <v>197</v>
      </c>
    </row>
    <row r="71" spans="1:19" ht="15.75" customHeight="1">
      <c r="A71" s="10">
        <v>56</v>
      </c>
      <c r="B71" s="10">
        <v>2020</v>
      </c>
      <c r="C71" s="11" t="s">
        <v>102</v>
      </c>
      <c r="D71" s="12">
        <v>43986</v>
      </c>
      <c r="E71" s="11" t="s">
        <v>20</v>
      </c>
      <c r="F71" s="1" t="s">
        <v>37</v>
      </c>
      <c r="G71" s="10">
        <v>1</v>
      </c>
      <c r="H71" s="10">
        <v>3</v>
      </c>
      <c r="I71" s="10">
        <v>1</v>
      </c>
      <c r="J71" s="13" t="s">
        <v>64</v>
      </c>
      <c r="K71" s="4">
        <v>29845</v>
      </c>
      <c r="L71" s="3" t="s">
        <v>31</v>
      </c>
      <c r="M71" s="19" t="s">
        <v>198</v>
      </c>
      <c r="N71" s="4" t="s">
        <v>33</v>
      </c>
      <c r="O71" s="1" t="s">
        <v>20</v>
      </c>
      <c r="P71" s="1">
        <v>0</v>
      </c>
      <c r="Q71" s="32" t="s">
        <v>199</v>
      </c>
      <c r="R71" s="29" t="s">
        <v>200</v>
      </c>
      <c r="S71" s="17" t="s">
        <v>201</v>
      </c>
    </row>
    <row r="72" spans="1:19" ht="15.75" customHeight="1">
      <c r="A72" s="10">
        <v>56</v>
      </c>
      <c r="B72" s="10">
        <v>2020</v>
      </c>
      <c r="C72" s="11" t="s">
        <v>102</v>
      </c>
      <c r="D72" s="12">
        <v>43986</v>
      </c>
      <c r="E72" s="11" t="s">
        <v>20</v>
      </c>
      <c r="F72" s="1" t="s">
        <v>37</v>
      </c>
      <c r="G72" s="10">
        <v>1</v>
      </c>
      <c r="H72" s="10">
        <v>3</v>
      </c>
      <c r="I72" s="10">
        <v>2</v>
      </c>
      <c r="J72" s="13" t="s">
        <v>64</v>
      </c>
      <c r="K72" s="13">
        <v>29846</v>
      </c>
      <c r="L72" s="3" t="s">
        <v>31</v>
      </c>
      <c r="M72" s="16" t="s">
        <v>202</v>
      </c>
      <c r="N72" s="4" t="s">
        <v>33</v>
      </c>
      <c r="O72" s="1" t="s">
        <v>23</v>
      </c>
      <c r="P72" s="1" t="s">
        <v>23</v>
      </c>
      <c r="Q72" s="20" t="s">
        <v>23</v>
      </c>
      <c r="R72" s="15" t="s">
        <v>23</v>
      </c>
      <c r="S72" s="20" t="s">
        <v>23</v>
      </c>
    </row>
    <row r="73" spans="1:19" ht="15.75" customHeight="1">
      <c r="A73" s="10">
        <v>56</v>
      </c>
      <c r="B73" s="10">
        <v>2020</v>
      </c>
      <c r="C73" s="11" t="s">
        <v>102</v>
      </c>
      <c r="D73" s="12">
        <v>43986</v>
      </c>
      <c r="E73" s="11" t="s">
        <v>20</v>
      </c>
      <c r="F73" s="1" t="s">
        <v>37</v>
      </c>
      <c r="G73" s="10">
        <v>1</v>
      </c>
      <c r="H73" s="10">
        <v>3</v>
      </c>
      <c r="I73" s="10">
        <v>3</v>
      </c>
      <c r="J73" s="13" t="s">
        <v>64</v>
      </c>
      <c r="K73" s="13">
        <v>30083</v>
      </c>
      <c r="L73" s="3" t="s">
        <v>31</v>
      </c>
      <c r="M73" s="16" t="s">
        <v>203</v>
      </c>
      <c r="N73" s="4" t="s">
        <v>33</v>
      </c>
      <c r="O73" s="1" t="s">
        <v>23</v>
      </c>
      <c r="P73" s="1" t="s">
        <v>23</v>
      </c>
      <c r="Q73" s="20" t="s">
        <v>23</v>
      </c>
      <c r="R73" s="15" t="s">
        <v>23</v>
      </c>
      <c r="S73" s="20" t="s">
        <v>23</v>
      </c>
    </row>
    <row r="74" spans="1:19" ht="15.75" customHeight="1">
      <c r="A74" s="10">
        <v>57</v>
      </c>
      <c r="B74" s="10">
        <v>2020</v>
      </c>
      <c r="C74" s="11" t="s">
        <v>102</v>
      </c>
      <c r="D74" s="12">
        <v>43991</v>
      </c>
      <c r="E74" s="11" t="s">
        <v>20</v>
      </c>
      <c r="F74" s="1" t="s">
        <v>21</v>
      </c>
      <c r="G74" s="10">
        <v>1</v>
      </c>
      <c r="H74" s="10">
        <v>1</v>
      </c>
      <c r="I74" s="10">
        <v>1</v>
      </c>
      <c r="J74" s="13" t="s">
        <v>22</v>
      </c>
      <c r="K74" s="4" t="s">
        <v>23</v>
      </c>
      <c r="L74" s="14" t="s">
        <v>23</v>
      </c>
      <c r="M74" s="16" t="s">
        <v>204</v>
      </c>
      <c r="N74" s="11" t="s">
        <v>23</v>
      </c>
      <c r="O74" s="1" t="s">
        <v>33</v>
      </c>
      <c r="P74" s="1">
        <v>1</v>
      </c>
      <c r="Q74" s="28" t="s">
        <v>205</v>
      </c>
      <c r="R74" s="29" t="s">
        <v>206</v>
      </c>
      <c r="S74" s="17" t="s">
        <v>207</v>
      </c>
    </row>
    <row r="75" spans="1:19" ht="15.75" customHeight="1">
      <c r="A75" s="10">
        <v>58</v>
      </c>
      <c r="B75" s="10">
        <v>2020</v>
      </c>
      <c r="C75" s="11" t="s">
        <v>102</v>
      </c>
      <c r="D75" s="12">
        <v>43991</v>
      </c>
      <c r="E75" s="11" t="s">
        <v>20</v>
      </c>
      <c r="F75" s="1" t="s">
        <v>73</v>
      </c>
      <c r="G75" s="10">
        <v>1</v>
      </c>
      <c r="H75" s="10">
        <v>1</v>
      </c>
      <c r="I75" s="10">
        <v>1</v>
      </c>
      <c r="J75" s="13" t="s">
        <v>22</v>
      </c>
      <c r="K75" s="4" t="s">
        <v>23</v>
      </c>
      <c r="L75" s="14" t="s">
        <v>23</v>
      </c>
      <c r="M75" s="16" t="s">
        <v>208</v>
      </c>
      <c r="N75" s="11" t="s">
        <v>23</v>
      </c>
      <c r="O75" s="1" t="s">
        <v>33</v>
      </c>
      <c r="P75" s="1">
        <v>2</v>
      </c>
      <c r="Q75" s="28" t="s">
        <v>209</v>
      </c>
      <c r="R75" s="29" t="s">
        <v>210</v>
      </c>
      <c r="S75" s="17" t="s">
        <v>211</v>
      </c>
    </row>
    <row r="76" spans="1:19" ht="15.75" customHeight="1">
      <c r="A76" s="10">
        <v>59</v>
      </c>
      <c r="B76" s="10">
        <v>2020</v>
      </c>
      <c r="C76" s="11" t="s">
        <v>102</v>
      </c>
      <c r="D76" s="12">
        <v>43993</v>
      </c>
      <c r="E76" s="11" t="s">
        <v>20</v>
      </c>
      <c r="F76" s="1" t="s">
        <v>35</v>
      </c>
      <c r="G76" s="10">
        <v>1</v>
      </c>
      <c r="H76" s="10">
        <v>2</v>
      </c>
      <c r="I76" s="10">
        <v>1</v>
      </c>
      <c r="J76" s="13" t="s">
        <v>22</v>
      </c>
      <c r="K76" s="4" t="s">
        <v>23</v>
      </c>
      <c r="L76" s="14" t="s">
        <v>23</v>
      </c>
      <c r="M76" s="16" t="s">
        <v>212</v>
      </c>
      <c r="N76" s="11" t="s">
        <v>23</v>
      </c>
      <c r="O76" s="1" t="s">
        <v>33</v>
      </c>
      <c r="P76" s="1">
        <v>2</v>
      </c>
      <c r="Q76" s="28" t="s">
        <v>213</v>
      </c>
      <c r="R76" s="29" t="s">
        <v>214</v>
      </c>
      <c r="S76" s="17" t="s">
        <v>215</v>
      </c>
    </row>
    <row r="77" spans="1:19" ht="15.75" customHeight="1">
      <c r="A77" s="10">
        <v>59</v>
      </c>
      <c r="B77" s="10">
        <v>2020</v>
      </c>
      <c r="C77" s="11" t="s">
        <v>102</v>
      </c>
      <c r="D77" s="12">
        <v>43993</v>
      </c>
      <c r="E77" s="11" t="s">
        <v>20</v>
      </c>
      <c r="F77" s="1" t="s">
        <v>35</v>
      </c>
      <c r="G77" s="10">
        <v>1</v>
      </c>
      <c r="H77" s="10">
        <v>2</v>
      </c>
      <c r="I77" s="10">
        <v>2</v>
      </c>
      <c r="J77" s="13" t="s">
        <v>22</v>
      </c>
      <c r="K77" s="4" t="s">
        <v>23</v>
      </c>
      <c r="L77" s="14" t="s">
        <v>23</v>
      </c>
      <c r="M77" s="16" t="s">
        <v>216</v>
      </c>
      <c r="N77" s="11" t="s">
        <v>23</v>
      </c>
      <c r="O77" s="1" t="s">
        <v>23</v>
      </c>
      <c r="P77" s="1" t="s">
        <v>23</v>
      </c>
      <c r="Q77" s="20" t="s">
        <v>23</v>
      </c>
      <c r="R77" s="15" t="s">
        <v>23</v>
      </c>
      <c r="S77" s="20" t="s">
        <v>23</v>
      </c>
    </row>
    <row r="78" spans="1:19" ht="15.75" customHeight="1">
      <c r="A78" s="10">
        <v>60</v>
      </c>
      <c r="B78" s="10">
        <v>2020</v>
      </c>
      <c r="C78" s="11" t="s">
        <v>102</v>
      </c>
      <c r="D78" s="12">
        <v>43993</v>
      </c>
      <c r="E78" s="11" t="s">
        <v>33</v>
      </c>
      <c r="F78" s="6" t="s">
        <v>217</v>
      </c>
      <c r="G78" s="10">
        <v>2</v>
      </c>
      <c r="H78" s="10">
        <v>1</v>
      </c>
      <c r="I78" s="10">
        <v>1</v>
      </c>
      <c r="J78" s="13" t="s">
        <v>22</v>
      </c>
      <c r="K78" s="4" t="s">
        <v>23</v>
      </c>
      <c r="L78" s="14" t="s">
        <v>23</v>
      </c>
      <c r="M78" s="15" t="s">
        <v>218</v>
      </c>
      <c r="N78" s="11" t="s">
        <v>23</v>
      </c>
      <c r="O78" s="1" t="s">
        <v>33</v>
      </c>
      <c r="P78" s="1">
        <v>1</v>
      </c>
      <c r="Q78" s="28" t="s">
        <v>219</v>
      </c>
      <c r="R78" s="31" t="s">
        <v>23</v>
      </c>
      <c r="S78" s="26" t="s">
        <v>220</v>
      </c>
    </row>
    <row r="79" spans="1:19" ht="15.75" customHeight="1">
      <c r="A79" s="10">
        <v>61</v>
      </c>
      <c r="B79" s="10">
        <v>2020</v>
      </c>
      <c r="C79" s="11" t="s">
        <v>102</v>
      </c>
      <c r="D79" s="12">
        <v>43998</v>
      </c>
      <c r="E79" s="11" t="s">
        <v>20</v>
      </c>
      <c r="F79" s="1" t="s">
        <v>26</v>
      </c>
      <c r="G79" s="10">
        <v>1</v>
      </c>
      <c r="H79" s="10">
        <v>1</v>
      </c>
      <c r="I79" s="10">
        <v>1</v>
      </c>
      <c r="J79" s="13" t="s">
        <v>71</v>
      </c>
      <c r="K79" s="13">
        <v>30541</v>
      </c>
      <c r="L79" s="14" t="s">
        <v>61</v>
      </c>
      <c r="M79" s="15" t="s">
        <v>221</v>
      </c>
      <c r="N79" s="4" t="s">
        <v>33</v>
      </c>
      <c r="O79" s="1" t="s">
        <v>20</v>
      </c>
      <c r="P79" s="1">
        <v>0</v>
      </c>
      <c r="Q79" s="28" t="s">
        <v>222</v>
      </c>
      <c r="R79" s="29" t="s">
        <v>223</v>
      </c>
      <c r="S79" s="17" t="s">
        <v>224</v>
      </c>
    </row>
    <row r="80" spans="1:19" ht="15.75" customHeight="1">
      <c r="A80" s="10">
        <v>62</v>
      </c>
      <c r="B80" s="10">
        <v>2020</v>
      </c>
      <c r="C80" s="11" t="s">
        <v>102</v>
      </c>
      <c r="D80" s="12">
        <v>43998</v>
      </c>
      <c r="E80" s="11" t="s">
        <v>33</v>
      </c>
      <c r="F80" s="6" t="s">
        <v>225</v>
      </c>
      <c r="G80" s="10">
        <v>2</v>
      </c>
      <c r="H80" s="10">
        <v>1</v>
      </c>
      <c r="I80" s="10">
        <v>1</v>
      </c>
      <c r="J80" s="13" t="s">
        <v>30</v>
      </c>
      <c r="K80" s="13">
        <v>30555</v>
      </c>
      <c r="L80" s="3" t="s">
        <v>31</v>
      </c>
      <c r="M80" s="15" t="s">
        <v>226</v>
      </c>
      <c r="N80" s="4" t="s">
        <v>33</v>
      </c>
      <c r="O80" s="1" t="s">
        <v>33</v>
      </c>
      <c r="P80" s="6">
        <v>7</v>
      </c>
      <c r="Q80" s="28" t="s">
        <v>227</v>
      </c>
      <c r="R80" s="15" t="s">
        <v>23</v>
      </c>
      <c r="S80" s="26" t="s">
        <v>228</v>
      </c>
    </row>
    <row r="81" spans="1:19" ht="15.75" customHeight="1">
      <c r="A81" s="10">
        <v>63</v>
      </c>
      <c r="B81" s="10">
        <v>2020</v>
      </c>
      <c r="C81" s="11" t="s">
        <v>102</v>
      </c>
      <c r="D81" s="12">
        <v>43999</v>
      </c>
      <c r="E81" s="11" t="s">
        <v>20</v>
      </c>
      <c r="F81" s="1" t="s">
        <v>45</v>
      </c>
      <c r="G81" s="10">
        <v>1</v>
      </c>
      <c r="H81" s="10">
        <v>2</v>
      </c>
      <c r="I81" s="10">
        <v>1</v>
      </c>
      <c r="J81" s="13" t="s">
        <v>85</v>
      </c>
      <c r="K81" s="13">
        <v>30546</v>
      </c>
      <c r="L81" s="3" t="s">
        <v>61</v>
      </c>
      <c r="M81" s="16" t="s">
        <v>229</v>
      </c>
      <c r="N81" s="4" t="s">
        <v>20</v>
      </c>
      <c r="O81" s="1" t="s">
        <v>20</v>
      </c>
      <c r="P81" s="1">
        <v>0</v>
      </c>
      <c r="Q81" s="28" t="s">
        <v>230</v>
      </c>
      <c r="R81" s="15" t="s">
        <v>23</v>
      </c>
      <c r="S81" s="17" t="s">
        <v>231</v>
      </c>
    </row>
    <row r="82" spans="1:19" ht="15.75" customHeight="1">
      <c r="A82" s="10">
        <v>63</v>
      </c>
      <c r="B82" s="10">
        <v>2020</v>
      </c>
      <c r="C82" s="11" t="s">
        <v>102</v>
      </c>
      <c r="D82" s="12">
        <v>43999</v>
      </c>
      <c r="E82" s="11" t="s">
        <v>20</v>
      </c>
      <c r="F82" s="1" t="s">
        <v>45</v>
      </c>
      <c r="G82" s="10">
        <v>1</v>
      </c>
      <c r="H82" s="10">
        <v>2</v>
      </c>
      <c r="I82" s="10">
        <v>2</v>
      </c>
      <c r="J82" s="13" t="s">
        <v>71</v>
      </c>
      <c r="K82" s="13">
        <v>30560</v>
      </c>
      <c r="L82" s="14" t="s">
        <v>61</v>
      </c>
      <c r="M82" s="16" t="s">
        <v>232</v>
      </c>
      <c r="N82" s="4" t="s">
        <v>20</v>
      </c>
      <c r="O82" s="1" t="s">
        <v>23</v>
      </c>
      <c r="P82" s="1" t="s">
        <v>23</v>
      </c>
      <c r="Q82" s="20" t="s">
        <v>23</v>
      </c>
      <c r="R82" s="15" t="s">
        <v>23</v>
      </c>
      <c r="S82" s="20" t="s">
        <v>23</v>
      </c>
    </row>
    <row r="83" spans="1:19" ht="15.75" customHeight="1">
      <c r="A83" s="10">
        <v>64</v>
      </c>
      <c r="B83" s="10">
        <v>2020</v>
      </c>
      <c r="C83" s="11" t="s">
        <v>102</v>
      </c>
      <c r="D83" s="12">
        <v>44000</v>
      </c>
      <c r="E83" s="11" t="s">
        <v>20</v>
      </c>
      <c r="F83" s="1" t="s">
        <v>47</v>
      </c>
      <c r="G83" s="10">
        <v>1</v>
      </c>
      <c r="H83" s="10">
        <v>1</v>
      </c>
      <c r="I83" s="10">
        <v>1</v>
      </c>
      <c r="J83" s="13" t="s">
        <v>22</v>
      </c>
      <c r="K83" s="4" t="s">
        <v>23</v>
      </c>
      <c r="L83" s="14" t="s">
        <v>23</v>
      </c>
      <c r="M83" s="16" t="s">
        <v>233</v>
      </c>
      <c r="N83" s="22" t="s">
        <v>23</v>
      </c>
      <c r="O83" s="1" t="s">
        <v>20</v>
      </c>
      <c r="P83" s="1">
        <v>0</v>
      </c>
      <c r="Q83" s="28" t="s">
        <v>234</v>
      </c>
      <c r="R83" s="33" t="s">
        <v>235</v>
      </c>
      <c r="S83" s="17" t="s">
        <v>236</v>
      </c>
    </row>
    <row r="84" spans="1:19" ht="15.75" customHeight="1">
      <c r="A84" s="10">
        <v>65</v>
      </c>
      <c r="B84" s="10">
        <v>2020</v>
      </c>
      <c r="C84" s="11" t="s">
        <v>102</v>
      </c>
      <c r="D84" s="12">
        <v>44000</v>
      </c>
      <c r="E84" s="11" t="s">
        <v>20</v>
      </c>
      <c r="F84" s="1" t="s">
        <v>37</v>
      </c>
      <c r="G84" s="10">
        <v>1</v>
      </c>
      <c r="H84" s="10">
        <v>2</v>
      </c>
      <c r="I84" s="10">
        <v>1</v>
      </c>
      <c r="J84" s="13" t="s">
        <v>64</v>
      </c>
      <c r="K84" s="13">
        <v>30427</v>
      </c>
      <c r="L84" s="3" t="s">
        <v>31</v>
      </c>
      <c r="M84" s="16" t="s">
        <v>237</v>
      </c>
      <c r="N84" s="4" t="s">
        <v>33</v>
      </c>
      <c r="O84" s="1" t="s">
        <v>20</v>
      </c>
      <c r="P84" s="1">
        <v>0</v>
      </c>
      <c r="Q84" s="32" t="s">
        <v>238</v>
      </c>
      <c r="R84" s="15" t="s">
        <v>23</v>
      </c>
      <c r="S84" s="17" t="s">
        <v>239</v>
      </c>
    </row>
    <row r="85" spans="1:19" ht="15.75" customHeight="1">
      <c r="A85" s="10">
        <v>65</v>
      </c>
      <c r="B85" s="10">
        <v>2020</v>
      </c>
      <c r="C85" s="11" t="s">
        <v>102</v>
      </c>
      <c r="D85" s="12">
        <v>44000</v>
      </c>
      <c r="E85" s="11" t="s">
        <v>20</v>
      </c>
      <c r="F85" s="1" t="s">
        <v>37</v>
      </c>
      <c r="G85" s="10">
        <v>1</v>
      </c>
      <c r="H85" s="10">
        <v>2</v>
      </c>
      <c r="I85" s="10">
        <v>2</v>
      </c>
      <c r="J85" s="13" t="s">
        <v>64</v>
      </c>
      <c r="K85" s="13">
        <v>30428</v>
      </c>
      <c r="L85" s="3" t="s">
        <v>31</v>
      </c>
      <c r="M85" s="16" t="s">
        <v>240</v>
      </c>
      <c r="N85" s="4" t="s">
        <v>33</v>
      </c>
      <c r="O85" s="1" t="s">
        <v>23</v>
      </c>
      <c r="P85" s="1" t="s">
        <v>23</v>
      </c>
      <c r="Q85" s="20" t="s">
        <v>23</v>
      </c>
      <c r="R85" s="15" t="s">
        <v>23</v>
      </c>
      <c r="S85" s="20" t="s">
        <v>23</v>
      </c>
    </row>
    <row r="86" spans="1:19" ht="15.75" customHeight="1">
      <c r="A86" s="10">
        <v>66</v>
      </c>
      <c r="B86" s="10">
        <v>2020</v>
      </c>
      <c r="C86" s="11" t="s">
        <v>102</v>
      </c>
      <c r="D86" s="12">
        <v>44005</v>
      </c>
      <c r="E86" s="11" t="s">
        <v>20</v>
      </c>
      <c r="F86" s="6" t="s">
        <v>124</v>
      </c>
      <c r="G86" s="10">
        <v>1</v>
      </c>
      <c r="H86" s="10">
        <v>1</v>
      </c>
      <c r="I86" s="10">
        <v>1</v>
      </c>
      <c r="J86" s="13" t="s">
        <v>22</v>
      </c>
      <c r="K86" s="4" t="s">
        <v>23</v>
      </c>
      <c r="L86" s="14" t="s">
        <v>23</v>
      </c>
      <c r="M86" s="15" t="s">
        <v>241</v>
      </c>
      <c r="N86" s="11" t="s">
        <v>23</v>
      </c>
      <c r="O86" s="1" t="s">
        <v>20</v>
      </c>
      <c r="P86" s="1">
        <v>0</v>
      </c>
      <c r="Q86" s="28" t="s">
        <v>242</v>
      </c>
      <c r="R86" s="31" t="s">
        <v>23</v>
      </c>
      <c r="S86" s="17" t="s">
        <v>243</v>
      </c>
    </row>
    <row r="87" spans="1:19" ht="15.75" customHeight="1">
      <c r="A87" s="10">
        <v>67</v>
      </c>
      <c r="B87" s="10">
        <v>2020</v>
      </c>
      <c r="C87" s="11" t="s">
        <v>102</v>
      </c>
      <c r="D87" s="12">
        <v>44005</v>
      </c>
      <c r="E87" s="11" t="s">
        <v>33</v>
      </c>
      <c r="F87" s="6" t="s">
        <v>244</v>
      </c>
      <c r="G87" s="10">
        <v>2</v>
      </c>
      <c r="H87" s="10">
        <v>1</v>
      </c>
      <c r="I87" s="10">
        <v>1</v>
      </c>
      <c r="J87" s="13" t="s">
        <v>30</v>
      </c>
      <c r="K87" s="13">
        <v>21237</v>
      </c>
      <c r="L87" s="3" t="s">
        <v>61</v>
      </c>
      <c r="M87" s="15" t="s">
        <v>245</v>
      </c>
      <c r="N87" s="4" t="s">
        <v>20</v>
      </c>
      <c r="O87" s="1" t="s">
        <v>33</v>
      </c>
      <c r="P87" s="1">
        <v>1</v>
      </c>
      <c r="Q87" s="7" t="s">
        <v>23</v>
      </c>
      <c r="R87" s="31" t="s">
        <v>23</v>
      </c>
      <c r="S87" s="26" t="s">
        <v>246</v>
      </c>
    </row>
    <row r="88" spans="1:19" ht="15.75" customHeight="1">
      <c r="A88" s="10">
        <v>68</v>
      </c>
      <c r="B88" s="10">
        <v>2020</v>
      </c>
      <c r="C88" s="11" t="s">
        <v>102</v>
      </c>
      <c r="D88" s="12">
        <v>44006</v>
      </c>
      <c r="E88" s="11" t="s">
        <v>20</v>
      </c>
      <c r="F88" s="1" t="s">
        <v>41</v>
      </c>
      <c r="G88" s="10">
        <v>1</v>
      </c>
      <c r="H88" s="10">
        <v>1</v>
      </c>
      <c r="I88" s="10">
        <v>1</v>
      </c>
      <c r="J88" s="13" t="s">
        <v>22</v>
      </c>
      <c r="K88" s="4" t="s">
        <v>23</v>
      </c>
      <c r="L88" s="14" t="s">
        <v>23</v>
      </c>
      <c r="M88" s="15" t="s">
        <v>247</v>
      </c>
      <c r="N88" s="11" t="s">
        <v>23</v>
      </c>
      <c r="O88" s="1" t="s">
        <v>33</v>
      </c>
      <c r="P88" s="1">
        <v>1</v>
      </c>
      <c r="Q88" s="28" t="s">
        <v>248</v>
      </c>
      <c r="R88" s="15" t="s">
        <v>23</v>
      </c>
      <c r="S88" s="17" t="s">
        <v>249</v>
      </c>
    </row>
    <row r="89" spans="1:19" ht="15.75" customHeight="1">
      <c r="A89" s="10">
        <v>69</v>
      </c>
      <c r="B89" s="10">
        <v>2020</v>
      </c>
      <c r="C89" s="11" t="s">
        <v>102</v>
      </c>
      <c r="D89" s="12">
        <v>44007</v>
      </c>
      <c r="E89" s="11" t="s">
        <v>33</v>
      </c>
      <c r="F89" s="6" t="s">
        <v>250</v>
      </c>
      <c r="G89" s="10">
        <v>3</v>
      </c>
      <c r="H89" s="10">
        <v>4</v>
      </c>
      <c r="I89" s="10">
        <v>1</v>
      </c>
      <c r="J89" s="13" t="s">
        <v>71</v>
      </c>
      <c r="K89" s="13">
        <v>30104</v>
      </c>
      <c r="L89" s="3" t="s">
        <v>61</v>
      </c>
      <c r="M89" s="16" t="s">
        <v>251</v>
      </c>
      <c r="N89" s="4" t="s">
        <v>20</v>
      </c>
      <c r="O89" s="6" t="s">
        <v>33</v>
      </c>
      <c r="P89" s="6">
        <v>2</v>
      </c>
      <c r="Q89" s="28" t="s">
        <v>252</v>
      </c>
      <c r="R89" s="29" t="s">
        <v>253</v>
      </c>
      <c r="S89" s="30" t="s">
        <v>254</v>
      </c>
    </row>
    <row r="90" spans="1:19" ht="15.75" customHeight="1">
      <c r="A90" s="10">
        <v>69</v>
      </c>
      <c r="B90" s="10">
        <v>2020</v>
      </c>
      <c r="C90" s="11" t="s">
        <v>102</v>
      </c>
      <c r="D90" s="12">
        <v>44007</v>
      </c>
      <c r="E90" s="11" t="s">
        <v>33</v>
      </c>
      <c r="F90" s="6" t="s">
        <v>250</v>
      </c>
      <c r="G90" s="10">
        <v>3</v>
      </c>
      <c r="H90" s="10">
        <v>4</v>
      </c>
      <c r="I90" s="10">
        <v>2</v>
      </c>
      <c r="J90" s="13" t="s">
        <v>71</v>
      </c>
      <c r="K90" s="13">
        <v>30314</v>
      </c>
      <c r="L90" s="3" t="s">
        <v>61</v>
      </c>
      <c r="M90" s="16" t="s">
        <v>255</v>
      </c>
      <c r="N90" s="4" t="s">
        <v>20</v>
      </c>
      <c r="O90" s="1" t="s">
        <v>23</v>
      </c>
      <c r="P90" s="1" t="s">
        <v>23</v>
      </c>
      <c r="Q90" s="20" t="s">
        <v>23</v>
      </c>
      <c r="R90" s="15" t="s">
        <v>23</v>
      </c>
      <c r="S90" s="20" t="s">
        <v>23</v>
      </c>
    </row>
    <row r="91" spans="1:19" ht="15.75" customHeight="1">
      <c r="A91" s="10">
        <v>69</v>
      </c>
      <c r="B91" s="10">
        <v>2020</v>
      </c>
      <c r="C91" s="11" t="s">
        <v>102</v>
      </c>
      <c r="D91" s="12">
        <v>44007</v>
      </c>
      <c r="E91" s="11" t="s">
        <v>33</v>
      </c>
      <c r="F91" s="6" t="s">
        <v>250</v>
      </c>
      <c r="G91" s="10">
        <v>3</v>
      </c>
      <c r="H91" s="10">
        <v>4</v>
      </c>
      <c r="I91" s="10">
        <v>3</v>
      </c>
      <c r="J91" s="13" t="s">
        <v>71</v>
      </c>
      <c r="K91" s="13">
        <v>30509</v>
      </c>
      <c r="L91" s="3" t="s">
        <v>61</v>
      </c>
      <c r="M91" s="16" t="s">
        <v>256</v>
      </c>
      <c r="N91" s="4" t="s">
        <v>20</v>
      </c>
      <c r="O91" s="1" t="s">
        <v>23</v>
      </c>
      <c r="P91" s="1" t="s">
        <v>23</v>
      </c>
      <c r="Q91" s="20" t="s">
        <v>23</v>
      </c>
      <c r="R91" s="15" t="s">
        <v>23</v>
      </c>
      <c r="S91" s="20" t="s">
        <v>23</v>
      </c>
    </row>
    <row r="92" spans="1:19" ht="15.75" customHeight="1">
      <c r="A92" s="10">
        <v>69</v>
      </c>
      <c r="B92" s="10">
        <v>2020</v>
      </c>
      <c r="C92" s="11" t="s">
        <v>102</v>
      </c>
      <c r="D92" s="12">
        <v>44007</v>
      </c>
      <c r="E92" s="11" t="s">
        <v>33</v>
      </c>
      <c r="F92" s="6" t="s">
        <v>250</v>
      </c>
      <c r="G92" s="10">
        <v>3</v>
      </c>
      <c r="H92" s="10">
        <v>4</v>
      </c>
      <c r="I92" s="10">
        <v>4</v>
      </c>
      <c r="J92" s="13" t="s">
        <v>71</v>
      </c>
      <c r="K92" s="13">
        <v>30375</v>
      </c>
      <c r="L92" s="14" t="s">
        <v>61</v>
      </c>
      <c r="M92" s="16" t="s">
        <v>257</v>
      </c>
      <c r="N92" s="4" t="s">
        <v>20</v>
      </c>
      <c r="O92" s="1" t="s">
        <v>23</v>
      </c>
      <c r="P92" s="1" t="s">
        <v>23</v>
      </c>
      <c r="Q92" s="20" t="s">
        <v>23</v>
      </c>
      <c r="R92" s="15" t="s">
        <v>23</v>
      </c>
      <c r="S92" s="20" t="s">
        <v>23</v>
      </c>
    </row>
    <row r="93" spans="1:19" ht="15.75" customHeight="1">
      <c r="A93" s="10">
        <v>70</v>
      </c>
      <c r="B93" s="10">
        <v>2020</v>
      </c>
      <c r="C93" s="11" t="s">
        <v>102</v>
      </c>
      <c r="D93" s="12">
        <v>44007</v>
      </c>
      <c r="E93" s="11" t="s">
        <v>20</v>
      </c>
      <c r="F93" s="1" t="s">
        <v>35</v>
      </c>
      <c r="G93" s="10">
        <v>1</v>
      </c>
      <c r="H93" s="10">
        <v>4</v>
      </c>
      <c r="I93" s="10">
        <v>1</v>
      </c>
      <c r="J93" s="13" t="s">
        <v>71</v>
      </c>
      <c r="K93" s="13">
        <v>29875</v>
      </c>
      <c r="L93" s="3" t="s">
        <v>61</v>
      </c>
      <c r="M93" s="16" t="s">
        <v>258</v>
      </c>
      <c r="N93" s="4" t="s">
        <v>20</v>
      </c>
      <c r="O93" s="1" t="s">
        <v>33</v>
      </c>
      <c r="P93" s="1">
        <v>2</v>
      </c>
      <c r="Q93" s="28" t="s">
        <v>259</v>
      </c>
      <c r="R93" s="15" t="s">
        <v>23</v>
      </c>
      <c r="S93" s="17" t="s">
        <v>260</v>
      </c>
    </row>
    <row r="94" spans="1:19" ht="15.75" customHeight="1">
      <c r="A94" s="10">
        <v>70</v>
      </c>
      <c r="B94" s="10">
        <v>2020</v>
      </c>
      <c r="C94" s="11" t="s">
        <v>102</v>
      </c>
      <c r="D94" s="12">
        <v>44007</v>
      </c>
      <c r="E94" s="11" t="s">
        <v>20</v>
      </c>
      <c r="F94" s="1" t="s">
        <v>35</v>
      </c>
      <c r="G94" s="10">
        <v>1</v>
      </c>
      <c r="H94" s="10">
        <v>4</v>
      </c>
      <c r="I94" s="10">
        <v>2</v>
      </c>
      <c r="J94" s="13" t="s">
        <v>71</v>
      </c>
      <c r="K94" s="13">
        <v>29879</v>
      </c>
      <c r="L94" s="3" t="s">
        <v>61</v>
      </c>
      <c r="M94" s="16" t="s">
        <v>261</v>
      </c>
      <c r="N94" s="4" t="s">
        <v>20</v>
      </c>
      <c r="O94" s="1" t="s">
        <v>23</v>
      </c>
      <c r="P94" s="1" t="s">
        <v>23</v>
      </c>
      <c r="Q94" s="20" t="s">
        <v>23</v>
      </c>
      <c r="R94" s="15" t="s">
        <v>23</v>
      </c>
      <c r="S94" s="20" t="s">
        <v>23</v>
      </c>
    </row>
    <row r="95" spans="1:19" ht="15.75" customHeight="1">
      <c r="A95" s="10">
        <v>70</v>
      </c>
      <c r="B95" s="10">
        <v>2020</v>
      </c>
      <c r="C95" s="11" t="s">
        <v>102</v>
      </c>
      <c r="D95" s="12">
        <v>44007</v>
      </c>
      <c r="E95" s="11" t="s">
        <v>20</v>
      </c>
      <c r="F95" s="1" t="s">
        <v>35</v>
      </c>
      <c r="G95" s="10">
        <v>1</v>
      </c>
      <c r="H95" s="10">
        <v>4</v>
      </c>
      <c r="I95" s="10">
        <v>3</v>
      </c>
      <c r="J95" s="13" t="s">
        <v>71</v>
      </c>
      <c r="K95" s="13">
        <v>29881</v>
      </c>
      <c r="L95" s="14" t="s">
        <v>61</v>
      </c>
      <c r="M95" s="16" t="s">
        <v>262</v>
      </c>
      <c r="N95" s="4" t="s">
        <v>20</v>
      </c>
      <c r="O95" s="1" t="s">
        <v>23</v>
      </c>
      <c r="P95" s="1" t="s">
        <v>23</v>
      </c>
      <c r="Q95" s="20" t="s">
        <v>23</v>
      </c>
      <c r="R95" s="15" t="s">
        <v>23</v>
      </c>
      <c r="S95" s="20" t="s">
        <v>23</v>
      </c>
    </row>
    <row r="96" spans="1:19" ht="15.75" customHeight="1">
      <c r="A96" s="10">
        <v>70</v>
      </c>
      <c r="B96" s="10">
        <v>2020</v>
      </c>
      <c r="C96" s="11" t="s">
        <v>102</v>
      </c>
      <c r="D96" s="12">
        <v>44007</v>
      </c>
      <c r="E96" s="11" t="s">
        <v>20</v>
      </c>
      <c r="F96" s="1" t="s">
        <v>35</v>
      </c>
      <c r="G96" s="10">
        <v>1</v>
      </c>
      <c r="H96" s="10">
        <v>4</v>
      </c>
      <c r="I96" s="10">
        <v>4</v>
      </c>
      <c r="J96" s="13" t="s">
        <v>71</v>
      </c>
      <c r="K96" s="13">
        <v>30346</v>
      </c>
      <c r="L96" s="3" t="s">
        <v>61</v>
      </c>
      <c r="M96" s="16" t="s">
        <v>263</v>
      </c>
      <c r="N96" s="4" t="s">
        <v>20</v>
      </c>
      <c r="O96" s="1" t="s">
        <v>23</v>
      </c>
      <c r="P96" s="1" t="s">
        <v>23</v>
      </c>
      <c r="Q96" s="20" t="s">
        <v>23</v>
      </c>
      <c r="R96" s="15" t="s">
        <v>23</v>
      </c>
      <c r="S96" s="20" t="s">
        <v>23</v>
      </c>
    </row>
    <row r="97" spans="1:19" ht="15.75" customHeight="1">
      <c r="A97" s="10">
        <v>71</v>
      </c>
      <c r="B97" s="10">
        <v>2020</v>
      </c>
      <c r="C97" s="11" t="s">
        <v>102</v>
      </c>
      <c r="D97" s="12">
        <v>44012</v>
      </c>
      <c r="E97" s="11" t="s">
        <v>33</v>
      </c>
      <c r="F97" s="6" t="s">
        <v>264</v>
      </c>
      <c r="G97" s="10">
        <v>3</v>
      </c>
      <c r="H97" s="10">
        <v>1</v>
      </c>
      <c r="I97" s="10">
        <v>1</v>
      </c>
      <c r="J97" s="13" t="s">
        <v>22</v>
      </c>
      <c r="K97" s="4" t="s">
        <v>23</v>
      </c>
      <c r="L97" s="14" t="s">
        <v>23</v>
      </c>
      <c r="M97" s="15" t="s">
        <v>265</v>
      </c>
      <c r="N97" s="11" t="s">
        <v>23</v>
      </c>
      <c r="O97" s="1" t="s">
        <v>33</v>
      </c>
      <c r="P97" s="1">
        <v>1</v>
      </c>
      <c r="Q97" s="28" t="s">
        <v>266</v>
      </c>
      <c r="R97" s="29" t="s">
        <v>267</v>
      </c>
      <c r="S97" s="26" t="s">
        <v>268</v>
      </c>
    </row>
    <row r="98" spans="1:19" ht="15.75" customHeight="1">
      <c r="A98" s="10">
        <v>72</v>
      </c>
      <c r="B98" s="10">
        <v>2020</v>
      </c>
      <c r="C98" s="11" t="s">
        <v>102</v>
      </c>
      <c r="D98" s="12">
        <v>44012</v>
      </c>
      <c r="E98" s="11" t="s">
        <v>33</v>
      </c>
      <c r="F98" s="6" t="s">
        <v>269</v>
      </c>
      <c r="G98" s="10">
        <v>2</v>
      </c>
      <c r="H98" s="10">
        <v>1</v>
      </c>
      <c r="I98" s="10">
        <v>1</v>
      </c>
      <c r="J98" s="13" t="s">
        <v>30</v>
      </c>
      <c r="K98" s="13">
        <v>30569</v>
      </c>
      <c r="L98" s="14" t="s">
        <v>61</v>
      </c>
      <c r="M98" s="15" t="s">
        <v>270</v>
      </c>
      <c r="N98" s="4" t="s">
        <v>33</v>
      </c>
      <c r="O98" s="1" t="s">
        <v>20</v>
      </c>
      <c r="P98" s="1">
        <v>0</v>
      </c>
      <c r="Q98" s="28" t="s">
        <v>271</v>
      </c>
      <c r="R98" s="29" t="s">
        <v>272</v>
      </c>
      <c r="S98" s="26" t="s">
        <v>273</v>
      </c>
    </row>
    <row r="99" spans="1:19" ht="15.75" customHeight="1">
      <c r="A99" s="10">
        <v>73</v>
      </c>
      <c r="B99" s="10">
        <v>2020</v>
      </c>
      <c r="C99" s="11" t="s">
        <v>102</v>
      </c>
      <c r="D99" s="12">
        <v>44012</v>
      </c>
      <c r="E99" s="11" t="s">
        <v>20</v>
      </c>
      <c r="F99" s="1" t="s">
        <v>43</v>
      </c>
      <c r="G99" s="10">
        <v>1</v>
      </c>
      <c r="H99" s="10">
        <v>1</v>
      </c>
      <c r="I99" s="10">
        <v>1</v>
      </c>
      <c r="J99" s="13" t="s">
        <v>22</v>
      </c>
      <c r="K99" s="4" t="s">
        <v>23</v>
      </c>
      <c r="L99" s="14" t="s">
        <v>23</v>
      </c>
      <c r="M99" s="16" t="s">
        <v>274</v>
      </c>
      <c r="N99" s="11" t="s">
        <v>23</v>
      </c>
      <c r="O99" s="1" t="s">
        <v>33</v>
      </c>
      <c r="P99" s="1">
        <v>1</v>
      </c>
      <c r="Q99" s="28" t="s">
        <v>275</v>
      </c>
      <c r="R99" s="29" t="s">
        <v>276</v>
      </c>
      <c r="S99" s="17" t="s">
        <v>277</v>
      </c>
    </row>
    <row r="100" spans="1:19" ht="15.75" customHeight="1">
      <c r="A100" s="10">
        <v>74</v>
      </c>
      <c r="B100" s="10">
        <v>2020</v>
      </c>
      <c r="C100" s="11" t="s">
        <v>102</v>
      </c>
      <c r="D100" s="12">
        <v>44014</v>
      </c>
      <c r="E100" s="11" t="s">
        <v>20</v>
      </c>
      <c r="F100" s="1" t="s">
        <v>49</v>
      </c>
      <c r="G100" s="10">
        <v>1</v>
      </c>
      <c r="H100" s="10">
        <v>1</v>
      </c>
      <c r="I100" s="10">
        <v>1</v>
      </c>
      <c r="J100" s="13" t="s">
        <v>22</v>
      </c>
      <c r="K100" s="4" t="s">
        <v>23</v>
      </c>
      <c r="L100" s="14" t="s">
        <v>23</v>
      </c>
      <c r="M100" s="15" t="s">
        <v>278</v>
      </c>
      <c r="N100" s="11" t="s">
        <v>23</v>
      </c>
      <c r="O100" s="1" t="s">
        <v>33</v>
      </c>
      <c r="P100" s="1">
        <v>1</v>
      </c>
      <c r="Q100" s="28" t="s">
        <v>279</v>
      </c>
      <c r="R100" s="29" t="s">
        <v>280</v>
      </c>
      <c r="S100" s="17" t="s">
        <v>281</v>
      </c>
    </row>
    <row r="101" spans="1:19" ht="15.75" customHeight="1">
      <c r="A101" s="10">
        <v>75</v>
      </c>
      <c r="B101" s="10">
        <v>2020</v>
      </c>
      <c r="C101" s="11" t="s">
        <v>102</v>
      </c>
      <c r="D101" s="12">
        <v>44014</v>
      </c>
      <c r="E101" s="11" t="s">
        <v>33</v>
      </c>
      <c r="F101" s="6" t="s">
        <v>282</v>
      </c>
      <c r="G101" s="10">
        <v>2</v>
      </c>
      <c r="H101" s="10">
        <v>1</v>
      </c>
      <c r="I101" s="10">
        <v>1</v>
      </c>
      <c r="J101" s="13" t="s">
        <v>22</v>
      </c>
      <c r="K101" s="4" t="s">
        <v>23</v>
      </c>
      <c r="L101" s="14" t="s">
        <v>23</v>
      </c>
      <c r="M101" s="15" t="s">
        <v>283</v>
      </c>
      <c r="N101" s="11" t="s">
        <v>23</v>
      </c>
      <c r="O101" s="1" t="s">
        <v>20</v>
      </c>
      <c r="P101" s="1">
        <v>0</v>
      </c>
      <c r="Q101" s="28" t="s">
        <v>284</v>
      </c>
      <c r="R101" s="29" t="s">
        <v>285</v>
      </c>
      <c r="S101" s="26" t="s">
        <v>286</v>
      </c>
    </row>
    <row r="102" spans="1:19" ht="15.75" customHeight="1">
      <c r="A102" s="10">
        <v>76</v>
      </c>
      <c r="B102" s="10">
        <v>2020</v>
      </c>
      <c r="C102" s="11" t="s">
        <v>102</v>
      </c>
      <c r="D102" s="12">
        <v>44019</v>
      </c>
      <c r="E102" s="11" t="s">
        <v>33</v>
      </c>
      <c r="F102" s="6" t="s">
        <v>225</v>
      </c>
      <c r="G102" s="10">
        <v>2</v>
      </c>
      <c r="H102" s="10">
        <v>1</v>
      </c>
      <c r="I102" s="10">
        <v>1</v>
      </c>
      <c r="J102" s="13" t="s">
        <v>30</v>
      </c>
      <c r="K102" s="13">
        <v>30673</v>
      </c>
      <c r="L102" s="3" t="s">
        <v>31</v>
      </c>
      <c r="M102" s="16" t="s">
        <v>287</v>
      </c>
      <c r="N102" s="4" t="s">
        <v>33</v>
      </c>
      <c r="O102" s="1" t="s">
        <v>33</v>
      </c>
      <c r="P102" s="6">
        <v>6</v>
      </c>
      <c r="Q102" s="28" t="s">
        <v>288</v>
      </c>
      <c r="R102" s="29" t="s">
        <v>289</v>
      </c>
      <c r="S102" s="17" t="s">
        <v>290</v>
      </c>
    </row>
    <row r="103" spans="1:19" ht="15.75" customHeight="1">
      <c r="A103" s="10">
        <v>77</v>
      </c>
      <c r="B103" s="10">
        <v>2020</v>
      </c>
      <c r="C103" s="11" t="s">
        <v>102</v>
      </c>
      <c r="D103" s="12">
        <v>44019</v>
      </c>
      <c r="E103" s="11" t="s">
        <v>20</v>
      </c>
      <c r="F103" s="1" t="s">
        <v>37</v>
      </c>
      <c r="G103" s="10">
        <v>1</v>
      </c>
      <c r="H103" s="10">
        <v>2</v>
      </c>
      <c r="I103" s="10">
        <v>1</v>
      </c>
      <c r="J103" s="13" t="s">
        <v>30</v>
      </c>
      <c r="K103" s="13">
        <v>30578</v>
      </c>
      <c r="L103" s="3" t="s">
        <v>61</v>
      </c>
      <c r="M103" s="16" t="s">
        <v>291</v>
      </c>
      <c r="N103" s="4" t="s">
        <v>33</v>
      </c>
      <c r="O103" s="1" t="s">
        <v>20</v>
      </c>
      <c r="P103" s="1">
        <v>0</v>
      </c>
      <c r="Q103" s="28" t="s">
        <v>292</v>
      </c>
      <c r="R103" s="15" t="s">
        <v>23</v>
      </c>
      <c r="S103" s="17" t="s">
        <v>293</v>
      </c>
    </row>
    <row r="104" spans="1:19" ht="15.75" customHeight="1">
      <c r="A104" s="10">
        <v>77</v>
      </c>
      <c r="B104" s="10">
        <v>2020</v>
      </c>
      <c r="C104" s="11" t="s">
        <v>102</v>
      </c>
      <c r="D104" s="12">
        <v>44019</v>
      </c>
      <c r="E104" s="11" t="s">
        <v>20</v>
      </c>
      <c r="F104" s="1" t="s">
        <v>37</v>
      </c>
      <c r="G104" s="10">
        <v>1</v>
      </c>
      <c r="H104" s="10">
        <v>2</v>
      </c>
      <c r="I104" s="10">
        <v>2</v>
      </c>
      <c r="J104" s="13" t="s">
        <v>64</v>
      </c>
      <c r="K104" s="13">
        <v>30653</v>
      </c>
      <c r="L104" s="3" t="s">
        <v>31</v>
      </c>
      <c r="M104" s="16" t="s">
        <v>294</v>
      </c>
      <c r="N104" s="4" t="s">
        <v>33</v>
      </c>
      <c r="O104" s="1" t="s">
        <v>23</v>
      </c>
      <c r="P104" s="1" t="s">
        <v>23</v>
      </c>
      <c r="Q104" s="20" t="s">
        <v>23</v>
      </c>
      <c r="R104" s="15" t="s">
        <v>23</v>
      </c>
      <c r="S104" s="20" t="s">
        <v>23</v>
      </c>
    </row>
    <row r="105" spans="1:19" ht="15.75" customHeight="1">
      <c r="A105" s="10">
        <v>78</v>
      </c>
      <c r="B105" s="10">
        <v>2020</v>
      </c>
      <c r="C105" s="11" t="s">
        <v>102</v>
      </c>
      <c r="D105" s="12">
        <v>44019</v>
      </c>
      <c r="E105" s="11" t="s">
        <v>33</v>
      </c>
      <c r="F105" s="6" t="s">
        <v>295</v>
      </c>
      <c r="G105" s="10">
        <v>2</v>
      </c>
      <c r="H105" s="10">
        <v>1</v>
      </c>
      <c r="I105" s="10">
        <v>1</v>
      </c>
      <c r="J105" s="13" t="s">
        <v>22</v>
      </c>
      <c r="K105" s="4" t="s">
        <v>23</v>
      </c>
      <c r="L105" s="14" t="s">
        <v>23</v>
      </c>
      <c r="M105" s="15" t="s">
        <v>296</v>
      </c>
      <c r="N105" s="11" t="s">
        <v>23</v>
      </c>
      <c r="O105" s="1" t="s">
        <v>33</v>
      </c>
      <c r="P105" s="6">
        <v>10</v>
      </c>
      <c r="Q105" s="28" t="s">
        <v>297</v>
      </c>
      <c r="R105" s="31" t="s">
        <v>23</v>
      </c>
      <c r="S105" s="17" t="s">
        <v>298</v>
      </c>
    </row>
    <row r="106" spans="1:19" ht="15.75" customHeight="1">
      <c r="A106" s="10">
        <v>79</v>
      </c>
      <c r="B106" s="10">
        <v>2020</v>
      </c>
      <c r="C106" s="11" t="s">
        <v>102</v>
      </c>
      <c r="D106" s="12">
        <v>44026</v>
      </c>
      <c r="E106" s="11" t="s">
        <v>33</v>
      </c>
      <c r="F106" s="6" t="s">
        <v>299</v>
      </c>
      <c r="G106" s="10">
        <v>2</v>
      </c>
      <c r="H106" s="10">
        <v>1</v>
      </c>
      <c r="I106" s="10">
        <v>1</v>
      </c>
      <c r="J106" s="13" t="s">
        <v>22</v>
      </c>
      <c r="K106" s="4" t="s">
        <v>23</v>
      </c>
      <c r="L106" s="14" t="s">
        <v>23</v>
      </c>
      <c r="M106" s="15" t="s">
        <v>300</v>
      </c>
      <c r="N106" s="11" t="s">
        <v>23</v>
      </c>
      <c r="O106" s="1" t="s">
        <v>33</v>
      </c>
      <c r="P106" s="1">
        <v>1</v>
      </c>
      <c r="Q106" s="28" t="s">
        <v>301</v>
      </c>
      <c r="R106" s="29" t="s">
        <v>302</v>
      </c>
      <c r="S106" s="17" t="s">
        <v>303</v>
      </c>
    </row>
    <row r="107" spans="1:19" ht="15.75" customHeight="1">
      <c r="A107" s="10">
        <v>80</v>
      </c>
      <c r="B107" s="10">
        <v>2020</v>
      </c>
      <c r="C107" s="11" t="s">
        <v>102</v>
      </c>
      <c r="D107" s="12">
        <v>44026</v>
      </c>
      <c r="E107" s="11" t="s">
        <v>20</v>
      </c>
      <c r="F107" s="1" t="s">
        <v>37</v>
      </c>
      <c r="G107" s="10">
        <v>1</v>
      </c>
      <c r="H107" s="10">
        <v>1</v>
      </c>
      <c r="I107" s="10">
        <v>1</v>
      </c>
      <c r="J107" s="13" t="s">
        <v>71</v>
      </c>
      <c r="K107" s="13">
        <v>30692</v>
      </c>
      <c r="L107" s="14" t="s">
        <v>61</v>
      </c>
      <c r="M107" s="16" t="s">
        <v>304</v>
      </c>
      <c r="N107" s="4" t="s">
        <v>33</v>
      </c>
      <c r="O107" s="1" t="s">
        <v>20</v>
      </c>
      <c r="P107" s="1">
        <v>0</v>
      </c>
      <c r="Q107" s="28" t="s">
        <v>305</v>
      </c>
      <c r="R107" s="29" t="s">
        <v>306</v>
      </c>
      <c r="S107" s="17" t="s">
        <v>307</v>
      </c>
    </row>
    <row r="108" spans="1:19" ht="15.75" customHeight="1">
      <c r="A108" s="10">
        <v>81</v>
      </c>
      <c r="B108" s="10">
        <v>2020</v>
      </c>
      <c r="C108" s="11" t="s">
        <v>102</v>
      </c>
      <c r="D108" s="12">
        <v>44026</v>
      </c>
      <c r="E108" s="11" t="s">
        <v>20</v>
      </c>
      <c r="F108" s="1" t="s">
        <v>79</v>
      </c>
      <c r="G108" s="10">
        <v>1</v>
      </c>
      <c r="H108" s="10">
        <v>1</v>
      </c>
      <c r="I108" s="10">
        <v>1</v>
      </c>
      <c r="J108" s="13" t="s">
        <v>22</v>
      </c>
      <c r="K108" s="4" t="s">
        <v>23</v>
      </c>
      <c r="L108" s="14" t="s">
        <v>23</v>
      </c>
      <c r="M108" s="16" t="s">
        <v>308</v>
      </c>
      <c r="N108" s="11" t="s">
        <v>23</v>
      </c>
      <c r="O108" s="1" t="s">
        <v>20</v>
      </c>
      <c r="P108" s="1">
        <v>0</v>
      </c>
      <c r="Q108" s="28" t="s">
        <v>309</v>
      </c>
      <c r="R108" s="15" t="s">
        <v>23</v>
      </c>
      <c r="S108" s="17" t="s">
        <v>310</v>
      </c>
    </row>
    <row r="109" spans="1:19" ht="15.75" customHeight="1">
      <c r="A109" s="10">
        <v>82</v>
      </c>
      <c r="B109" s="10">
        <v>2020</v>
      </c>
      <c r="C109" s="11" t="s">
        <v>102</v>
      </c>
      <c r="D109" s="12">
        <v>44027</v>
      </c>
      <c r="E109" s="11" t="s">
        <v>20</v>
      </c>
      <c r="F109" s="1" t="s">
        <v>28</v>
      </c>
      <c r="G109" s="10">
        <v>1</v>
      </c>
      <c r="H109" s="10">
        <v>2</v>
      </c>
      <c r="I109" s="10">
        <v>1</v>
      </c>
      <c r="J109" s="13" t="s">
        <v>71</v>
      </c>
      <c r="K109" s="13">
        <v>29952</v>
      </c>
      <c r="L109" s="14" t="s">
        <v>61</v>
      </c>
      <c r="M109" s="16" t="s">
        <v>311</v>
      </c>
      <c r="N109" s="4" t="s">
        <v>20</v>
      </c>
      <c r="O109" s="1" t="s">
        <v>33</v>
      </c>
      <c r="P109" s="1">
        <v>2</v>
      </c>
      <c r="Q109" s="28" t="s">
        <v>312</v>
      </c>
      <c r="R109" s="29" t="s">
        <v>313</v>
      </c>
      <c r="S109" s="17" t="s">
        <v>314</v>
      </c>
    </row>
    <row r="110" spans="1:19" ht="15.75" customHeight="1">
      <c r="A110" s="10">
        <v>82</v>
      </c>
      <c r="B110" s="10">
        <v>2020</v>
      </c>
      <c r="C110" s="11" t="s">
        <v>102</v>
      </c>
      <c r="D110" s="12">
        <v>44027</v>
      </c>
      <c r="E110" s="11" t="s">
        <v>20</v>
      </c>
      <c r="F110" s="1" t="s">
        <v>28</v>
      </c>
      <c r="G110" s="10">
        <v>1</v>
      </c>
      <c r="H110" s="10">
        <v>2</v>
      </c>
      <c r="I110" s="10">
        <v>2</v>
      </c>
      <c r="J110" s="13" t="s">
        <v>71</v>
      </c>
      <c r="K110" s="13">
        <v>29915</v>
      </c>
      <c r="L110" s="3" t="s">
        <v>61</v>
      </c>
      <c r="M110" s="16" t="s">
        <v>315</v>
      </c>
      <c r="N110" s="4" t="s">
        <v>20</v>
      </c>
      <c r="O110" s="1" t="s">
        <v>23</v>
      </c>
      <c r="P110" s="1" t="s">
        <v>23</v>
      </c>
      <c r="Q110" s="7" t="s">
        <v>23</v>
      </c>
      <c r="R110" s="15" t="s">
        <v>23</v>
      </c>
      <c r="S110" s="20" t="s">
        <v>23</v>
      </c>
    </row>
    <row r="111" spans="1:19" ht="15.75" customHeight="1">
      <c r="A111" s="10">
        <v>83</v>
      </c>
      <c r="B111" s="10">
        <v>2020</v>
      </c>
      <c r="C111" s="11" t="s">
        <v>102</v>
      </c>
      <c r="D111" s="12">
        <v>44027</v>
      </c>
      <c r="E111" s="11" t="s">
        <v>20</v>
      </c>
      <c r="F111" s="1" t="s">
        <v>53</v>
      </c>
      <c r="G111" s="10">
        <v>1</v>
      </c>
      <c r="H111" s="10">
        <v>1</v>
      </c>
      <c r="I111" s="10">
        <v>1</v>
      </c>
      <c r="J111" s="13" t="s">
        <v>30</v>
      </c>
      <c r="K111" s="13">
        <v>30578</v>
      </c>
      <c r="L111" s="3" t="s">
        <v>61</v>
      </c>
      <c r="M111" s="15" t="s">
        <v>316</v>
      </c>
      <c r="N111" s="4" t="s">
        <v>33</v>
      </c>
      <c r="O111" s="1" t="s">
        <v>20</v>
      </c>
      <c r="P111" s="1">
        <v>0</v>
      </c>
      <c r="Q111" s="28" t="s">
        <v>317</v>
      </c>
      <c r="R111" s="29" t="s">
        <v>318</v>
      </c>
      <c r="S111" s="17" t="s">
        <v>319</v>
      </c>
    </row>
    <row r="112" spans="1:19" ht="15.75" customHeight="1">
      <c r="A112" s="10">
        <v>84</v>
      </c>
      <c r="B112" s="10">
        <v>2020</v>
      </c>
      <c r="C112" s="11" t="s">
        <v>102</v>
      </c>
      <c r="D112" s="12">
        <v>44028</v>
      </c>
      <c r="E112" s="11" t="s">
        <v>33</v>
      </c>
      <c r="F112" s="6" t="s">
        <v>320</v>
      </c>
      <c r="G112" s="10">
        <v>3</v>
      </c>
      <c r="H112" s="10">
        <v>1</v>
      </c>
      <c r="I112" s="10">
        <v>1</v>
      </c>
      <c r="J112" s="13" t="s">
        <v>30</v>
      </c>
      <c r="K112" s="13">
        <v>30700</v>
      </c>
      <c r="L112" s="3" t="s">
        <v>61</v>
      </c>
      <c r="M112" s="15" t="s">
        <v>321</v>
      </c>
      <c r="N112" s="4" t="s">
        <v>20</v>
      </c>
      <c r="O112" s="1" t="s">
        <v>20</v>
      </c>
      <c r="P112" s="1">
        <v>0</v>
      </c>
      <c r="Q112" s="28" t="s">
        <v>322</v>
      </c>
      <c r="R112" s="29" t="s">
        <v>323</v>
      </c>
      <c r="S112" s="17" t="s">
        <v>324</v>
      </c>
    </row>
    <row r="113" spans="1:19" ht="15.75" customHeight="1">
      <c r="A113" s="10">
        <v>85</v>
      </c>
      <c r="B113" s="10">
        <v>2020</v>
      </c>
      <c r="C113" s="11" t="s">
        <v>102</v>
      </c>
      <c r="D113" s="12">
        <v>44033</v>
      </c>
      <c r="E113" s="11" t="s">
        <v>20</v>
      </c>
      <c r="F113" s="1" t="s">
        <v>45</v>
      </c>
      <c r="G113" s="10">
        <v>1</v>
      </c>
      <c r="H113" s="10">
        <v>1</v>
      </c>
      <c r="I113" s="10">
        <v>1</v>
      </c>
      <c r="J113" s="13" t="s">
        <v>22</v>
      </c>
      <c r="K113" s="4" t="s">
        <v>23</v>
      </c>
      <c r="L113" s="14" t="s">
        <v>23</v>
      </c>
      <c r="M113" s="15" t="s">
        <v>325</v>
      </c>
      <c r="N113" s="11" t="s">
        <v>23</v>
      </c>
      <c r="O113" s="1" t="s">
        <v>33</v>
      </c>
      <c r="P113" s="1">
        <v>1</v>
      </c>
      <c r="Q113" s="28" t="s">
        <v>326</v>
      </c>
      <c r="R113" s="29" t="s">
        <v>327</v>
      </c>
      <c r="S113" s="17" t="s">
        <v>328</v>
      </c>
    </row>
    <row r="114" spans="1:19" ht="15.75" customHeight="1">
      <c r="A114" s="10">
        <v>86</v>
      </c>
      <c r="B114" s="10">
        <v>2020</v>
      </c>
      <c r="C114" s="11" t="s">
        <v>102</v>
      </c>
      <c r="D114" s="12">
        <v>44033</v>
      </c>
      <c r="E114" s="11" t="s">
        <v>20</v>
      </c>
      <c r="F114" s="1" t="s">
        <v>41</v>
      </c>
      <c r="G114" s="10">
        <v>1</v>
      </c>
      <c r="H114" s="10">
        <v>1</v>
      </c>
      <c r="I114" s="10">
        <v>1</v>
      </c>
      <c r="J114" s="13" t="s">
        <v>22</v>
      </c>
      <c r="K114" s="4" t="s">
        <v>23</v>
      </c>
      <c r="L114" s="14" t="s">
        <v>23</v>
      </c>
      <c r="M114" s="15" t="s">
        <v>329</v>
      </c>
      <c r="N114" s="11" t="s">
        <v>23</v>
      </c>
      <c r="O114" s="1" t="s">
        <v>33</v>
      </c>
      <c r="P114" s="1">
        <v>2</v>
      </c>
      <c r="Q114" s="28" t="s">
        <v>330</v>
      </c>
      <c r="R114" s="15" t="s">
        <v>23</v>
      </c>
      <c r="S114" s="17" t="s">
        <v>331</v>
      </c>
    </row>
    <row r="115" spans="1:19" ht="15.75" customHeight="1">
      <c r="A115" s="10">
        <v>87</v>
      </c>
      <c r="B115" s="10">
        <v>2020</v>
      </c>
      <c r="C115" s="11" t="s">
        <v>102</v>
      </c>
      <c r="D115" s="12">
        <v>44033</v>
      </c>
      <c r="E115" s="11" t="s">
        <v>33</v>
      </c>
      <c r="F115" s="6" t="s">
        <v>98</v>
      </c>
      <c r="G115" s="10">
        <v>2</v>
      </c>
      <c r="H115" s="10">
        <v>1</v>
      </c>
      <c r="I115" s="10">
        <v>1</v>
      </c>
      <c r="J115" s="13" t="s">
        <v>30</v>
      </c>
      <c r="K115" s="13">
        <v>30698</v>
      </c>
      <c r="L115" s="14" t="s">
        <v>61</v>
      </c>
      <c r="M115" s="15" t="s">
        <v>332</v>
      </c>
      <c r="N115" s="4" t="s">
        <v>20</v>
      </c>
      <c r="O115" s="1" t="s">
        <v>20</v>
      </c>
      <c r="P115" s="1">
        <v>0</v>
      </c>
      <c r="Q115" s="28" t="s">
        <v>333</v>
      </c>
      <c r="R115" s="29" t="s">
        <v>334</v>
      </c>
      <c r="S115" s="17" t="s">
        <v>335</v>
      </c>
    </row>
    <row r="116" spans="1:19" ht="15.75" customHeight="1">
      <c r="A116" s="10">
        <v>88</v>
      </c>
      <c r="B116" s="10">
        <v>2020</v>
      </c>
      <c r="C116" s="11" t="s">
        <v>102</v>
      </c>
      <c r="D116" s="12">
        <v>44035</v>
      </c>
      <c r="E116" s="11" t="s">
        <v>20</v>
      </c>
      <c r="F116" s="1" t="s">
        <v>55</v>
      </c>
      <c r="G116" s="10">
        <v>1</v>
      </c>
      <c r="H116" s="10">
        <v>5</v>
      </c>
      <c r="I116" s="10">
        <v>1</v>
      </c>
      <c r="J116" s="13" t="s">
        <v>71</v>
      </c>
      <c r="K116" s="13">
        <v>29955</v>
      </c>
      <c r="L116" s="14" t="s">
        <v>61</v>
      </c>
      <c r="M116" s="16" t="s">
        <v>336</v>
      </c>
      <c r="N116" s="4" t="s">
        <v>20</v>
      </c>
      <c r="O116" s="1" t="s">
        <v>20</v>
      </c>
      <c r="P116" s="1">
        <v>0</v>
      </c>
      <c r="Q116" s="28" t="s">
        <v>337</v>
      </c>
      <c r="R116" s="29" t="s">
        <v>338</v>
      </c>
      <c r="S116" s="17" t="s">
        <v>339</v>
      </c>
    </row>
    <row r="117" spans="1:19" ht="15.75" customHeight="1">
      <c r="A117" s="10">
        <v>88</v>
      </c>
      <c r="B117" s="10">
        <v>2020</v>
      </c>
      <c r="C117" s="11" t="s">
        <v>102</v>
      </c>
      <c r="D117" s="12">
        <v>44035</v>
      </c>
      <c r="E117" s="11" t="s">
        <v>20</v>
      </c>
      <c r="F117" s="1" t="s">
        <v>55</v>
      </c>
      <c r="G117" s="10">
        <v>1</v>
      </c>
      <c r="H117" s="10">
        <v>5</v>
      </c>
      <c r="I117" s="10">
        <v>2</v>
      </c>
      <c r="J117" s="13" t="s">
        <v>71</v>
      </c>
      <c r="K117" s="13">
        <v>30058</v>
      </c>
      <c r="L117" s="3" t="s">
        <v>61</v>
      </c>
      <c r="M117" s="16" t="s">
        <v>340</v>
      </c>
      <c r="N117" s="4" t="s">
        <v>20</v>
      </c>
      <c r="O117" s="1" t="s">
        <v>23</v>
      </c>
      <c r="P117" s="1" t="s">
        <v>23</v>
      </c>
      <c r="Q117" s="20" t="s">
        <v>23</v>
      </c>
      <c r="R117" s="15" t="s">
        <v>23</v>
      </c>
      <c r="S117" s="20" t="s">
        <v>23</v>
      </c>
    </row>
    <row r="118" spans="1:19" ht="15.75" customHeight="1">
      <c r="A118" s="10">
        <v>88</v>
      </c>
      <c r="B118" s="10">
        <v>2020</v>
      </c>
      <c r="C118" s="11" t="s">
        <v>102</v>
      </c>
      <c r="D118" s="12">
        <v>44035</v>
      </c>
      <c r="E118" s="11" t="s">
        <v>20</v>
      </c>
      <c r="F118" s="1" t="s">
        <v>55</v>
      </c>
      <c r="G118" s="10">
        <v>1</v>
      </c>
      <c r="H118" s="10">
        <v>5</v>
      </c>
      <c r="I118" s="10">
        <v>3</v>
      </c>
      <c r="J118" s="13" t="s">
        <v>71</v>
      </c>
      <c r="K118" s="13">
        <v>30242</v>
      </c>
      <c r="L118" s="3" t="s">
        <v>61</v>
      </c>
      <c r="M118" s="16" t="s">
        <v>341</v>
      </c>
      <c r="N118" s="4" t="s">
        <v>20</v>
      </c>
      <c r="O118" s="1" t="s">
        <v>23</v>
      </c>
      <c r="P118" s="1" t="s">
        <v>23</v>
      </c>
      <c r="Q118" s="20" t="s">
        <v>23</v>
      </c>
      <c r="R118" s="15" t="s">
        <v>23</v>
      </c>
      <c r="S118" s="20" t="s">
        <v>23</v>
      </c>
    </row>
    <row r="119" spans="1:19" ht="15.75" customHeight="1">
      <c r="A119" s="10">
        <v>88</v>
      </c>
      <c r="B119" s="10">
        <v>2020</v>
      </c>
      <c r="C119" s="11" t="s">
        <v>102</v>
      </c>
      <c r="D119" s="12">
        <v>44035</v>
      </c>
      <c r="E119" s="11" t="s">
        <v>20</v>
      </c>
      <c r="F119" s="1" t="s">
        <v>55</v>
      </c>
      <c r="G119" s="10">
        <v>1</v>
      </c>
      <c r="H119" s="10">
        <v>5</v>
      </c>
      <c r="I119" s="10">
        <v>4</v>
      </c>
      <c r="J119" s="13" t="s">
        <v>71</v>
      </c>
      <c r="K119" s="13">
        <v>30264</v>
      </c>
      <c r="L119" s="3" t="s">
        <v>61</v>
      </c>
      <c r="M119" s="16" t="s">
        <v>342</v>
      </c>
      <c r="N119" s="4" t="s">
        <v>20</v>
      </c>
      <c r="O119" s="1" t="s">
        <v>23</v>
      </c>
      <c r="P119" s="1" t="s">
        <v>23</v>
      </c>
      <c r="Q119" s="20" t="s">
        <v>23</v>
      </c>
      <c r="R119" s="15" t="s">
        <v>23</v>
      </c>
      <c r="S119" s="20" t="s">
        <v>23</v>
      </c>
    </row>
    <row r="120" spans="1:19" ht="15.75" customHeight="1">
      <c r="A120" s="10">
        <v>88</v>
      </c>
      <c r="B120" s="10">
        <v>2020</v>
      </c>
      <c r="C120" s="11" t="s">
        <v>102</v>
      </c>
      <c r="D120" s="12">
        <v>44035</v>
      </c>
      <c r="E120" s="11" t="s">
        <v>20</v>
      </c>
      <c r="F120" s="1" t="s">
        <v>55</v>
      </c>
      <c r="G120" s="10">
        <v>1</v>
      </c>
      <c r="H120" s="10">
        <v>5</v>
      </c>
      <c r="I120" s="10">
        <v>5</v>
      </c>
      <c r="J120" s="13" t="s">
        <v>71</v>
      </c>
      <c r="K120" s="13">
        <v>30276</v>
      </c>
      <c r="L120" s="14" t="s">
        <v>61</v>
      </c>
      <c r="M120" s="16" t="s">
        <v>343</v>
      </c>
      <c r="N120" s="4" t="s">
        <v>20</v>
      </c>
      <c r="O120" s="1" t="s">
        <v>23</v>
      </c>
      <c r="P120" s="1" t="s">
        <v>23</v>
      </c>
      <c r="Q120" s="20" t="s">
        <v>23</v>
      </c>
      <c r="R120" s="15" t="s">
        <v>23</v>
      </c>
      <c r="S120" s="20" t="s">
        <v>23</v>
      </c>
    </row>
    <row r="121" spans="1:19" ht="15.75" customHeight="1">
      <c r="A121" s="10">
        <v>89</v>
      </c>
      <c r="B121" s="10">
        <v>2020</v>
      </c>
      <c r="C121" s="11" t="s">
        <v>102</v>
      </c>
      <c r="D121" s="12">
        <v>44035</v>
      </c>
      <c r="E121" s="11" t="s">
        <v>33</v>
      </c>
      <c r="F121" s="6" t="s">
        <v>344</v>
      </c>
      <c r="G121" s="10">
        <v>2</v>
      </c>
      <c r="H121" s="10">
        <v>1</v>
      </c>
      <c r="I121" s="10">
        <v>1</v>
      </c>
      <c r="J121" s="13" t="s">
        <v>22</v>
      </c>
      <c r="K121" s="4" t="s">
        <v>23</v>
      </c>
      <c r="L121" s="14" t="s">
        <v>23</v>
      </c>
      <c r="M121" s="15" t="s">
        <v>345</v>
      </c>
      <c r="N121" s="11" t="s">
        <v>23</v>
      </c>
      <c r="O121" s="1" t="s">
        <v>33</v>
      </c>
      <c r="P121" s="1">
        <v>1</v>
      </c>
      <c r="Q121" s="28" t="s">
        <v>346</v>
      </c>
      <c r="R121" s="29" t="s">
        <v>347</v>
      </c>
      <c r="S121" s="17" t="s">
        <v>348</v>
      </c>
    </row>
    <row r="122" spans="1:19" ht="15.75" customHeight="1">
      <c r="A122" s="10">
        <v>90</v>
      </c>
      <c r="B122" s="10">
        <v>2020</v>
      </c>
      <c r="C122" s="11" t="s">
        <v>102</v>
      </c>
      <c r="D122" s="12">
        <v>44035</v>
      </c>
      <c r="E122" s="11" t="s">
        <v>20</v>
      </c>
      <c r="F122" s="1" t="s">
        <v>51</v>
      </c>
      <c r="G122" s="10">
        <v>1</v>
      </c>
      <c r="H122" s="10">
        <v>1</v>
      </c>
      <c r="I122" s="10">
        <v>1</v>
      </c>
      <c r="J122" s="13" t="s">
        <v>30</v>
      </c>
      <c r="K122" s="13">
        <v>30747</v>
      </c>
      <c r="L122" s="3" t="s">
        <v>31</v>
      </c>
      <c r="M122" s="16" t="s">
        <v>349</v>
      </c>
      <c r="N122" s="4" t="s">
        <v>20</v>
      </c>
      <c r="O122" s="1" t="s">
        <v>20</v>
      </c>
      <c r="P122" s="1">
        <v>0</v>
      </c>
      <c r="Q122" s="28" t="s">
        <v>350</v>
      </c>
      <c r="R122" s="29" t="s">
        <v>351</v>
      </c>
      <c r="S122" s="34" t="s">
        <v>352</v>
      </c>
    </row>
    <row r="123" spans="1:19" ht="15.75" customHeight="1">
      <c r="A123" s="10">
        <v>91</v>
      </c>
      <c r="B123" s="10">
        <v>2020</v>
      </c>
      <c r="C123" s="11" t="s">
        <v>102</v>
      </c>
      <c r="D123" s="12">
        <v>44040</v>
      </c>
      <c r="E123" s="11" t="s">
        <v>20</v>
      </c>
      <c r="F123" s="1" t="s">
        <v>28</v>
      </c>
      <c r="G123" s="10">
        <v>1</v>
      </c>
      <c r="H123" s="10">
        <v>1</v>
      </c>
      <c r="I123" s="10">
        <v>1</v>
      </c>
      <c r="J123" s="13" t="s">
        <v>30</v>
      </c>
      <c r="K123" s="13">
        <v>30746</v>
      </c>
      <c r="L123" s="3" t="s">
        <v>31</v>
      </c>
      <c r="M123" s="16" t="s">
        <v>353</v>
      </c>
      <c r="N123" s="4" t="s">
        <v>20</v>
      </c>
      <c r="O123" s="1" t="s">
        <v>20</v>
      </c>
      <c r="P123" s="1">
        <v>0</v>
      </c>
      <c r="Q123" s="28" t="s">
        <v>354</v>
      </c>
      <c r="R123" s="15" t="s">
        <v>23</v>
      </c>
      <c r="S123" s="17" t="s">
        <v>355</v>
      </c>
    </row>
    <row r="124" spans="1:19" ht="15.75" customHeight="1">
      <c r="A124" s="10">
        <v>92</v>
      </c>
      <c r="B124" s="10">
        <v>2020</v>
      </c>
      <c r="C124" s="11" t="s">
        <v>102</v>
      </c>
      <c r="D124" s="12">
        <v>44040</v>
      </c>
      <c r="E124" s="11" t="s">
        <v>33</v>
      </c>
      <c r="F124" s="6" t="s">
        <v>98</v>
      </c>
      <c r="G124" s="10">
        <v>2</v>
      </c>
      <c r="H124" s="10">
        <v>1</v>
      </c>
      <c r="I124" s="10">
        <v>1</v>
      </c>
      <c r="J124" s="13" t="s">
        <v>30</v>
      </c>
      <c r="K124" s="13">
        <v>30698</v>
      </c>
      <c r="L124" s="14" t="s">
        <v>61</v>
      </c>
      <c r="M124" s="16" t="s">
        <v>356</v>
      </c>
      <c r="N124" s="4" t="s">
        <v>20</v>
      </c>
      <c r="O124" s="1" t="s">
        <v>33</v>
      </c>
      <c r="P124" s="1">
        <v>6</v>
      </c>
      <c r="Q124" s="28" t="s">
        <v>357</v>
      </c>
      <c r="R124" s="29" t="s">
        <v>358</v>
      </c>
      <c r="S124" s="24" t="s">
        <v>359</v>
      </c>
    </row>
    <row r="125" spans="1:19" ht="15.75" customHeight="1">
      <c r="A125" s="10">
        <v>93</v>
      </c>
      <c r="B125" s="10">
        <v>2020</v>
      </c>
      <c r="C125" s="11" t="s">
        <v>102</v>
      </c>
      <c r="D125" s="12">
        <v>44040</v>
      </c>
      <c r="E125" s="11" t="s">
        <v>20</v>
      </c>
      <c r="F125" s="1" t="s">
        <v>37</v>
      </c>
      <c r="G125" s="10">
        <v>1</v>
      </c>
      <c r="H125" s="10">
        <v>1</v>
      </c>
      <c r="I125" s="10">
        <v>1</v>
      </c>
      <c r="J125" s="13" t="s">
        <v>71</v>
      </c>
      <c r="K125" s="13">
        <v>30743</v>
      </c>
      <c r="L125" s="14" t="s">
        <v>61</v>
      </c>
      <c r="M125" s="16" t="s">
        <v>360</v>
      </c>
      <c r="N125" s="4" t="s">
        <v>33</v>
      </c>
      <c r="O125" s="1" t="s">
        <v>20</v>
      </c>
      <c r="P125" s="1">
        <v>0</v>
      </c>
      <c r="Q125" s="28" t="s">
        <v>361</v>
      </c>
      <c r="R125" s="29" t="s">
        <v>362</v>
      </c>
      <c r="S125" s="17" t="s">
        <v>363</v>
      </c>
    </row>
    <row r="126" spans="1:19" ht="15.75" customHeight="1">
      <c r="A126" s="10">
        <v>94</v>
      </c>
      <c r="B126" s="10">
        <v>2020</v>
      </c>
      <c r="C126" s="11" t="s">
        <v>102</v>
      </c>
      <c r="D126" s="12">
        <v>44040</v>
      </c>
      <c r="E126" s="11" t="s">
        <v>33</v>
      </c>
      <c r="F126" s="6" t="s">
        <v>60</v>
      </c>
      <c r="G126" s="10">
        <v>2</v>
      </c>
      <c r="H126" s="10">
        <v>1</v>
      </c>
      <c r="I126" s="10">
        <v>1</v>
      </c>
      <c r="J126" s="13" t="s">
        <v>30</v>
      </c>
      <c r="K126" s="13">
        <v>30747</v>
      </c>
      <c r="L126" s="3" t="s">
        <v>31</v>
      </c>
      <c r="M126" s="16" t="s">
        <v>349</v>
      </c>
      <c r="N126" s="4" t="s">
        <v>33</v>
      </c>
      <c r="O126" s="1" t="s">
        <v>33</v>
      </c>
      <c r="P126" s="1">
        <v>1</v>
      </c>
      <c r="Q126" s="28" t="s">
        <v>364</v>
      </c>
      <c r="R126" s="29" t="s">
        <v>365</v>
      </c>
      <c r="S126" s="24" t="s">
        <v>366</v>
      </c>
    </row>
    <row r="127" spans="1:19" ht="15.75" customHeight="1">
      <c r="A127" s="10">
        <v>95</v>
      </c>
      <c r="B127" s="10">
        <v>2020</v>
      </c>
      <c r="C127" s="11" t="s">
        <v>102</v>
      </c>
      <c r="D127" s="12">
        <v>44040</v>
      </c>
      <c r="E127" s="11" t="s">
        <v>20</v>
      </c>
      <c r="F127" s="1" t="s">
        <v>53</v>
      </c>
      <c r="G127" s="10">
        <v>1</v>
      </c>
      <c r="H127" s="10">
        <v>1</v>
      </c>
      <c r="I127" s="10">
        <v>1</v>
      </c>
      <c r="J127" s="13" t="s">
        <v>71</v>
      </c>
      <c r="K127" s="13">
        <v>30472</v>
      </c>
      <c r="L127" s="14" t="s">
        <v>61</v>
      </c>
      <c r="M127" s="16" t="s">
        <v>367</v>
      </c>
      <c r="N127" s="4" t="s">
        <v>20</v>
      </c>
      <c r="O127" s="1" t="s">
        <v>20</v>
      </c>
      <c r="P127" s="1">
        <v>0</v>
      </c>
      <c r="Q127" s="7" t="s">
        <v>23</v>
      </c>
      <c r="R127" s="29" t="s">
        <v>368</v>
      </c>
      <c r="S127" s="17" t="s">
        <v>369</v>
      </c>
    </row>
    <row r="128" spans="1:19" ht="15.75" customHeight="1">
      <c r="A128" s="10">
        <v>96</v>
      </c>
      <c r="B128" s="10">
        <v>2020</v>
      </c>
      <c r="C128" s="11" t="s">
        <v>102</v>
      </c>
      <c r="D128" s="12">
        <v>44041</v>
      </c>
      <c r="E128" s="11" t="s">
        <v>20</v>
      </c>
      <c r="F128" s="1" t="s">
        <v>370</v>
      </c>
      <c r="G128" s="10">
        <v>1</v>
      </c>
      <c r="H128" s="10">
        <v>3</v>
      </c>
      <c r="I128" s="10">
        <v>1</v>
      </c>
      <c r="J128" s="13" t="s">
        <v>71</v>
      </c>
      <c r="K128" s="13">
        <v>30072</v>
      </c>
      <c r="L128" s="14" t="s">
        <v>61</v>
      </c>
      <c r="M128" s="16" t="s">
        <v>371</v>
      </c>
      <c r="N128" s="4" t="s">
        <v>20</v>
      </c>
      <c r="O128" s="1" t="s">
        <v>33</v>
      </c>
      <c r="P128" s="1">
        <v>2</v>
      </c>
      <c r="Q128" s="28" t="s">
        <v>372</v>
      </c>
      <c r="R128" s="29" t="s">
        <v>373</v>
      </c>
      <c r="S128" s="17" t="s">
        <v>374</v>
      </c>
    </row>
    <row r="129" spans="1:19" ht="15.75" customHeight="1">
      <c r="A129" s="10">
        <v>96</v>
      </c>
      <c r="B129" s="10">
        <v>2020</v>
      </c>
      <c r="C129" s="11" t="s">
        <v>102</v>
      </c>
      <c r="D129" s="12">
        <v>44041</v>
      </c>
      <c r="E129" s="11" t="s">
        <v>20</v>
      </c>
      <c r="F129" s="1" t="s">
        <v>370</v>
      </c>
      <c r="G129" s="10">
        <v>1</v>
      </c>
      <c r="H129" s="10">
        <v>3</v>
      </c>
      <c r="I129" s="10">
        <v>2</v>
      </c>
      <c r="J129" s="13" t="s">
        <v>85</v>
      </c>
      <c r="K129" s="13">
        <v>30790</v>
      </c>
      <c r="L129" s="3" t="s">
        <v>61</v>
      </c>
      <c r="M129" s="16" t="s">
        <v>375</v>
      </c>
      <c r="N129" s="4" t="s">
        <v>20</v>
      </c>
      <c r="O129" s="1" t="s">
        <v>23</v>
      </c>
      <c r="P129" s="1" t="s">
        <v>23</v>
      </c>
      <c r="Q129" s="20" t="s">
        <v>23</v>
      </c>
      <c r="R129" s="15" t="s">
        <v>23</v>
      </c>
      <c r="S129" s="20" t="s">
        <v>23</v>
      </c>
    </row>
    <row r="130" spans="1:19" ht="15.75" customHeight="1">
      <c r="A130" s="10">
        <v>96</v>
      </c>
      <c r="B130" s="10">
        <v>2020</v>
      </c>
      <c r="C130" s="11" t="s">
        <v>102</v>
      </c>
      <c r="D130" s="12">
        <v>44041</v>
      </c>
      <c r="E130" s="11" t="s">
        <v>20</v>
      </c>
      <c r="F130" s="1" t="s">
        <v>370</v>
      </c>
      <c r="G130" s="10">
        <v>1</v>
      </c>
      <c r="H130" s="10">
        <v>3</v>
      </c>
      <c r="I130" s="10">
        <v>3</v>
      </c>
      <c r="J130" s="13" t="s">
        <v>30</v>
      </c>
      <c r="K130" s="13">
        <v>30622</v>
      </c>
      <c r="L130" s="14" t="s">
        <v>61</v>
      </c>
      <c r="M130" s="16" t="s">
        <v>376</v>
      </c>
      <c r="N130" s="4" t="s">
        <v>20</v>
      </c>
      <c r="O130" s="1" t="s">
        <v>23</v>
      </c>
      <c r="P130" s="1" t="s">
        <v>23</v>
      </c>
      <c r="Q130" s="20" t="s">
        <v>23</v>
      </c>
      <c r="R130" s="15" t="s">
        <v>23</v>
      </c>
      <c r="S130" s="20" t="s">
        <v>23</v>
      </c>
    </row>
    <row r="131" spans="1:19" ht="15.75" customHeight="1">
      <c r="A131" s="10">
        <v>97</v>
      </c>
      <c r="B131" s="10">
        <v>2020</v>
      </c>
      <c r="C131" s="11" t="s">
        <v>102</v>
      </c>
      <c r="D131" s="12">
        <v>44042</v>
      </c>
      <c r="E131" s="11" t="s">
        <v>20</v>
      </c>
      <c r="F131" s="1" t="s">
        <v>41</v>
      </c>
      <c r="G131" s="10">
        <v>1</v>
      </c>
      <c r="H131" s="10">
        <v>3</v>
      </c>
      <c r="I131" s="10">
        <v>1</v>
      </c>
      <c r="J131" s="13" t="s">
        <v>71</v>
      </c>
      <c r="K131" s="13">
        <v>30193</v>
      </c>
      <c r="L131" s="14" t="s">
        <v>61</v>
      </c>
      <c r="M131" s="16" t="s">
        <v>377</v>
      </c>
      <c r="N131" s="4" t="s">
        <v>20</v>
      </c>
      <c r="O131" s="1" t="s">
        <v>33</v>
      </c>
      <c r="P131" s="1">
        <v>4</v>
      </c>
      <c r="Q131" s="28" t="s">
        <v>378</v>
      </c>
      <c r="R131" s="15" t="s">
        <v>23</v>
      </c>
      <c r="S131" s="17" t="s">
        <v>379</v>
      </c>
    </row>
    <row r="132" spans="1:19" ht="15.75" customHeight="1">
      <c r="A132" s="10">
        <v>97</v>
      </c>
      <c r="B132" s="10">
        <v>2020</v>
      </c>
      <c r="C132" s="11" t="s">
        <v>102</v>
      </c>
      <c r="D132" s="12">
        <v>44042</v>
      </c>
      <c r="E132" s="11" t="s">
        <v>20</v>
      </c>
      <c r="F132" s="1" t="s">
        <v>41</v>
      </c>
      <c r="G132" s="10">
        <v>1</v>
      </c>
      <c r="H132" s="10">
        <v>3</v>
      </c>
      <c r="I132" s="10">
        <v>2</v>
      </c>
      <c r="J132" s="13" t="s">
        <v>71</v>
      </c>
      <c r="K132" s="13">
        <v>30263</v>
      </c>
      <c r="L132" s="3" t="s">
        <v>61</v>
      </c>
      <c r="M132" s="16" t="s">
        <v>380</v>
      </c>
      <c r="N132" s="4" t="s">
        <v>20</v>
      </c>
      <c r="O132" s="1" t="s">
        <v>23</v>
      </c>
      <c r="P132" s="1" t="s">
        <v>23</v>
      </c>
      <c r="Q132" s="20" t="s">
        <v>23</v>
      </c>
      <c r="R132" s="15" t="s">
        <v>23</v>
      </c>
      <c r="S132" s="20" t="s">
        <v>23</v>
      </c>
    </row>
    <row r="133" spans="1:19" ht="15.75" customHeight="1">
      <c r="A133" s="10">
        <v>97</v>
      </c>
      <c r="B133" s="10">
        <v>2020</v>
      </c>
      <c r="C133" s="11" t="s">
        <v>102</v>
      </c>
      <c r="D133" s="12">
        <v>44042</v>
      </c>
      <c r="E133" s="11" t="s">
        <v>20</v>
      </c>
      <c r="F133" s="1" t="s">
        <v>41</v>
      </c>
      <c r="G133" s="10">
        <v>1</v>
      </c>
      <c r="H133" s="10">
        <v>3</v>
      </c>
      <c r="I133" s="10">
        <v>3</v>
      </c>
      <c r="J133" s="13" t="s">
        <v>71</v>
      </c>
      <c r="K133" s="13">
        <v>30315</v>
      </c>
      <c r="L133" s="3" t="s">
        <v>61</v>
      </c>
      <c r="M133" s="16" t="s">
        <v>381</v>
      </c>
      <c r="N133" s="4" t="s">
        <v>20</v>
      </c>
      <c r="O133" s="1" t="s">
        <v>23</v>
      </c>
      <c r="P133" s="1" t="s">
        <v>23</v>
      </c>
      <c r="Q133" s="20" t="s">
        <v>23</v>
      </c>
      <c r="R133" s="15" t="s">
        <v>23</v>
      </c>
      <c r="S133" s="20" t="s">
        <v>23</v>
      </c>
    </row>
    <row r="134" spans="1:19" ht="15.75" customHeight="1">
      <c r="A134" s="10">
        <v>98</v>
      </c>
      <c r="B134" s="10">
        <v>2020</v>
      </c>
      <c r="C134" s="11" t="s">
        <v>102</v>
      </c>
      <c r="D134" s="12">
        <v>44042</v>
      </c>
      <c r="E134" s="11" t="s">
        <v>20</v>
      </c>
      <c r="F134" s="1" t="s">
        <v>51</v>
      </c>
      <c r="G134" s="10">
        <v>1</v>
      </c>
      <c r="H134" s="10">
        <v>1</v>
      </c>
      <c r="I134" s="10">
        <v>1</v>
      </c>
      <c r="J134" s="13" t="s">
        <v>22</v>
      </c>
      <c r="K134" s="4" t="s">
        <v>23</v>
      </c>
      <c r="L134" s="14" t="s">
        <v>23</v>
      </c>
      <c r="M134" s="15" t="s">
        <v>382</v>
      </c>
      <c r="N134" s="11" t="s">
        <v>23</v>
      </c>
      <c r="O134" s="1" t="s">
        <v>33</v>
      </c>
      <c r="P134" s="1">
        <v>1</v>
      </c>
      <c r="Q134" s="28" t="s">
        <v>383</v>
      </c>
      <c r="R134" s="29" t="s">
        <v>384</v>
      </c>
      <c r="S134" s="17" t="s">
        <v>385</v>
      </c>
    </row>
    <row r="135" spans="1:19" ht="15.75" customHeight="1">
      <c r="A135" s="10">
        <v>99</v>
      </c>
      <c r="B135" s="10">
        <v>2020</v>
      </c>
      <c r="C135" s="11" t="s">
        <v>102</v>
      </c>
      <c r="D135" s="12">
        <v>44047</v>
      </c>
      <c r="E135" s="11" t="s">
        <v>33</v>
      </c>
      <c r="F135" s="6" t="s">
        <v>386</v>
      </c>
      <c r="G135" s="10">
        <v>2</v>
      </c>
      <c r="H135" s="10">
        <v>3</v>
      </c>
      <c r="I135" s="10">
        <v>1</v>
      </c>
      <c r="J135" s="13" t="s">
        <v>71</v>
      </c>
      <c r="K135" s="13">
        <v>29975</v>
      </c>
      <c r="L135" s="14" t="s">
        <v>61</v>
      </c>
      <c r="M135" s="16" t="s">
        <v>387</v>
      </c>
      <c r="N135" s="4" t="s">
        <v>20</v>
      </c>
      <c r="O135" s="1" t="s">
        <v>33</v>
      </c>
      <c r="P135" s="6">
        <v>3</v>
      </c>
      <c r="Q135" s="28" t="s">
        <v>388</v>
      </c>
      <c r="R135" s="29" t="s">
        <v>373</v>
      </c>
      <c r="S135" s="24" t="s">
        <v>389</v>
      </c>
    </row>
    <row r="136" spans="1:19" ht="15.75" customHeight="1">
      <c r="A136" s="10">
        <v>99</v>
      </c>
      <c r="B136" s="10">
        <v>2020</v>
      </c>
      <c r="C136" s="11" t="s">
        <v>102</v>
      </c>
      <c r="D136" s="12">
        <v>44047</v>
      </c>
      <c r="E136" s="11" t="s">
        <v>33</v>
      </c>
      <c r="F136" s="6" t="s">
        <v>386</v>
      </c>
      <c r="G136" s="10">
        <v>2</v>
      </c>
      <c r="H136" s="10">
        <v>3</v>
      </c>
      <c r="I136" s="10">
        <v>2</v>
      </c>
      <c r="J136" s="13" t="s">
        <v>71</v>
      </c>
      <c r="K136" s="13">
        <v>30603</v>
      </c>
      <c r="L136" s="3" t="s">
        <v>61</v>
      </c>
      <c r="M136" s="16" t="s">
        <v>390</v>
      </c>
      <c r="N136" s="4" t="s">
        <v>20</v>
      </c>
      <c r="O136" s="1" t="s">
        <v>23</v>
      </c>
      <c r="P136" s="1" t="s">
        <v>23</v>
      </c>
      <c r="Q136" s="20" t="s">
        <v>23</v>
      </c>
      <c r="R136" s="15" t="s">
        <v>23</v>
      </c>
      <c r="S136" s="20" t="s">
        <v>23</v>
      </c>
    </row>
    <row r="137" spans="1:19" ht="15.75" customHeight="1">
      <c r="A137" s="10">
        <v>99</v>
      </c>
      <c r="B137" s="10">
        <v>2020</v>
      </c>
      <c r="C137" s="11" t="s">
        <v>102</v>
      </c>
      <c r="D137" s="12">
        <v>44047</v>
      </c>
      <c r="E137" s="11" t="s">
        <v>33</v>
      </c>
      <c r="F137" s="6" t="s">
        <v>386</v>
      </c>
      <c r="G137" s="10">
        <v>2</v>
      </c>
      <c r="H137" s="10">
        <v>3</v>
      </c>
      <c r="I137" s="10">
        <v>3</v>
      </c>
      <c r="J137" s="13" t="s">
        <v>30</v>
      </c>
      <c r="K137" s="13">
        <v>28827</v>
      </c>
      <c r="L137" s="3" t="s">
        <v>61</v>
      </c>
      <c r="M137" s="16" t="s">
        <v>391</v>
      </c>
      <c r="N137" s="4" t="s">
        <v>20</v>
      </c>
      <c r="O137" s="1" t="s">
        <v>23</v>
      </c>
      <c r="P137" s="1" t="s">
        <v>23</v>
      </c>
      <c r="Q137" s="20" t="s">
        <v>23</v>
      </c>
      <c r="R137" s="15" t="s">
        <v>23</v>
      </c>
      <c r="S137" s="20" t="s">
        <v>23</v>
      </c>
    </row>
    <row r="138" spans="1:19" ht="15.75" customHeight="1">
      <c r="A138" s="10">
        <v>100</v>
      </c>
      <c r="B138" s="10">
        <v>2020</v>
      </c>
      <c r="C138" s="11" t="s">
        <v>102</v>
      </c>
      <c r="D138" s="12">
        <v>44047</v>
      </c>
      <c r="E138" s="11" t="s">
        <v>20</v>
      </c>
      <c r="F138" s="1" t="s">
        <v>28</v>
      </c>
      <c r="G138" s="10">
        <v>1</v>
      </c>
      <c r="H138" s="10">
        <v>1</v>
      </c>
      <c r="I138" s="10">
        <v>1</v>
      </c>
      <c r="J138" s="13" t="s">
        <v>30</v>
      </c>
      <c r="K138" s="13">
        <v>30746</v>
      </c>
      <c r="L138" s="3" t="s">
        <v>31</v>
      </c>
      <c r="M138" s="16" t="s">
        <v>392</v>
      </c>
      <c r="N138" s="4" t="s">
        <v>20</v>
      </c>
      <c r="O138" s="1" t="s">
        <v>20</v>
      </c>
      <c r="P138" s="1">
        <v>0</v>
      </c>
      <c r="Q138" s="7" t="s">
        <v>23</v>
      </c>
      <c r="R138" s="29" t="s">
        <v>373</v>
      </c>
      <c r="S138" s="17" t="s">
        <v>393</v>
      </c>
    </row>
    <row r="139" spans="1:19" ht="15.75" customHeight="1">
      <c r="A139" s="10">
        <v>101</v>
      </c>
      <c r="B139" s="10">
        <v>2020</v>
      </c>
      <c r="C139" s="11" t="s">
        <v>102</v>
      </c>
      <c r="D139" s="12">
        <v>44047</v>
      </c>
      <c r="E139" s="11" t="s">
        <v>33</v>
      </c>
      <c r="F139" s="6" t="s">
        <v>98</v>
      </c>
      <c r="G139" s="10">
        <v>2</v>
      </c>
      <c r="H139" s="10">
        <v>1</v>
      </c>
      <c r="I139" s="10">
        <v>1</v>
      </c>
      <c r="J139" s="13" t="s">
        <v>30</v>
      </c>
      <c r="K139" s="13">
        <v>30698</v>
      </c>
      <c r="L139" s="14" t="s">
        <v>61</v>
      </c>
      <c r="M139" s="16" t="s">
        <v>356</v>
      </c>
      <c r="N139" s="4" t="s">
        <v>33</v>
      </c>
      <c r="O139" s="1" t="s">
        <v>20</v>
      </c>
      <c r="P139" s="1">
        <v>0</v>
      </c>
      <c r="Q139" s="28" t="s">
        <v>394</v>
      </c>
      <c r="R139" s="29" t="s">
        <v>362</v>
      </c>
      <c r="S139" s="24" t="s">
        <v>395</v>
      </c>
    </row>
    <row r="140" spans="1:19" ht="15.75" customHeight="1">
      <c r="A140" s="10">
        <v>102</v>
      </c>
      <c r="B140" s="10">
        <v>2020</v>
      </c>
      <c r="C140" s="11" t="s">
        <v>102</v>
      </c>
      <c r="D140" s="12">
        <v>44047</v>
      </c>
      <c r="E140" s="11" t="s">
        <v>33</v>
      </c>
      <c r="F140" s="6" t="s">
        <v>396</v>
      </c>
      <c r="G140" s="10">
        <v>2</v>
      </c>
      <c r="H140" s="10">
        <v>1</v>
      </c>
      <c r="I140" s="10">
        <v>1</v>
      </c>
      <c r="J140" s="13" t="s">
        <v>22</v>
      </c>
      <c r="K140" s="4" t="s">
        <v>23</v>
      </c>
      <c r="L140" s="14" t="s">
        <v>23</v>
      </c>
      <c r="M140" s="15" t="s">
        <v>397</v>
      </c>
      <c r="N140" s="11" t="s">
        <v>23</v>
      </c>
      <c r="O140" s="1" t="s">
        <v>33</v>
      </c>
      <c r="P140" s="1">
        <v>1</v>
      </c>
      <c r="Q140" s="28" t="s">
        <v>398</v>
      </c>
      <c r="R140" s="29" t="s">
        <v>399</v>
      </c>
      <c r="S140" s="17" t="s">
        <v>400</v>
      </c>
    </row>
    <row r="141" spans="1:19" ht="15.75" customHeight="1">
      <c r="A141" s="10">
        <v>103</v>
      </c>
      <c r="B141" s="10">
        <v>2020</v>
      </c>
      <c r="C141" s="11" t="s">
        <v>102</v>
      </c>
      <c r="D141" s="12">
        <v>44047</v>
      </c>
      <c r="E141" s="11" t="s">
        <v>20</v>
      </c>
      <c r="F141" s="1" t="s">
        <v>41</v>
      </c>
      <c r="G141" s="10">
        <v>1</v>
      </c>
      <c r="H141" s="10">
        <v>1</v>
      </c>
      <c r="I141" s="10">
        <v>1</v>
      </c>
      <c r="J141" s="13" t="s">
        <v>71</v>
      </c>
      <c r="K141" s="13">
        <v>30320</v>
      </c>
      <c r="L141" s="3" t="s">
        <v>61</v>
      </c>
      <c r="M141" s="16" t="s">
        <v>401</v>
      </c>
      <c r="N141" s="4" t="s">
        <v>20</v>
      </c>
      <c r="O141" s="1" t="s">
        <v>20</v>
      </c>
      <c r="P141" s="1">
        <v>0</v>
      </c>
      <c r="Q141" s="32" t="s">
        <v>402</v>
      </c>
      <c r="R141" s="15" t="s">
        <v>23</v>
      </c>
      <c r="S141" s="17" t="s">
        <v>403</v>
      </c>
    </row>
    <row r="142" spans="1:19" ht="15.75" customHeight="1">
      <c r="A142" s="10">
        <v>104</v>
      </c>
      <c r="B142" s="10">
        <v>2020</v>
      </c>
      <c r="C142" s="11" t="s">
        <v>102</v>
      </c>
      <c r="D142" s="12">
        <v>44048</v>
      </c>
      <c r="E142" s="11" t="s">
        <v>20</v>
      </c>
      <c r="F142" s="1" t="s">
        <v>190</v>
      </c>
      <c r="G142" s="10">
        <v>1</v>
      </c>
      <c r="H142" s="10">
        <v>1</v>
      </c>
      <c r="I142" s="10">
        <v>1</v>
      </c>
      <c r="J142" s="13" t="s">
        <v>22</v>
      </c>
      <c r="K142" s="4" t="s">
        <v>23</v>
      </c>
      <c r="L142" s="14" t="s">
        <v>23</v>
      </c>
      <c r="M142" s="15" t="s">
        <v>404</v>
      </c>
      <c r="N142" s="11" t="s">
        <v>23</v>
      </c>
      <c r="O142" s="1" t="s">
        <v>33</v>
      </c>
      <c r="P142" s="1">
        <v>1</v>
      </c>
      <c r="Q142" s="28" t="s">
        <v>405</v>
      </c>
      <c r="R142" s="29" t="s">
        <v>406</v>
      </c>
      <c r="S142" s="17" t="s">
        <v>407</v>
      </c>
    </row>
    <row r="143" spans="1:19" ht="15.75" customHeight="1">
      <c r="A143" s="10">
        <v>105</v>
      </c>
      <c r="B143" s="10">
        <v>2020</v>
      </c>
      <c r="C143" s="11" t="s">
        <v>102</v>
      </c>
      <c r="D143" s="12">
        <v>44049</v>
      </c>
      <c r="E143" s="11" t="s">
        <v>20</v>
      </c>
      <c r="F143" s="1" t="s">
        <v>39</v>
      </c>
      <c r="G143" s="10">
        <v>1</v>
      </c>
      <c r="H143" s="10">
        <v>5</v>
      </c>
      <c r="I143" s="10">
        <v>1</v>
      </c>
      <c r="J143" s="13" t="s">
        <v>71</v>
      </c>
      <c r="K143" s="13">
        <v>30068</v>
      </c>
      <c r="L143" s="14" t="s">
        <v>61</v>
      </c>
      <c r="M143" s="16" t="s">
        <v>408</v>
      </c>
      <c r="N143" s="4" t="s">
        <v>20</v>
      </c>
      <c r="O143" s="1" t="s">
        <v>33</v>
      </c>
      <c r="P143" s="1">
        <v>1</v>
      </c>
      <c r="Q143" s="28" t="s">
        <v>409</v>
      </c>
      <c r="R143" s="29" t="s">
        <v>410</v>
      </c>
      <c r="S143" s="17" t="s">
        <v>411</v>
      </c>
    </row>
    <row r="144" spans="1:19" ht="15.75" customHeight="1">
      <c r="A144" s="10">
        <v>105</v>
      </c>
      <c r="B144" s="10">
        <v>2020</v>
      </c>
      <c r="C144" s="11" t="s">
        <v>102</v>
      </c>
      <c r="D144" s="12">
        <v>44049</v>
      </c>
      <c r="E144" s="11" t="s">
        <v>20</v>
      </c>
      <c r="F144" s="1" t="s">
        <v>39</v>
      </c>
      <c r="G144" s="10">
        <v>1</v>
      </c>
      <c r="H144" s="10">
        <v>5</v>
      </c>
      <c r="I144" s="10">
        <v>2</v>
      </c>
      <c r="J144" s="13" t="s">
        <v>71</v>
      </c>
      <c r="K144" s="13">
        <v>30069</v>
      </c>
      <c r="L144" s="14" t="s">
        <v>61</v>
      </c>
      <c r="M144" s="16" t="s">
        <v>412</v>
      </c>
      <c r="N144" s="4" t="s">
        <v>20</v>
      </c>
      <c r="O144" s="1" t="s">
        <v>23</v>
      </c>
      <c r="P144" s="1" t="s">
        <v>23</v>
      </c>
      <c r="Q144" s="20" t="s">
        <v>23</v>
      </c>
      <c r="R144" s="15" t="s">
        <v>23</v>
      </c>
      <c r="S144" s="20" t="s">
        <v>23</v>
      </c>
    </row>
    <row r="145" spans="1:19" ht="15.75" customHeight="1">
      <c r="A145" s="10">
        <v>105</v>
      </c>
      <c r="B145" s="10">
        <v>2020</v>
      </c>
      <c r="C145" s="11" t="s">
        <v>102</v>
      </c>
      <c r="D145" s="12">
        <v>44049</v>
      </c>
      <c r="E145" s="11" t="s">
        <v>20</v>
      </c>
      <c r="F145" s="1" t="s">
        <v>39</v>
      </c>
      <c r="G145" s="10">
        <v>1</v>
      </c>
      <c r="H145" s="10">
        <v>5</v>
      </c>
      <c r="I145" s="10">
        <v>3</v>
      </c>
      <c r="J145" s="13" t="s">
        <v>71</v>
      </c>
      <c r="K145" s="13">
        <v>30222</v>
      </c>
      <c r="L145" s="3" t="s">
        <v>61</v>
      </c>
      <c r="M145" s="16" t="s">
        <v>413</v>
      </c>
      <c r="N145" s="4" t="s">
        <v>20</v>
      </c>
      <c r="O145" s="1" t="s">
        <v>23</v>
      </c>
      <c r="P145" s="1" t="s">
        <v>23</v>
      </c>
      <c r="Q145" s="20" t="s">
        <v>23</v>
      </c>
      <c r="R145" s="15" t="s">
        <v>23</v>
      </c>
      <c r="S145" s="20" t="s">
        <v>23</v>
      </c>
    </row>
    <row r="146" spans="1:19" ht="15.75" customHeight="1">
      <c r="A146" s="10">
        <v>105</v>
      </c>
      <c r="B146" s="10">
        <v>2020</v>
      </c>
      <c r="C146" s="11" t="s">
        <v>102</v>
      </c>
      <c r="D146" s="12">
        <v>44049</v>
      </c>
      <c r="E146" s="11" t="s">
        <v>20</v>
      </c>
      <c r="F146" s="1" t="s">
        <v>39</v>
      </c>
      <c r="G146" s="10">
        <v>1</v>
      </c>
      <c r="H146" s="10">
        <v>5</v>
      </c>
      <c r="I146" s="10">
        <v>4</v>
      </c>
      <c r="J146" s="13" t="s">
        <v>71</v>
      </c>
      <c r="K146" s="13">
        <v>30223</v>
      </c>
      <c r="L146" s="3" t="s">
        <v>61</v>
      </c>
      <c r="M146" s="16" t="s">
        <v>414</v>
      </c>
      <c r="N146" s="4" t="s">
        <v>20</v>
      </c>
      <c r="O146" s="1" t="s">
        <v>23</v>
      </c>
      <c r="P146" s="1" t="s">
        <v>23</v>
      </c>
      <c r="Q146" s="20" t="s">
        <v>23</v>
      </c>
      <c r="R146" s="15" t="s">
        <v>23</v>
      </c>
      <c r="S146" s="20" t="s">
        <v>23</v>
      </c>
    </row>
    <row r="147" spans="1:19" ht="15.75" customHeight="1">
      <c r="A147" s="10">
        <v>105</v>
      </c>
      <c r="B147" s="10">
        <v>2020</v>
      </c>
      <c r="C147" s="11" t="s">
        <v>102</v>
      </c>
      <c r="D147" s="12">
        <v>44049</v>
      </c>
      <c r="E147" s="11" t="s">
        <v>20</v>
      </c>
      <c r="F147" s="1" t="s">
        <v>39</v>
      </c>
      <c r="G147" s="10">
        <v>1</v>
      </c>
      <c r="H147" s="10">
        <v>5</v>
      </c>
      <c r="I147" s="10">
        <v>5</v>
      </c>
      <c r="J147" s="13" t="s">
        <v>71</v>
      </c>
      <c r="K147" s="13">
        <v>30225</v>
      </c>
      <c r="L147" s="3" t="s">
        <v>61</v>
      </c>
      <c r="M147" s="16" t="s">
        <v>415</v>
      </c>
      <c r="N147" s="4" t="s">
        <v>20</v>
      </c>
      <c r="O147" s="1" t="s">
        <v>23</v>
      </c>
      <c r="P147" s="1" t="s">
        <v>23</v>
      </c>
      <c r="Q147" s="20" t="s">
        <v>23</v>
      </c>
      <c r="R147" s="15" t="s">
        <v>23</v>
      </c>
      <c r="S147" s="20" t="s">
        <v>23</v>
      </c>
    </row>
    <row r="148" spans="1:19" ht="15.75" customHeight="1">
      <c r="A148" s="10">
        <v>106</v>
      </c>
      <c r="B148" s="10">
        <v>2020</v>
      </c>
      <c r="C148" s="11" t="s">
        <v>102</v>
      </c>
      <c r="D148" s="12">
        <v>44049</v>
      </c>
      <c r="E148" s="11" t="s">
        <v>20</v>
      </c>
      <c r="F148" s="1" t="s">
        <v>55</v>
      </c>
      <c r="G148" s="10">
        <v>1</v>
      </c>
      <c r="H148" s="10">
        <v>1</v>
      </c>
      <c r="I148" s="10">
        <v>1</v>
      </c>
      <c r="J148" s="13" t="s">
        <v>416</v>
      </c>
      <c r="K148" s="13">
        <v>30187</v>
      </c>
      <c r="L148" s="3" t="s">
        <v>31</v>
      </c>
      <c r="M148" s="15" t="s">
        <v>417</v>
      </c>
      <c r="N148" s="4" t="s">
        <v>20</v>
      </c>
      <c r="O148" s="1" t="s">
        <v>20</v>
      </c>
      <c r="P148" s="1">
        <v>0</v>
      </c>
      <c r="Q148" s="28" t="s">
        <v>418</v>
      </c>
      <c r="R148" s="29" t="s">
        <v>419</v>
      </c>
      <c r="S148" s="17" t="s">
        <v>420</v>
      </c>
    </row>
    <row r="149" spans="1:19" ht="15.75" customHeight="1">
      <c r="A149" s="10">
        <v>107</v>
      </c>
      <c r="B149" s="10">
        <v>2020</v>
      </c>
      <c r="C149" s="11" t="s">
        <v>102</v>
      </c>
      <c r="D149" s="12">
        <v>44054</v>
      </c>
      <c r="E149" s="11" t="s">
        <v>33</v>
      </c>
      <c r="F149" s="6" t="s">
        <v>421</v>
      </c>
      <c r="G149" s="10">
        <v>2</v>
      </c>
      <c r="H149" s="10">
        <v>1</v>
      </c>
      <c r="I149" s="10">
        <v>1</v>
      </c>
      <c r="J149" s="13" t="s">
        <v>22</v>
      </c>
      <c r="K149" s="4" t="s">
        <v>23</v>
      </c>
      <c r="L149" s="14" t="s">
        <v>23</v>
      </c>
      <c r="M149" s="15" t="s">
        <v>422</v>
      </c>
      <c r="N149" s="11" t="s">
        <v>23</v>
      </c>
      <c r="O149" s="1" t="s">
        <v>33</v>
      </c>
      <c r="P149" s="1">
        <v>1</v>
      </c>
      <c r="Q149" s="28" t="s">
        <v>423</v>
      </c>
      <c r="R149" s="33" t="s">
        <v>424</v>
      </c>
      <c r="S149" s="17" t="s">
        <v>425</v>
      </c>
    </row>
    <row r="150" spans="1:19" ht="15.75" customHeight="1">
      <c r="A150" s="10">
        <v>108</v>
      </c>
      <c r="B150" s="10">
        <v>2020</v>
      </c>
      <c r="C150" s="11" t="s">
        <v>102</v>
      </c>
      <c r="D150" s="12">
        <v>44054</v>
      </c>
      <c r="E150" s="11" t="s">
        <v>33</v>
      </c>
      <c r="F150" s="6" t="s">
        <v>426</v>
      </c>
      <c r="G150" s="10">
        <v>3</v>
      </c>
      <c r="H150" s="10">
        <v>1</v>
      </c>
      <c r="I150" s="10">
        <v>1</v>
      </c>
      <c r="J150" s="13" t="s">
        <v>30</v>
      </c>
      <c r="K150" s="13">
        <v>30829</v>
      </c>
      <c r="L150" s="3" t="s">
        <v>61</v>
      </c>
      <c r="M150" s="15" t="s">
        <v>427</v>
      </c>
      <c r="N150" s="4" t="s">
        <v>33</v>
      </c>
      <c r="O150" s="1" t="s">
        <v>33</v>
      </c>
      <c r="P150" s="1">
        <v>1</v>
      </c>
      <c r="Q150" s="28" t="s">
        <v>428</v>
      </c>
      <c r="R150" s="29" t="s">
        <v>429</v>
      </c>
      <c r="S150" s="17" t="s">
        <v>430</v>
      </c>
    </row>
    <row r="151" spans="1:19" ht="15.75" customHeight="1">
      <c r="A151" s="10">
        <v>109</v>
      </c>
      <c r="B151" s="10">
        <v>2020</v>
      </c>
      <c r="C151" s="11" t="s">
        <v>102</v>
      </c>
      <c r="D151" s="12">
        <v>44054</v>
      </c>
      <c r="E151" s="11" t="s">
        <v>20</v>
      </c>
      <c r="F151" s="1" t="s">
        <v>37</v>
      </c>
      <c r="G151" s="10">
        <v>1</v>
      </c>
      <c r="H151" s="10">
        <v>1</v>
      </c>
      <c r="I151" s="10">
        <v>1</v>
      </c>
      <c r="J151" s="13" t="s">
        <v>64</v>
      </c>
      <c r="K151" s="13">
        <v>30851</v>
      </c>
      <c r="L151" s="3" t="s">
        <v>31</v>
      </c>
      <c r="M151" s="16" t="s">
        <v>431</v>
      </c>
      <c r="N151" s="4" t="s">
        <v>33</v>
      </c>
      <c r="O151" s="1" t="s">
        <v>20</v>
      </c>
      <c r="P151" s="1">
        <v>0</v>
      </c>
      <c r="Q151" s="28" t="s">
        <v>432</v>
      </c>
      <c r="R151" s="29" t="s">
        <v>433</v>
      </c>
      <c r="S151" s="17" t="s">
        <v>434</v>
      </c>
    </row>
    <row r="152" spans="1:19" ht="15.75" customHeight="1">
      <c r="A152" s="10">
        <v>110</v>
      </c>
      <c r="B152" s="10">
        <v>2020</v>
      </c>
      <c r="C152" s="11" t="s">
        <v>102</v>
      </c>
      <c r="D152" s="12">
        <v>44056</v>
      </c>
      <c r="E152" s="11" t="s">
        <v>33</v>
      </c>
      <c r="F152" s="6" t="s">
        <v>435</v>
      </c>
      <c r="G152" s="10">
        <v>2</v>
      </c>
      <c r="H152" s="10">
        <v>3</v>
      </c>
      <c r="I152" s="10">
        <v>1</v>
      </c>
      <c r="J152" s="13" t="s">
        <v>30</v>
      </c>
      <c r="K152" s="13">
        <v>29918</v>
      </c>
      <c r="L152" s="14" t="s">
        <v>61</v>
      </c>
      <c r="M152" s="16" t="s">
        <v>436</v>
      </c>
      <c r="N152" s="4" t="s">
        <v>20</v>
      </c>
      <c r="O152" s="1" t="s">
        <v>20</v>
      </c>
      <c r="P152" s="1">
        <v>0</v>
      </c>
      <c r="Q152" s="28" t="s">
        <v>437</v>
      </c>
      <c r="R152" s="29" t="s">
        <v>438</v>
      </c>
      <c r="S152" s="17" t="s">
        <v>439</v>
      </c>
    </row>
    <row r="153" spans="1:19" ht="15.75" customHeight="1">
      <c r="A153" s="10">
        <v>110</v>
      </c>
      <c r="B153" s="10">
        <v>2020</v>
      </c>
      <c r="C153" s="11" t="s">
        <v>102</v>
      </c>
      <c r="D153" s="12">
        <v>44056</v>
      </c>
      <c r="E153" s="11" t="s">
        <v>33</v>
      </c>
      <c r="F153" s="6" t="s">
        <v>435</v>
      </c>
      <c r="G153" s="10">
        <v>2</v>
      </c>
      <c r="H153" s="10">
        <v>3</v>
      </c>
      <c r="I153" s="10">
        <v>2</v>
      </c>
      <c r="J153" s="13" t="s">
        <v>71</v>
      </c>
      <c r="K153" s="13">
        <v>30057</v>
      </c>
      <c r="L153" s="14" t="s">
        <v>61</v>
      </c>
      <c r="M153" s="16" t="s">
        <v>440</v>
      </c>
      <c r="N153" s="4" t="s">
        <v>20</v>
      </c>
      <c r="O153" s="1" t="s">
        <v>23</v>
      </c>
      <c r="P153" s="1" t="s">
        <v>23</v>
      </c>
      <c r="Q153" s="20" t="s">
        <v>23</v>
      </c>
      <c r="R153" s="15" t="s">
        <v>23</v>
      </c>
      <c r="S153" s="20" t="s">
        <v>23</v>
      </c>
    </row>
    <row r="154" spans="1:19" ht="15.75" customHeight="1">
      <c r="A154" s="10">
        <v>110</v>
      </c>
      <c r="B154" s="10">
        <v>2020</v>
      </c>
      <c r="C154" s="11" t="s">
        <v>102</v>
      </c>
      <c r="D154" s="12">
        <v>44056</v>
      </c>
      <c r="E154" s="11" t="s">
        <v>33</v>
      </c>
      <c r="F154" s="6" t="s">
        <v>435</v>
      </c>
      <c r="G154" s="10">
        <v>2</v>
      </c>
      <c r="H154" s="10">
        <v>3</v>
      </c>
      <c r="I154" s="10">
        <v>3</v>
      </c>
      <c r="J154" s="13" t="s">
        <v>71</v>
      </c>
      <c r="K154" s="13">
        <v>30215</v>
      </c>
      <c r="L154" s="14" t="s">
        <v>61</v>
      </c>
      <c r="M154" s="16" t="s">
        <v>441</v>
      </c>
      <c r="N154" s="4" t="s">
        <v>20</v>
      </c>
      <c r="O154" s="1" t="s">
        <v>23</v>
      </c>
      <c r="P154" s="1" t="s">
        <v>23</v>
      </c>
      <c r="Q154" s="20" t="s">
        <v>23</v>
      </c>
      <c r="R154" s="15" t="s">
        <v>23</v>
      </c>
      <c r="S154" s="20" t="s">
        <v>23</v>
      </c>
    </row>
    <row r="155" spans="1:19" ht="15.75" customHeight="1">
      <c r="A155" s="10">
        <v>111</v>
      </c>
      <c r="B155" s="10">
        <v>2020</v>
      </c>
      <c r="C155" s="11" t="s">
        <v>102</v>
      </c>
      <c r="D155" s="12">
        <v>44056</v>
      </c>
      <c r="E155" s="11" t="s">
        <v>20</v>
      </c>
      <c r="F155" s="6" t="s">
        <v>124</v>
      </c>
      <c r="G155" s="10">
        <v>1</v>
      </c>
      <c r="H155" s="10">
        <v>1</v>
      </c>
      <c r="I155" s="10">
        <v>1</v>
      </c>
      <c r="J155" s="13" t="s">
        <v>22</v>
      </c>
      <c r="K155" s="4" t="s">
        <v>23</v>
      </c>
      <c r="L155" s="14" t="s">
        <v>23</v>
      </c>
      <c r="M155" s="15" t="s">
        <v>442</v>
      </c>
      <c r="N155" s="11" t="s">
        <v>23</v>
      </c>
      <c r="O155" s="1" t="s">
        <v>33</v>
      </c>
      <c r="P155" s="1">
        <v>6</v>
      </c>
      <c r="Q155" s="28" t="s">
        <v>443</v>
      </c>
      <c r="R155" s="29" t="s">
        <v>444</v>
      </c>
      <c r="S155" s="17" t="s">
        <v>445</v>
      </c>
    </row>
    <row r="156" spans="1:19" ht="15.75" customHeight="1">
      <c r="A156" s="10">
        <v>112</v>
      </c>
      <c r="B156" s="10">
        <v>2020</v>
      </c>
      <c r="C156" s="11" t="s">
        <v>102</v>
      </c>
      <c r="D156" s="12">
        <v>44056</v>
      </c>
      <c r="E156" s="11" t="s">
        <v>20</v>
      </c>
      <c r="F156" s="1" t="s">
        <v>55</v>
      </c>
      <c r="G156" s="10">
        <v>1</v>
      </c>
      <c r="H156" s="10">
        <v>1</v>
      </c>
      <c r="I156" s="10">
        <v>1</v>
      </c>
      <c r="J156" s="13" t="s">
        <v>416</v>
      </c>
      <c r="K156" s="13">
        <v>30187</v>
      </c>
      <c r="L156" s="3" t="s">
        <v>31</v>
      </c>
      <c r="M156" s="15" t="s">
        <v>417</v>
      </c>
      <c r="N156" s="4" t="s">
        <v>33</v>
      </c>
      <c r="O156" s="1" t="s">
        <v>20</v>
      </c>
      <c r="P156" s="1">
        <v>0</v>
      </c>
      <c r="Q156" s="28" t="s">
        <v>446</v>
      </c>
      <c r="R156" s="15" t="s">
        <v>23</v>
      </c>
      <c r="S156" s="17" t="s">
        <v>447</v>
      </c>
    </row>
    <row r="157" spans="1:19" ht="15.75" customHeight="1">
      <c r="A157" s="10">
        <v>113</v>
      </c>
      <c r="B157" s="10">
        <v>2020</v>
      </c>
      <c r="C157" s="11" t="s">
        <v>102</v>
      </c>
      <c r="D157" s="12">
        <v>44061</v>
      </c>
      <c r="E157" s="11" t="s">
        <v>20</v>
      </c>
      <c r="F157" s="1" t="s">
        <v>96</v>
      </c>
      <c r="G157" s="10">
        <v>1</v>
      </c>
      <c r="H157" s="10">
        <v>1</v>
      </c>
      <c r="I157" s="10">
        <v>1</v>
      </c>
      <c r="J157" s="13" t="s">
        <v>22</v>
      </c>
      <c r="K157" s="4" t="s">
        <v>23</v>
      </c>
      <c r="L157" s="14" t="s">
        <v>23</v>
      </c>
      <c r="M157" s="15" t="s">
        <v>448</v>
      </c>
      <c r="N157" s="11" t="s">
        <v>23</v>
      </c>
      <c r="O157" s="6" t="s">
        <v>20</v>
      </c>
      <c r="P157" s="6">
        <v>0</v>
      </c>
      <c r="Q157" s="28" t="s">
        <v>449</v>
      </c>
      <c r="R157" s="29" t="s">
        <v>450</v>
      </c>
      <c r="S157" s="17" t="s">
        <v>451</v>
      </c>
    </row>
    <row r="158" spans="1:19" ht="15.75" customHeight="1">
      <c r="A158" s="10">
        <v>114</v>
      </c>
      <c r="B158" s="10">
        <v>2020</v>
      </c>
      <c r="C158" s="11" t="s">
        <v>102</v>
      </c>
      <c r="D158" s="12">
        <v>44061</v>
      </c>
      <c r="E158" s="11" t="s">
        <v>33</v>
      </c>
      <c r="F158" s="6" t="s">
        <v>452</v>
      </c>
      <c r="G158" s="10">
        <v>2</v>
      </c>
      <c r="H158" s="10">
        <v>1</v>
      </c>
      <c r="I158" s="10">
        <v>1</v>
      </c>
      <c r="J158" s="13" t="s">
        <v>71</v>
      </c>
      <c r="K158" s="13">
        <v>30641</v>
      </c>
      <c r="L158" s="3" t="s">
        <v>61</v>
      </c>
      <c r="M158" s="16" t="s">
        <v>453</v>
      </c>
      <c r="N158" s="4" t="s">
        <v>20</v>
      </c>
      <c r="O158" s="1" t="s">
        <v>33</v>
      </c>
      <c r="P158" s="1">
        <v>2</v>
      </c>
      <c r="Q158" s="28" t="s">
        <v>454</v>
      </c>
      <c r="R158" s="29" t="s">
        <v>455</v>
      </c>
      <c r="S158" s="17" t="s">
        <v>456</v>
      </c>
    </row>
    <row r="159" spans="1:19" ht="15.75" customHeight="1">
      <c r="A159" s="10">
        <v>115</v>
      </c>
      <c r="B159" s="10">
        <v>2020</v>
      </c>
      <c r="C159" s="11" t="s">
        <v>102</v>
      </c>
      <c r="D159" s="12">
        <v>44061</v>
      </c>
      <c r="E159" s="11" t="s">
        <v>20</v>
      </c>
      <c r="F159" s="1" t="s">
        <v>73</v>
      </c>
      <c r="G159" s="10">
        <v>1</v>
      </c>
      <c r="H159" s="10">
        <v>3</v>
      </c>
      <c r="I159" s="10">
        <v>1</v>
      </c>
      <c r="J159" s="13" t="s">
        <v>30</v>
      </c>
      <c r="K159" s="13">
        <v>30401</v>
      </c>
      <c r="L159" s="3" t="s">
        <v>61</v>
      </c>
      <c r="M159" s="16" t="s">
        <v>457</v>
      </c>
      <c r="N159" s="4" t="s">
        <v>20</v>
      </c>
      <c r="O159" s="1" t="s">
        <v>20</v>
      </c>
      <c r="P159" s="1">
        <v>0</v>
      </c>
      <c r="Q159" s="28" t="s">
        <v>458</v>
      </c>
      <c r="R159" s="29" t="s">
        <v>459</v>
      </c>
      <c r="S159" s="17" t="s">
        <v>460</v>
      </c>
    </row>
    <row r="160" spans="1:19" ht="15.75" customHeight="1">
      <c r="A160" s="10">
        <v>115</v>
      </c>
      <c r="B160" s="10">
        <v>2020</v>
      </c>
      <c r="C160" s="11" t="s">
        <v>102</v>
      </c>
      <c r="D160" s="12">
        <v>44061</v>
      </c>
      <c r="E160" s="11" t="s">
        <v>20</v>
      </c>
      <c r="F160" s="1" t="s">
        <v>73</v>
      </c>
      <c r="G160" s="10">
        <v>1</v>
      </c>
      <c r="H160" s="10">
        <v>3</v>
      </c>
      <c r="I160" s="10">
        <v>2</v>
      </c>
      <c r="J160" s="13" t="s">
        <v>30</v>
      </c>
      <c r="K160" s="13">
        <v>30515</v>
      </c>
      <c r="L160" s="14" t="s">
        <v>61</v>
      </c>
      <c r="M160" s="16" t="s">
        <v>461</v>
      </c>
      <c r="N160" s="4" t="s">
        <v>20</v>
      </c>
      <c r="O160" s="1" t="s">
        <v>23</v>
      </c>
      <c r="P160" s="1" t="s">
        <v>23</v>
      </c>
      <c r="Q160" s="20" t="s">
        <v>23</v>
      </c>
      <c r="R160" s="15" t="s">
        <v>23</v>
      </c>
      <c r="S160" s="20" t="s">
        <v>23</v>
      </c>
    </row>
    <row r="161" spans="1:19" ht="15.75" customHeight="1">
      <c r="A161" s="10">
        <v>115</v>
      </c>
      <c r="B161" s="10">
        <v>2020</v>
      </c>
      <c r="C161" s="11" t="s">
        <v>102</v>
      </c>
      <c r="D161" s="12">
        <v>44061</v>
      </c>
      <c r="E161" s="11" t="s">
        <v>20</v>
      </c>
      <c r="F161" s="1" t="s">
        <v>73</v>
      </c>
      <c r="G161" s="10">
        <v>1</v>
      </c>
      <c r="H161" s="10">
        <v>3</v>
      </c>
      <c r="I161" s="10">
        <v>3</v>
      </c>
      <c r="J161" s="13" t="s">
        <v>30</v>
      </c>
      <c r="K161" s="13">
        <v>30247</v>
      </c>
      <c r="L161" s="3" t="s">
        <v>61</v>
      </c>
      <c r="M161" s="16" t="s">
        <v>462</v>
      </c>
      <c r="N161" s="4" t="s">
        <v>20</v>
      </c>
      <c r="O161" s="1" t="s">
        <v>23</v>
      </c>
      <c r="P161" s="1" t="s">
        <v>23</v>
      </c>
      <c r="Q161" s="20" t="s">
        <v>23</v>
      </c>
      <c r="R161" s="15" t="s">
        <v>23</v>
      </c>
      <c r="S161" s="20" t="s">
        <v>23</v>
      </c>
    </row>
    <row r="162" spans="1:19" ht="15.75" customHeight="1">
      <c r="A162" s="10">
        <v>116</v>
      </c>
      <c r="B162" s="10">
        <v>2020</v>
      </c>
      <c r="C162" s="11" t="s">
        <v>102</v>
      </c>
      <c r="D162" s="12">
        <v>44062</v>
      </c>
      <c r="E162" s="11" t="s">
        <v>20</v>
      </c>
      <c r="F162" s="1" t="s">
        <v>190</v>
      </c>
      <c r="G162" s="10">
        <v>1</v>
      </c>
      <c r="H162" s="10">
        <v>1</v>
      </c>
      <c r="I162" s="10">
        <v>1</v>
      </c>
      <c r="J162" s="13" t="s">
        <v>22</v>
      </c>
      <c r="K162" s="4" t="s">
        <v>23</v>
      </c>
      <c r="L162" s="14" t="s">
        <v>23</v>
      </c>
      <c r="M162" s="15" t="s">
        <v>463</v>
      </c>
      <c r="N162" s="11" t="s">
        <v>23</v>
      </c>
      <c r="O162" s="1" t="s">
        <v>33</v>
      </c>
      <c r="P162" s="1">
        <v>1</v>
      </c>
      <c r="Q162" s="28" t="s">
        <v>464</v>
      </c>
      <c r="R162" s="29" t="s">
        <v>465</v>
      </c>
      <c r="S162" s="17" t="s">
        <v>466</v>
      </c>
    </row>
    <row r="163" spans="1:19" ht="15.75" customHeight="1">
      <c r="A163" s="10">
        <v>117</v>
      </c>
      <c r="B163" s="10">
        <v>2020</v>
      </c>
      <c r="C163" s="11" t="s">
        <v>102</v>
      </c>
      <c r="D163" s="12">
        <v>44063</v>
      </c>
      <c r="E163" s="11" t="s">
        <v>20</v>
      </c>
      <c r="F163" s="1" t="s">
        <v>49</v>
      </c>
      <c r="G163" s="10">
        <v>1</v>
      </c>
      <c r="H163" s="10">
        <v>1</v>
      </c>
      <c r="I163" s="10">
        <v>1</v>
      </c>
      <c r="J163" s="13" t="s">
        <v>22</v>
      </c>
      <c r="K163" s="4" t="s">
        <v>23</v>
      </c>
      <c r="L163" s="14" t="s">
        <v>23</v>
      </c>
      <c r="M163" s="15" t="s">
        <v>467</v>
      </c>
      <c r="N163" s="11" t="s">
        <v>23</v>
      </c>
      <c r="O163" s="1" t="s">
        <v>33</v>
      </c>
      <c r="P163" s="1">
        <v>1</v>
      </c>
      <c r="Q163" s="28" t="s">
        <v>468</v>
      </c>
      <c r="R163" s="29" t="s">
        <v>469</v>
      </c>
      <c r="S163" s="17" t="s">
        <v>470</v>
      </c>
    </row>
    <row r="164" spans="1:19" ht="15.75" customHeight="1">
      <c r="A164" s="10">
        <v>118</v>
      </c>
      <c r="B164" s="10">
        <v>2020</v>
      </c>
      <c r="C164" s="11" t="s">
        <v>102</v>
      </c>
      <c r="D164" s="12">
        <v>44063</v>
      </c>
      <c r="E164" s="11" t="s">
        <v>20</v>
      </c>
      <c r="F164" s="1" t="s">
        <v>471</v>
      </c>
      <c r="G164" s="10">
        <v>1</v>
      </c>
      <c r="H164" s="10">
        <v>1</v>
      </c>
      <c r="I164" s="10">
        <v>1</v>
      </c>
      <c r="J164" s="13" t="s">
        <v>22</v>
      </c>
      <c r="K164" s="4" t="s">
        <v>23</v>
      </c>
      <c r="L164" s="14" t="s">
        <v>23</v>
      </c>
      <c r="M164" s="15" t="s">
        <v>472</v>
      </c>
      <c r="N164" s="11" t="s">
        <v>23</v>
      </c>
      <c r="O164" s="1" t="s">
        <v>33</v>
      </c>
      <c r="P164" s="1">
        <v>1</v>
      </c>
      <c r="Q164" s="28" t="s">
        <v>473</v>
      </c>
      <c r="R164" s="29" t="s">
        <v>474</v>
      </c>
      <c r="S164" s="17" t="s">
        <v>475</v>
      </c>
    </row>
    <row r="165" spans="1:19" ht="15.75" customHeight="1">
      <c r="A165" s="10">
        <v>119</v>
      </c>
      <c r="B165" s="10">
        <v>2020</v>
      </c>
      <c r="C165" s="11" t="s">
        <v>102</v>
      </c>
      <c r="D165" s="12">
        <v>44063</v>
      </c>
      <c r="E165" s="11" t="s">
        <v>20</v>
      </c>
      <c r="F165" s="1" t="s">
        <v>39</v>
      </c>
      <c r="G165" s="10">
        <v>1</v>
      </c>
      <c r="H165" s="10">
        <v>2</v>
      </c>
      <c r="I165" s="10">
        <v>1</v>
      </c>
      <c r="J165" s="13" t="s">
        <v>30</v>
      </c>
      <c r="K165" s="13">
        <v>30909</v>
      </c>
      <c r="L165" s="14" t="s">
        <v>61</v>
      </c>
      <c r="M165" s="16" t="s">
        <v>476</v>
      </c>
      <c r="N165" s="4" t="s">
        <v>20</v>
      </c>
      <c r="O165" s="1" t="s">
        <v>33</v>
      </c>
      <c r="P165" s="1">
        <v>1</v>
      </c>
      <c r="Q165" s="28" t="s">
        <v>477</v>
      </c>
      <c r="R165" s="15" t="s">
        <v>23</v>
      </c>
      <c r="S165" s="17" t="s">
        <v>478</v>
      </c>
    </row>
    <row r="166" spans="1:19" ht="15.75" customHeight="1">
      <c r="A166" s="10">
        <v>119</v>
      </c>
      <c r="B166" s="10">
        <v>2020</v>
      </c>
      <c r="C166" s="11" t="s">
        <v>102</v>
      </c>
      <c r="D166" s="12">
        <v>44063</v>
      </c>
      <c r="E166" s="11" t="s">
        <v>20</v>
      </c>
      <c r="F166" s="1" t="s">
        <v>39</v>
      </c>
      <c r="G166" s="10">
        <v>1</v>
      </c>
      <c r="H166" s="10">
        <v>2</v>
      </c>
      <c r="I166" s="10">
        <v>2</v>
      </c>
      <c r="J166" s="13" t="s">
        <v>30</v>
      </c>
      <c r="K166" s="13">
        <v>30945</v>
      </c>
      <c r="L166" s="3" t="s">
        <v>61</v>
      </c>
      <c r="M166" s="16" t="s">
        <v>479</v>
      </c>
      <c r="N166" s="4" t="s">
        <v>20</v>
      </c>
      <c r="O166" s="1" t="s">
        <v>23</v>
      </c>
      <c r="P166" s="1" t="s">
        <v>23</v>
      </c>
      <c r="Q166" s="20" t="s">
        <v>23</v>
      </c>
      <c r="R166" s="15" t="s">
        <v>23</v>
      </c>
      <c r="S166" s="20" t="s">
        <v>23</v>
      </c>
    </row>
    <row r="167" spans="1:19" ht="15.75" customHeight="1">
      <c r="A167" s="10">
        <v>120</v>
      </c>
      <c r="B167" s="10">
        <v>2020</v>
      </c>
      <c r="C167" s="11" t="s">
        <v>102</v>
      </c>
      <c r="D167" s="12">
        <v>44098</v>
      </c>
      <c r="E167" s="11" t="s">
        <v>20</v>
      </c>
      <c r="F167" s="1" t="s">
        <v>190</v>
      </c>
      <c r="G167" s="10">
        <v>1</v>
      </c>
      <c r="H167" s="10">
        <v>1</v>
      </c>
      <c r="I167" s="10">
        <v>1</v>
      </c>
      <c r="J167" s="13" t="s">
        <v>22</v>
      </c>
      <c r="K167" s="4" t="s">
        <v>23</v>
      </c>
      <c r="L167" s="14" t="s">
        <v>23</v>
      </c>
      <c r="M167" s="16" t="s">
        <v>480</v>
      </c>
      <c r="N167" s="11" t="s">
        <v>23</v>
      </c>
      <c r="O167" s="1" t="s">
        <v>33</v>
      </c>
      <c r="P167" s="1">
        <v>3</v>
      </c>
      <c r="Q167" s="28" t="s">
        <v>481</v>
      </c>
      <c r="R167" s="31" t="s">
        <v>23</v>
      </c>
      <c r="S167" s="17" t="s">
        <v>482</v>
      </c>
    </row>
    <row r="168" spans="1:19" ht="15.75" customHeight="1">
      <c r="A168" s="10">
        <v>121</v>
      </c>
      <c r="B168" s="10">
        <v>2020</v>
      </c>
      <c r="C168" s="11" t="s">
        <v>102</v>
      </c>
      <c r="D168" s="12">
        <v>44068</v>
      </c>
      <c r="E168" s="11" t="s">
        <v>33</v>
      </c>
      <c r="F168" s="6" t="s">
        <v>483</v>
      </c>
      <c r="G168" s="10">
        <v>2</v>
      </c>
      <c r="H168" s="10">
        <v>1</v>
      </c>
      <c r="I168" s="10">
        <v>1</v>
      </c>
      <c r="J168" s="13" t="s">
        <v>22</v>
      </c>
      <c r="K168" s="4" t="s">
        <v>23</v>
      </c>
      <c r="L168" s="14" t="s">
        <v>23</v>
      </c>
      <c r="M168" s="15" t="s">
        <v>484</v>
      </c>
      <c r="N168" s="6" t="s">
        <v>33</v>
      </c>
      <c r="O168" s="1" t="s">
        <v>33</v>
      </c>
      <c r="P168" s="1">
        <v>1</v>
      </c>
      <c r="Q168" s="28" t="s">
        <v>485</v>
      </c>
      <c r="R168" s="15" t="s">
        <v>23</v>
      </c>
      <c r="S168" s="24" t="s">
        <v>486</v>
      </c>
    </row>
    <row r="169" spans="1:19" ht="15.75" customHeight="1">
      <c r="A169" s="10">
        <v>122</v>
      </c>
      <c r="B169" s="10">
        <v>2020</v>
      </c>
      <c r="C169" s="11" t="s">
        <v>102</v>
      </c>
      <c r="D169" s="12">
        <v>44068</v>
      </c>
      <c r="E169" s="11" t="s">
        <v>33</v>
      </c>
      <c r="F169" s="6" t="s">
        <v>143</v>
      </c>
      <c r="G169" s="10">
        <v>2</v>
      </c>
      <c r="H169" s="10">
        <v>1</v>
      </c>
      <c r="I169" s="10">
        <v>1</v>
      </c>
      <c r="J169" s="13" t="s">
        <v>30</v>
      </c>
      <c r="K169" s="13">
        <v>30746</v>
      </c>
      <c r="L169" s="3" t="s">
        <v>31</v>
      </c>
      <c r="M169" s="16" t="s">
        <v>487</v>
      </c>
      <c r="N169" s="4" t="s">
        <v>33</v>
      </c>
      <c r="O169" s="1" t="s">
        <v>20</v>
      </c>
      <c r="P169" s="1">
        <v>0</v>
      </c>
      <c r="Q169" s="28" t="s">
        <v>488</v>
      </c>
      <c r="R169" s="15" t="s">
        <v>23</v>
      </c>
      <c r="S169" s="24" t="s">
        <v>489</v>
      </c>
    </row>
    <row r="170" spans="1:19" ht="15.75" customHeight="1">
      <c r="A170" s="10">
        <v>123</v>
      </c>
      <c r="B170" s="10">
        <v>2020</v>
      </c>
      <c r="C170" s="11" t="s">
        <v>102</v>
      </c>
      <c r="D170" s="12">
        <v>44068</v>
      </c>
      <c r="E170" s="11" t="s">
        <v>20</v>
      </c>
      <c r="F170" s="1" t="s">
        <v>43</v>
      </c>
      <c r="G170" s="10">
        <v>1</v>
      </c>
      <c r="H170" s="10">
        <v>1</v>
      </c>
      <c r="I170" s="10">
        <v>1</v>
      </c>
      <c r="J170" s="13" t="s">
        <v>22</v>
      </c>
      <c r="K170" s="4" t="s">
        <v>23</v>
      </c>
      <c r="L170" s="14" t="s">
        <v>23</v>
      </c>
      <c r="M170" s="15" t="s">
        <v>490</v>
      </c>
      <c r="N170" s="11" t="s">
        <v>23</v>
      </c>
      <c r="O170" s="1" t="s">
        <v>33</v>
      </c>
      <c r="P170" s="6">
        <v>12</v>
      </c>
      <c r="Q170" s="28" t="s">
        <v>491</v>
      </c>
      <c r="R170" s="15" t="s">
        <v>23</v>
      </c>
      <c r="S170" s="17" t="s">
        <v>492</v>
      </c>
    </row>
    <row r="171" spans="1:19" ht="15.75" customHeight="1">
      <c r="A171" s="10">
        <v>124</v>
      </c>
      <c r="B171" s="10">
        <v>2020</v>
      </c>
      <c r="C171" s="11" t="s">
        <v>102</v>
      </c>
      <c r="D171" s="12">
        <v>44070</v>
      </c>
      <c r="E171" s="11" t="s">
        <v>20</v>
      </c>
      <c r="F171" s="1" t="s">
        <v>39</v>
      </c>
      <c r="G171" s="10">
        <v>1</v>
      </c>
      <c r="H171" s="10">
        <v>3</v>
      </c>
      <c r="I171" s="10">
        <v>1</v>
      </c>
      <c r="J171" s="13" t="s">
        <v>30</v>
      </c>
      <c r="K171" s="13">
        <v>30909</v>
      </c>
      <c r="L171" s="14" t="s">
        <v>61</v>
      </c>
      <c r="M171" s="16" t="s">
        <v>476</v>
      </c>
      <c r="N171" s="4" t="s">
        <v>20</v>
      </c>
      <c r="O171" s="1" t="s">
        <v>33</v>
      </c>
      <c r="P171" s="1">
        <v>3</v>
      </c>
      <c r="Q171" s="28" t="s">
        <v>493</v>
      </c>
      <c r="R171" s="29" t="s">
        <v>494</v>
      </c>
      <c r="S171" s="17" t="s">
        <v>495</v>
      </c>
    </row>
    <row r="172" spans="1:19" ht="15.75" customHeight="1">
      <c r="A172" s="10">
        <v>124</v>
      </c>
      <c r="B172" s="10">
        <v>2020</v>
      </c>
      <c r="C172" s="11" t="s">
        <v>102</v>
      </c>
      <c r="D172" s="12">
        <v>44070</v>
      </c>
      <c r="E172" s="11" t="s">
        <v>20</v>
      </c>
      <c r="F172" s="1" t="s">
        <v>39</v>
      </c>
      <c r="G172" s="10">
        <v>1</v>
      </c>
      <c r="H172" s="10">
        <v>3</v>
      </c>
      <c r="I172" s="10">
        <v>2</v>
      </c>
      <c r="J172" s="13" t="s">
        <v>30</v>
      </c>
      <c r="K172" s="13">
        <v>30945</v>
      </c>
      <c r="L172" s="3" t="s">
        <v>61</v>
      </c>
      <c r="M172" s="16" t="s">
        <v>479</v>
      </c>
      <c r="N172" s="4" t="s">
        <v>20</v>
      </c>
      <c r="O172" s="1" t="s">
        <v>23</v>
      </c>
      <c r="P172" s="1" t="s">
        <v>23</v>
      </c>
      <c r="Q172" s="20" t="s">
        <v>23</v>
      </c>
      <c r="R172" s="15" t="s">
        <v>23</v>
      </c>
      <c r="S172" s="20" t="s">
        <v>23</v>
      </c>
    </row>
    <row r="173" spans="1:19" ht="15.75" customHeight="1">
      <c r="A173" s="10">
        <v>124</v>
      </c>
      <c r="B173" s="10">
        <v>2020</v>
      </c>
      <c r="C173" s="11" t="s">
        <v>102</v>
      </c>
      <c r="D173" s="12">
        <v>44070</v>
      </c>
      <c r="E173" s="11" t="s">
        <v>20</v>
      </c>
      <c r="F173" s="1" t="s">
        <v>39</v>
      </c>
      <c r="G173" s="10">
        <v>1</v>
      </c>
      <c r="H173" s="10">
        <v>3</v>
      </c>
      <c r="I173" s="10">
        <v>3</v>
      </c>
      <c r="J173" s="13" t="s">
        <v>30</v>
      </c>
      <c r="K173" s="13">
        <v>31032</v>
      </c>
      <c r="L173" s="3" t="s">
        <v>61</v>
      </c>
      <c r="M173" s="16" t="s">
        <v>496</v>
      </c>
      <c r="N173" s="4" t="s">
        <v>20</v>
      </c>
      <c r="O173" s="1" t="s">
        <v>23</v>
      </c>
      <c r="P173" s="1" t="s">
        <v>23</v>
      </c>
      <c r="Q173" s="20" t="s">
        <v>23</v>
      </c>
      <c r="R173" s="15" t="s">
        <v>23</v>
      </c>
      <c r="S173" s="20" t="s">
        <v>23</v>
      </c>
    </row>
    <row r="174" spans="1:19" ht="15.75" customHeight="1">
      <c r="A174" s="10">
        <v>125</v>
      </c>
      <c r="B174" s="10">
        <v>2020</v>
      </c>
      <c r="C174" s="11" t="s">
        <v>102</v>
      </c>
      <c r="D174" s="12">
        <v>44070</v>
      </c>
      <c r="E174" s="11" t="s">
        <v>33</v>
      </c>
      <c r="F174" s="6" t="s">
        <v>497</v>
      </c>
      <c r="G174" s="10">
        <v>2</v>
      </c>
      <c r="H174" s="10">
        <v>1</v>
      </c>
      <c r="I174" s="10">
        <v>1</v>
      </c>
      <c r="J174" s="13" t="s">
        <v>30</v>
      </c>
      <c r="K174" s="13">
        <v>30935</v>
      </c>
      <c r="L174" s="3" t="s">
        <v>31</v>
      </c>
      <c r="M174" s="16" t="s">
        <v>498</v>
      </c>
      <c r="N174" s="4" t="s">
        <v>33</v>
      </c>
      <c r="O174" s="1" t="s">
        <v>20</v>
      </c>
      <c r="P174" s="1">
        <v>0</v>
      </c>
      <c r="Q174" s="28" t="s">
        <v>499</v>
      </c>
      <c r="R174" s="29" t="s">
        <v>500</v>
      </c>
      <c r="S174" s="17" t="s">
        <v>501</v>
      </c>
    </row>
    <row r="175" spans="1:19" ht="15.75" customHeight="1">
      <c r="A175" s="10">
        <v>126</v>
      </c>
      <c r="B175" s="10">
        <v>2020</v>
      </c>
      <c r="C175" s="11" t="s">
        <v>102</v>
      </c>
      <c r="D175" s="12">
        <v>44070</v>
      </c>
      <c r="E175" s="11" t="s">
        <v>20</v>
      </c>
      <c r="F175" s="1" t="s">
        <v>73</v>
      </c>
      <c r="G175" s="10">
        <v>1</v>
      </c>
      <c r="H175" s="10">
        <v>1</v>
      </c>
      <c r="I175" s="10">
        <v>1</v>
      </c>
      <c r="J175" s="13" t="s">
        <v>30</v>
      </c>
      <c r="K175" s="13">
        <v>30936</v>
      </c>
      <c r="L175" s="3" t="s">
        <v>31</v>
      </c>
      <c r="M175" s="15" t="s">
        <v>502</v>
      </c>
      <c r="N175" s="4" t="s">
        <v>20</v>
      </c>
      <c r="O175" s="1" t="s">
        <v>33</v>
      </c>
      <c r="P175" s="1">
        <v>2</v>
      </c>
      <c r="Q175" s="28" t="s">
        <v>503</v>
      </c>
      <c r="R175" s="15" t="s">
        <v>23</v>
      </c>
      <c r="S175" s="17" t="s">
        <v>504</v>
      </c>
    </row>
    <row r="176" spans="1:19" ht="15.75" customHeight="1">
      <c r="A176" s="10">
        <v>127</v>
      </c>
      <c r="B176" s="10">
        <v>2020</v>
      </c>
      <c r="C176" s="11" t="s">
        <v>102</v>
      </c>
      <c r="D176" s="12">
        <v>44075</v>
      </c>
      <c r="E176" s="11" t="s">
        <v>20</v>
      </c>
      <c r="F176" s="1" t="s">
        <v>37</v>
      </c>
      <c r="G176" s="10">
        <v>1</v>
      </c>
      <c r="H176" s="10">
        <v>1</v>
      </c>
      <c r="I176" s="10">
        <v>1</v>
      </c>
      <c r="J176" s="13" t="s">
        <v>416</v>
      </c>
      <c r="K176" s="13">
        <v>30977</v>
      </c>
      <c r="L176" s="3" t="s">
        <v>31</v>
      </c>
      <c r="M176" s="15" t="s">
        <v>505</v>
      </c>
      <c r="N176" s="4" t="s">
        <v>33</v>
      </c>
      <c r="O176" s="1" t="s">
        <v>20</v>
      </c>
      <c r="P176" s="1">
        <v>0</v>
      </c>
      <c r="Q176" s="28" t="s">
        <v>506</v>
      </c>
      <c r="R176" s="29" t="s">
        <v>507</v>
      </c>
      <c r="S176" s="17" t="s">
        <v>508</v>
      </c>
    </row>
    <row r="177" spans="1:19" ht="15.75" customHeight="1">
      <c r="A177" s="10">
        <v>128</v>
      </c>
      <c r="B177" s="10">
        <v>2020</v>
      </c>
      <c r="C177" s="11" t="s">
        <v>102</v>
      </c>
      <c r="D177" s="12">
        <v>44075</v>
      </c>
      <c r="E177" s="11" t="s">
        <v>33</v>
      </c>
      <c r="F177" s="6" t="s">
        <v>509</v>
      </c>
      <c r="G177" s="10">
        <v>3</v>
      </c>
      <c r="H177" s="10">
        <v>1</v>
      </c>
      <c r="I177" s="10">
        <v>1</v>
      </c>
      <c r="J177" s="13" t="s">
        <v>30</v>
      </c>
      <c r="K177" s="13">
        <v>29918</v>
      </c>
      <c r="L177" s="14" t="s">
        <v>61</v>
      </c>
      <c r="M177" s="15" t="s">
        <v>436</v>
      </c>
      <c r="N177" s="4" t="s">
        <v>20</v>
      </c>
      <c r="O177" s="1" t="s">
        <v>20</v>
      </c>
      <c r="P177" s="1">
        <v>0</v>
      </c>
      <c r="Q177" s="28" t="s">
        <v>510</v>
      </c>
      <c r="R177" s="29" t="s">
        <v>511</v>
      </c>
      <c r="S177" s="17" t="s">
        <v>512</v>
      </c>
    </row>
    <row r="178" spans="1:19" ht="15.75" customHeight="1">
      <c r="A178" s="10">
        <v>129</v>
      </c>
      <c r="B178" s="10">
        <v>2020</v>
      </c>
      <c r="C178" s="11" t="s">
        <v>102</v>
      </c>
      <c r="D178" s="12">
        <v>44076</v>
      </c>
      <c r="E178" s="11" t="s">
        <v>20</v>
      </c>
      <c r="F178" s="1" t="s">
        <v>51</v>
      </c>
      <c r="G178" s="10">
        <v>1</v>
      </c>
      <c r="H178" s="10">
        <v>1</v>
      </c>
      <c r="I178" s="10">
        <v>1</v>
      </c>
      <c r="J178" s="13" t="s">
        <v>22</v>
      </c>
      <c r="K178" s="4" t="s">
        <v>23</v>
      </c>
      <c r="L178" s="14" t="s">
        <v>23</v>
      </c>
      <c r="M178" s="15" t="s">
        <v>513</v>
      </c>
      <c r="N178" s="11" t="s">
        <v>23</v>
      </c>
      <c r="O178" s="1" t="s">
        <v>33</v>
      </c>
      <c r="P178" s="1">
        <v>3</v>
      </c>
      <c r="Q178" s="28" t="s">
        <v>514</v>
      </c>
      <c r="R178" s="15" t="s">
        <v>23</v>
      </c>
      <c r="S178" s="17" t="s">
        <v>515</v>
      </c>
    </row>
    <row r="179" spans="1:19" ht="15.75" customHeight="1">
      <c r="A179" s="10">
        <v>130</v>
      </c>
      <c r="B179" s="10">
        <v>2020</v>
      </c>
      <c r="C179" s="11" t="s">
        <v>102</v>
      </c>
      <c r="D179" s="12">
        <v>44077</v>
      </c>
      <c r="E179" s="11" t="s">
        <v>20</v>
      </c>
      <c r="F179" s="1" t="s">
        <v>45</v>
      </c>
      <c r="G179" s="10">
        <v>1</v>
      </c>
      <c r="H179" s="10">
        <v>1</v>
      </c>
      <c r="I179" s="10">
        <v>1</v>
      </c>
      <c r="J179" s="13" t="s">
        <v>22</v>
      </c>
      <c r="K179" s="4" t="s">
        <v>23</v>
      </c>
      <c r="L179" s="14" t="s">
        <v>23</v>
      </c>
      <c r="M179" s="15" t="s">
        <v>516</v>
      </c>
      <c r="N179" s="11" t="s">
        <v>23</v>
      </c>
      <c r="O179" s="1" t="s">
        <v>33</v>
      </c>
      <c r="P179" s="1">
        <v>1</v>
      </c>
      <c r="Q179" s="28" t="s">
        <v>517</v>
      </c>
      <c r="R179" s="29" t="s">
        <v>507</v>
      </c>
      <c r="S179" s="17" t="s">
        <v>518</v>
      </c>
    </row>
    <row r="180" spans="1:19" ht="15.75" customHeight="1">
      <c r="A180" s="10">
        <v>131</v>
      </c>
      <c r="B180" s="10">
        <v>2020</v>
      </c>
      <c r="C180" s="11" t="s">
        <v>102</v>
      </c>
      <c r="D180" s="12">
        <v>44077</v>
      </c>
      <c r="E180" s="11" t="s">
        <v>20</v>
      </c>
      <c r="F180" s="1" t="s">
        <v>190</v>
      </c>
      <c r="G180" s="10">
        <v>1</v>
      </c>
      <c r="H180" s="10">
        <v>1</v>
      </c>
      <c r="I180" s="10">
        <v>1</v>
      </c>
      <c r="J180" s="13" t="s">
        <v>22</v>
      </c>
      <c r="K180" s="4" t="s">
        <v>23</v>
      </c>
      <c r="L180" s="14" t="s">
        <v>23</v>
      </c>
      <c r="M180" s="15" t="s">
        <v>519</v>
      </c>
      <c r="N180" s="11" t="s">
        <v>23</v>
      </c>
      <c r="O180" s="1" t="s">
        <v>33</v>
      </c>
      <c r="P180" s="6">
        <v>5</v>
      </c>
      <c r="Q180" s="28" t="s">
        <v>520</v>
      </c>
      <c r="R180" s="29" t="s">
        <v>521</v>
      </c>
      <c r="S180" s="17" t="s">
        <v>522</v>
      </c>
    </row>
    <row r="181" spans="1:19" ht="15.75" customHeight="1">
      <c r="A181" s="10">
        <v>132</v>
      </c>
      <c r="B181" s="10">
        <v>2020</v>
      </c>
      <c r="C181" s="11" t="s">
        <v>102</v>
      </c>
      <c r="D181" s="12">
        <v>44077</v>
      </c>
      <c r="E181" s="11" t="s">
        <v>20</v>
      </c>
      <c r="F181" s="1" t="s">
        <v>43</v>
      </c>
      <c r="G181" s="10">
        <v>1</v>
      </c>
      <c r="H181" s="10">
        <v>1</v>
      </c>
      <c r="I181" s="10">
        <v>1</v>
      </c>
      <c r="J181" s="13" t="s">
        <v>22</v>
      </c>
      <c r="K181" s="4" t="s">
        <v>23</v>
      </c>
      <c r="L181" s="14" t="s">
        <v>23</v>
      </c>
      <c r="M181" s="15" t="s">
        <v>490</v>
      </c>
      <c r="N181" s="11" t="s">
        <v>23</v>
      </c>
      <c r="O181" s="1" t="s">
        <v>33</v>
      </c>
      <c r="P181" s="6">
        <v>18</v>
      </c>
      <c r="Q181" s="28" t="s">
        <v>523</v>
      </c>
      <c r="R181" s="29" t="s">
        <v>524</v>
      </c>
      <c r="S181" s="17" t="s">
        <v>525</v>
      </c>
    </row>
    <row r="182" spans="1:19" ht="15.75" customHeight="1">
      <c r="A182" s="10">
        <v>133</v>
      </c>
      <c r="B182" s="10">
        <v>2020</v>
      </c>
      <c r="C182" s="11" t="s">
        <v>102</v>
      </c>
      <c r="D182" s="12">
        <v>44082</v>
      </c>
      <c r="E182" s="11" t="s">
        <v>33</v>
      </c>
      <c r="F182" s="6" t="s">
        <v>526</v>
      </c>
      <c r="G182" s="10">
        <v>2</v>
      </c>
      <c r="H182" s="10">
        <v>1</v>
      </c>
      <c r="I182" s="10">
        <v>1</v>
      </c>
      <c r="J182" s="13" t="s">
        <v>22</v>
      </c>
      <c r="K182" s="4" t="s">
        <v>23</v>
      </c>
      <c r="L182" s="14" t="s">
        <v>23</v>
      </c>
      <c r="M182" s="15" t="s">
        <v>527</v>
      </c>
      <c r="N182" s="11" t="s">
        <v>23</v>
      </c>
      <c r="O182" s="1" t="s">
        <v>33</v>
      </c>
      <c r="P182" s="1">
        <v>1</v>
      </c>
      <c r="Q182" s="28" t="s">
        <v>528</v>
      </c>
      <c r="R182" s="15" t="s">
        <v>23</v>
      </c>
      <c r="S182" s="17" t="s">
        <v>529</v>
      </c>
    </row>
    <row r="183" spans="1:19" ht="15.75" customHeight="1">
      <c r="A183" s="10">
        <v>134</v>
      </c>
      <c r="B183" s="10">
        <v>2020</v>
      </c>
      <c r="C183" s="11" t="s">
        <v>102</v>
      </c>
      <c r="D183" s="12">
        <v>44082</v>
      </c>
      <c r="E183" s="11" t="s">
        <v>33</v>
      </c>
      <c r="F183" s="6" t="s">
        <v>530</v>
      </c>
      <c r="G183" s="10">
        <v>2</v>
      </c>
      <c r="H183" s="10">
        <v>1</v>
      </c>
      <c r="I183" s="10">
        <v>1</v>
      </c>
      <c r="J183" s="13" t="s">
        <v>30</v>
      </c>
      <c r="K183" s="13">
        <v>30936</v>
      </c>
      <c r="L183" s="3" t="s">
        <v>31</v>
      </c>
      <c r="M183" s="16" t="s">
        <v>531</v>
      </c>
      <c r="N183" s="4" t="s">
        <v>33</v>
      </c>
      <c r="O183" s="1" t="s">
        <v>20</v>
      </c>
      <c r="P183" s="1">
        <v>0</v>
      </c>
      <c r="Q183" s="28" t="s">
        <v>532</v>
      </c>
      <c r="R183" s="29" t="s">
        <v>533</v>
      </c>
      <c r="S183" s="17" t="s">
        <v>534</v>
      </c>
    </row>
    <row r="184" spans="1:19" ht="15.75" customHeight="1">
      <c r="A184" s="10">
        <v>135</v>
      </c>
      <c r="B184" s="10">
        <v>2020</v>
      </c>
      <c r="C184" s="11" t="s">
        <v>102</v>
      </c>
      <c r="D184" s="12">
        <v>44082</v>
      </c>
      <c r="E184" s="11" t="s">
        <v>20</v>
      </c>
      <c r="F184" s="1" t="s">
        <v>471</v>
      </c>
      <c r="G184" s="10">
        <v>1</v>
      </c>
      <c r="H184" s="10">
        <v>1</v>
      </c>
      <c r="I184" s="10">
        <v>1</v>
      </c>
      <c r="J184" s="13" t="s">
        <v>22</v>
      </c>
      <c r="K184" s="4" t="s">
        <v>23</v>
      </c>
      <c r="L184" s="14" t="s">
        <v>23</v>
      </c>
      <c r="M184" s="15" t="s">
        <v>535</v>
      </c>
      <c r="N184" s="11" t="s">
        <v>23</v>
      </c>
      <c r="O184" s="1" t="s">
        <v>33</v>
      </c>
      <c r="P184" s="1">
        <v>1</v>
      </c>
      <c r="Q184" s="28" t="s">
        <v>536</v>
      </c>
      <c r="R184" s="29" t="s">
        <v>537</v>
      </c>
      <c r="S184" s="17" t="s">
        <v>538</v>
      </c>
    </row>
    <row r="185" spans="1:19" ht="15.75" customHeight="1">
      <c r="A185" s="10">
        <v>136</v>
      </c>
      <c r="B185" s="10">
        <v>2020</v>
      </c>
      <c r="C185" s="11" t="s">
        <v>102</v>
      </c>
      <c r="D185" s="12">
        <v>44083</v>
      </c>
      <c r="E185" s="11" t="s">
        <v>33</v>
      </c>
      <c r="F185" s="6" t="s">
        <v>509</v>
      </c>
      <c r="G185" s="10">
        <v>3</v>
      </c>
      <c r="H185" s="10">
        <v>1</v>
      </c>
      <c r="I185" s="10">
        <v>1</v>
      </c>
      <c r="J185" s="13" t="s">
        <v>30</v>
      </c>
      <c r="K185" s="13">
        <v>29918</v>
      </c>
      <c r="L185" s="14" t="s">
        <v>61</v>
      </c>
      <c r="M185" s="15" t="s">
        <v>436</v>
      </c>
      <c r="N185" s="4" t="s">
        <v>20</v>
      </c>
      <c r="O185" s="1" t="s">
        <v>20</v>
      </c>
      <c r="P185" s="1">
        <v>0</v>
      </c>
      <c r="Q185" s="28" t="s">
        <v>539</v>
      </c>
      <c r="R185" s="15" t="s">
        <v>23</v>
      </c>
      <c r="S185" s="17" t="s">
        <v>540</v>
      </c>
    </row>
    <row r="186" spans="1:19" ht="15.75" customHeight="1">
      <c r="A186" s="18">
        <v>137</v>
      </c>
      <c r="B186" s="10">
        <v>2020</v>
      </c>
      <c r="C186" s="11" t="s">
        <v>102</v>
      </c>
      <c r="D186" s="12">
        <v>44083</v>
      </c>
      <c r="E186" s="11" t="s">
        <v>20</v>
      </c>
      <c r="F186" s="1" t="s">
        <v>41</v>
      </c>
      <c r="G186" s="10">
        <v>1</v>
      </c>
      <c r="H186" s="10">
        <v>1</v>
      </c>
      <c r="I186" s="10">
        <v>1</v>
      </c>
      <c r="J186" s="13" t="s">
        <v>22</v>
      </c>
      <c r="K186" s="4" t="s">
        <v>23</v>
      </c>
      <c r="L186" s="14" t="s">
        <v>23</v>
      </c>
      <c r="M186" s="15" t="s">
        <v>541</v>
      </c>
      <c r="N186" s="11" t="s">
        <v>23</v>
      </c>
      <c r="O186" s="1" t="s">
        <v>33</v>
      </c>
      <c r="P186" s="1">
        <v>2</v>
      </c>
      <c r="Q186" s="28" t="s">
        <v>542</v>
      </c>
      <c r="R186" s="15" t="s">
        <v>23</v>
      </c>
      <c r="S186" s="17" t="s">
        <v>543</v>
      </c>
    </row>
    <row r="187" spans="1:19" ht="15.75" customHeight="1">
      <c r="A187" s="18">
        <v>138</v>
      </c>
      <c r="B187" s="10">
        <v>2020</v>
      </c>
      <c r="C187" s="11" t="s">
        <v>102</v>
      </c>
      <c r="D187" s="12">
        <v>44084</v>
      </c>
      <c r="E187" s="11" t="s">
        <v>20</v>
      </c>
      <c r="F187" s="1" t="s">
        <v>370</v>
      </c>
      <c r="G187" s="10">
        <v>1</v>
      </c>
      <c r="H187" s="10">
        <v>1</v>
      </c>
      <c r="I187" s="10">
        <v>1</v>
      </c>
      <c r="J187" s="13" t="s">
        <v>22</v>
      </c>
      <c r="K187" s="4" t="s">
        <v>23</v>
      </c>
      <c r="L187" s="14" t="s">
        <v>23</v>
      </c>
      <c r="M187" s="15" t="s">
        <v>544</v>
      </c>
      <c r="N187" s="11" t="s">
        <v>23</v>
      </c>
      <c r="O187" s="1" t="s">
        <v>33</v>
      </c>
      <c r="P187" s="1">
        <v>1</v>
      </c>
      <c r="Q187" s="28" t="s">
        <v>545</v>
      </c>
      <c r="R187" s="29" t="s">
        <v>546</v>
      </c>
      <c r="S187" s="17" t="s">
        <v>547</v>
      </c>
    </row>
    <row r="188" spans="1:19" ht="15.75" customHeight="1">
      <c r="A188" s="18">
        <v>139</v>
      </c>
      <c r="B188" s="10">
        <v>2020</v>
      </c>
      <c r="C188" s="11" t="s">
        <v>102</v>
      </c>
      <c r="D188" s="12">
        <v>44084</v>
      </c>
      <c r="E188" s="11" t="s">
        <v>20</v>
      </c>
      <c r="F188" s="1" t="s">
        <v>43</v>
      </c>
      <c r="G188" s="10">
        <v>1</v>
      </c>
      <c r="H188" s="10">
        <v>1</v>
      </c>
      <c r="I188" s="10">
        <v>1</v>
      </c>
      <c r="J188" s="13" t="s">
        <v>22</v>
      </c>
      <c r="K188" s="4" t="s">
        <v>23</v>
      </c>
      <c r="L188" s="14" t="s">
        <v>23</v>
      </c>
      <c r="M188" s="15" t="s">
        <v>548</v>
      </c>
      <c r="N188" s="11" t="s">
        <v>23</v>
      </c>
      <c r="O188" s="1" t="s">
        <v>20</v>
      </c>
      <c r="P188" s="1">
        <v>0</v>
      </c>
      <c r="Q188" s="28" t="s">
        <v>549</v>
      </c>
      <c r="R188" s="29" t="s">
        <v>550</v>
      </c>
      <c r="S188" s="17" t="s">
        <v>551</v>
      </c>
    </row>
    <row r="189" spans="1:19" ht="15.75" customHeight="1">
      <c r="A189" s="10">
        <v>140</v>
      </c>
      <c r="B189" s="10">
        <v>2020</v>
      </c>
      <c r="C189" s="11" t="s">
        <v>102</v>
      </c>
      <c r="D189" s="12">
        <v>44089</v>
      </c>
      <c r="E189" s="11" t="s">
        <v>20</v>
      </c>
      <c r="F189" s="1" t="s">
        <v>51</v>
      </c>
      <c r="G189" s="10">
        <v>1</v>
      </c>
      <c r="H189" s="10">
        <v>1</v>
      </c>
      <c r="I189" s="10">
        <v>1</v>
      </c>
      <c r="J189" s="13" t="s">
        <v>22</v>
      </c>
      <c r="K189" s="4" t="s">
        <v>23</v>
      </c>
      <c r="L189" s="14" t="s">
        <v>23</v>
      </c>
      <c r="M189" s="15" t="s">
        <v>552</v>
      </c>
      <c r="N189" s="11" t="s">
        <v>23</v>
      </c>
      <c r="O189" s="1" t="s">
        <v>33</v>
      </c>
      <c r="P189" s="1">
        <v>5</v>
      </c>
      <c r="Q189" s="28" t="s">
        <v>553</v>
      </c>
      <c r="R189" s="29" t="s">
        <v>554</v>
      </c>
      <c r="S189" s="17" t="s">
        <v>555</v>
      </c>
    </row>
    <row r="190" spans="1:19" ht="15.75" customHeight="1">
      <c r="A190" s="10">
        <v>141</v>
      </c>
      <c r="B190" s="10">
        <v>2020</v>
      </c>
      <c r="C190" s="11" t="s">
        <v>102</v>
      </c>
      <c r="D190" s="12">
        <v>44089</v>
      </c>
      <c r="E190" s="11" t="s">
        <v>20</v>
      </c>
      <c r="F190" s="1" t="s">
        <v>39</v>
      </c>
      <c r="G190" s="10">
        <v>1</v>
      </c>
      <c r="H190" s="10">
        <v>1</v>
      </c>
      <c r="I190" s="10">
        <v>1</v>
      </c>
      <c r="J190" s="13" t="s">
        <v>22</v>
      </c>
      <c r="K190" s="4" t="s">
        <v>23</v>
      </c>
      <c r="L190" s="14" t="s">
        <v>23</v>
      </c>
      <c r="M190" s="15" t="s">
        <v>556</v>
      </c>
      <c r="N190" s="11" t="s">
        <v>23</v>
      </c>
      <c r="O190" s="1" t="s">
        <v>33</v>
      </c>
      <c r="P190" s="1">
        <v>1</v>
      </c>
      <c r="Q190" s="28" t="s">
        <v>557</v>
      </c>
      <c r="R190" s="29" t="s">
        <v>558</v>
      </c>
      <c r="S190" s="17" t="s">
        <v>559</v>
      </c>
    </row>
    <row r="191" spans="1:19" ht="15.75" customHeight="1">
      <c r="A191" s="10">
        <v>142</v>
      </c>
      <c r="B191" s="10">
        <v>2020</v>
      </c>
      <c r="C191" s="11" t="s">
        <v>102</v>
      </c>
      <c r="D191" s="12">
        <v>44089</v>
      </c>
      <c r="E191" s="11" t="s">
        <v>33</v>
      </c>
      <c r="F191" s="6" t="s">
        <v>509</v>
      </c>
      <c r="G191" s="10">
        <v>3</v>
      </c>
      <c r="H191" s="10">
        <v>1</v>
      </c>
      <c r="I191" s="10">
        <v>1</v>
      </c>
      <c r="J191" s="13" t="s">
        <v>30</v>
      </c>
      <c r="K191" s="13">
        <v>29918</v>
      </c>
      <c r="L191" s="14" t="s">
        <v>61</v>
      </c>
      <c r="M191" s="15" t="s">
        <v>436</v>
      </c>
      <c r="N191" s="4" t="s">
        <v>33</v>
      </c>
      <c r="O191" s="1" t="s">
        <v>20</v>
      </c>
      <c r="P191" s="1">
        <v>0</v>
      </c>
      <c r="Q191" s="32" t="s">
        <v>560</v>
      </c>
      <c r="R191" s="29" t="s">
        <v>561</v>
      </c>
      <c r="S191" s="30" t="s">
        <v>562</v>
      </c>
    </row>
    <row r="192" spans="1:19" ht="15.75" customHeight="1">
      <c r="A192" s="10">
        <v>143</v>
      </c>
      <c r="B192" s="10">
        <v>2020</v>
      </c>
      <c r="C192" s="11" t="s">
        <v>102</v>
      </c>
      <c r="D192" s="12">
        <v>44090</v>
      </c>
      <c r="E192" s="11" t="s">
        <v>20</v>
      </c>
      <c r="F192" s="1" t="s">
        <v>148</v>
      </c>
      <c r="G192" s="10">
        <v>1</v>
      </c>
      <c r="H192" s="10">
        <v>1</v>
      </c>
      <c r="I192" s="10">
        <v>1</v>
      </c>
      <c r="J192" s="13" t="s">
        <v>22</v>
      </c>
      <c r="K192" s="4" t="s">
        <v>23</v>
      </c>
      <c r="L192" s="14" t="s">
        <v>23</v>
      </c>
      <c r="M192" s="15" t="s">
        <v>563</v>
      </c>
      <c r="N192" s="11" t="s">
        <v>23</v>
      </c>
      <c r="O192" s="1" t="s">
        <v>33</v>
      </c>
      <c r="P192" s="1">
        <v>1</v>
      </c>
      <c r="Q192" s="28" t="s">
        <v>564</v>
      </c>
      <c r="R192" s="29" t="s">
        <v>565</v>
      </c>
      <c r="S192" s="17" t="s">
        <v>566</v>
      </c>
    </row>
    <row r="193" spans="1:19" ht="15.75" customHeight="1">
      <c r="A193" s="10">
        <v>144</v>
      </c>
      <c r="B193" s="10">
        <v>2020</v>
      </c>
      <c r="C193" s="11" t="s">
        <v>102</v>
      </c>
      <c r="D193" s="12">
        <v>44091</v>
      </c>
      <c r="E193" s="11" t="s">
        <v>33</v>
      </c>
      <c r="F193" s="6" t="s">
        <v>567</v>
      </c>
      <c r="G193" s="10">
        <v>2</v>
      </c>
      <c r="H193" s="10">
        <v>2</v>
      </c>
      <c r="I193" s="10">
        <v>1</v>
      </c>
      <c r="J193" s="13" t="s">
        <v>30</v>
      </c>
      <c r="K193" s="13">
        <v>30943</v>
      </c>
      <c r="L193" s="14" t="s">
        <v>61</v>
      </c>
      <c r="M193" s="16" t="s">
        <v>568</v>
      </c>
      <c r="N193" s="4" t="s">
        <v>33</v>
      </c>
      <c r="O193" s="1" t="s">
        <v>33</v>
      </c>
      <c r="P193" s="1">
        <v>1</v>
      </c>
      <c r="Q193" s="28" t="s">
        <v>569</v>
      </c>
      <c r="R193" s="29" t="s">
        <v>570</v>
      </c>
      <c r="S193" s="17" t="s">
        <v>571</v>
      </c>
    </row>
    <row r="194" spans="1:19" ht="15.75" customHeight="1">
      <c r="A194" s="10">
        <v>144</v>
      </c>
      <c r="B194" s="10">
        <v>2020</v>
      </c>
      <c r="C194" s="11" t="s">
        <v>102</v>
      </c>
      <c r="D194" s="12">
        <v>44091</v>
      </c>
      <c r="E194" s="11" t="s">
        <v>33</v>
      </c>
      <c r="F194" s="6" t="s">
        <v>567</v>
      </c>
      <c r="G194" s="10">
        <v>2</v>
      </c>
      <c r="H194" s="10">
        <v>2</v>
      </c>
      <c r="I194" s="10">
        <v>2</v>
      </c>
      <c r="J194" s="13" t="s">
        <v>30</v>
      </c>
      <c r="K194" s="13">
        <v>30952</v>
      </c>
      <c r="L194" s="14" t="s">
        <v>61</v>
      </c>
      <c r="M194" s="16" t="s">
        <v>572</v>
      </c>
      <c r="N194" s="4" t="s">
        <v>33</v>
      </c>
      <c r="O194" s="1" t="s">
        <v>23</v>
      </c>
      <c r="P194" s="1" t="s">
        <v>23</v>
      </c>
      <c r="Q194" s="20" t="s">
        <v>23</v>
      </c>
      <c r="R194" s="19" t="s">
        <v>23</v>
      </c>
      <c r="S194" s="20" t="s">
        <v>23</v>
      </c>
    </row>
    <row r="195" spans="1:19" ht="15.75" customHeight="1">
      <c r="A195" s="10">
        <v>145</v>
      </c>
      <c r="B195" s="10">
        <v>2020</v>
      </c>
      <c r="C195" s="11" t="s">
        <v>102</v>
      </c>
      <c r="D195" s="12">
        <v>44091</v>
      </c>
      <c r="E195" s="11" t="s">
        <v>20</v>
      </c>
      <c r="F195" s="1" t="s">
        <v>43</v>
      </c>
      <c r="G195" s="10">
        <v>1</v>
      </c>
      <c r="H195" s="10">
        <v>1</v>
      </c>
      <c r="I195" s="10">
        <v>1</v>
      </c>
      <c r="J195" s="13" t="s">
        <v>22</v>
      </c>
      <c r="K195" s="4" t="s">
        <v>23</v>
      </c>
      <c r="L195" s="14" t="s">
        <v>23</v>
      </c>
      <c r="M195" s="15" t="s">
        <v>573</v>
      </c>
      <c r="N195" s="11" t="s">
        <v>23</v>
      </c>
      <c r="O195" s="1" t="s">
        <v>33</v>
      </c>
      <c r="P195" s="1">
        <v>1</v>
      </c>
      <c r="Q195" s="28" t="s">
        <v>574</v>
      </c>
      <c r="R195" s="29" t="s">
        <v>575</v>
      </c>
      <c r="S195" s="17" t="s">
        <v>576</v>
      </c>
    </row>
    <row r="196" spans="1:19" ht="15.75" customHeight="1">
      <c r="A196" s="10">
        <v>146</v>
      </c>
      <c r="B196" s="10">
        <v>2020</v>
      </c>
      <c r="C196" s="11" t="s">
        <v>102</v>
      </c>
      <c r="D196" s="12">
        <v>44091</v>
      </c>
      <c r="E196" s="11" t="s">
        <v>33</v>
      </c>
      <c r="F196" s="6" t="s">
        <v>282</v>
      </c>
      <c r="G196" s="10">
        <v>2</v>
      </c>
      <c r="H196" s="10">
        <v>1</v>
      </c>
      <c r="I196" s="10">
        <v>1</v>
      </c>
      <c r="J196" s="13" t="s">
        <v>22</v>
      </c>
      <c r="K196" s="4" t="s">
        <v>23</v>
      </c>
      <c r="L196" s="14" t="s">
        <v>23</v>
      </c>
      <c r="M196" s="15" t="s">
        <v>577</v>
      </c>
      <c r="N196" s="11" t="s">
        <v>23</v>
      </c>
      <c r="O196" s="1" t="s">
        <v>33</v>
      </c>
      <c r="P196" s="1">
        <v>1</v>
      </c>
      <c r="Q196" s="28" t="s">
        <v>578</v>
      </c>
      <c r="R196" s="29" t="s">
        <v>579</v>
      </c>
      <c r="S196" s="17" t="s">
        <v>580</v>
      </c>
    </row>
    <row r="197" spans="1:19" ht="15.75" customHeight="1">
      <c r="A197" s="10">
        <v>147</v>
      </c>
      <c r="B197" s="10">
        <v>2020</v>
      </c>
      <c r="C197" s="11" t="s">
        <v>102</v>
      </c>
      <c r="D197" s="12">
        <v>44096</v>
      </c>
      <c r="E197" s="11" t="s">
        <v>20</v>
      </c>
      <c r="F197" s="1" t="s">
        <v>26</v>
      </c>
      <c r="G197" s="10">
        <v>1</v>
      </c>
      <c r="H197" s="10">
        <v>1</v>
      </c>
      <c r="I197" s="10">
        <v>1</v>
      </c>
      <c r="J197" s="13" t="s">
        <v>22</v>
      </c>
      <c r="K197" s="4" t="s">
        <v>23</v>
      </c>
      <c r="L197" s="14" t="s">
        <v>23</v>
      </c>
      <c r="M197" s="15" t="s">
        <v>581</v>
      </c>
      <c r="N197" s="11" t="s">
        <v>23</v>
      </c>
      <c r="O197" s="1" t="s">
        <v>33</v>
      </c>
      <c r="P197" s="1">
        <v>1</v>
      </c>
      <c r="Q197" s="28" t="s">
        <v>582</v>
      </c>
      <c r="R197" s="29" t="s">
        <v>583</v>
      </c>
      <c r="S197" s="17" t="s">
        <v>584</v>
      </c>
    </row>
    <row r="198" spans="1:19" ht="15.75" customHeight="1">
      <c r="A198" s="10">
        <v>148</v>
      </c>
      <c r="B198" s="10">
        <v>2020</v>
      </c>
      <c r="C198" s="11" t="s">
        <v>102</v>
      </c>
      <c r="D198" s="12">
        <v>44096</v>
      </c>
      <c r="E198" s="11" t="s">
        <v>33</v>
      </c>
      <c r="F198" s="6" t="s">
        <v>497</v>
      </c>
      <c r="G198" s="10">
        <v>2</v>
      </c>
      <c r="H198" s="10">
        <v>1</v>
      </c>
      <c r="I198" s="10">
        <v>1</v>
      </c>
      <c r="J198" s="13" t="s">
        <v>30</v>
      </c>
      <c r="K198" s="13">
        <v>31206</v>
      </c>
      <c r="L198" s="3" t="s">
        <v>31</v>
      </c>
      <c r="M198" s="16" t="s">
        <v>585</v>
      </c>
      <c r="N198" s="4" t="s">
        <v>33</v>
      </c>
      <c r="O198" s="1" t="s">
        <v>20</v>
      </c>
      <c r="P198" s="1">
        <v>0</v>
      </c>
      <c r="Q198" s="28" t="s">
        <v>586</v>
      </c>
      <c r="R198" s="29" t="s">
        <v>587</v>
      </c>
      <c r="S198" s="17" t="s">
        <v>588</v>
      </c>
    </row>
    <row r="199" spans="1:19" ht="15.75" customHeight="1">
      <c r="A199" s="10">
        <v>149</v>
      </c>
      <c r="B199" s="10">
        <v>2020</v>
      </c>
      <c r="C199" s="11" t="s">
        <v>102</v>
      </c>
      <c r="D199" s="12">
        <v>44096</v>
      </c>
      <c r="E199" s="11" t="s">
        <v>33</v>
      </c>
      <c r="F199" s="6" t="s">
        <v>589</v>
      </c>
      <c r="G199" s="10">
        <v>2</v>
      </c>
      <c r="H199" s="10">
        <v>1</v>
      </c>
      <c r="I199" s="10">
        <v>1</v>
      </c>
      <c r="J199" s="13" t="s">
        <v>22</v>
      </c>
      <c r="K199" s="4" t="s">
        <v>23</v>
      </c>
      <c r="L199" s="14" t="s">
        <v>23</v>
      </c>
      <c r="M199" s="15" t="s">
        <v>590</v>
      </c>
      <c r="N199" s="11" t="s">
        <v>23</v>
      </c>
      <c r="O199" s="1" t="s">
        <v>33</v>
      </c>
      <c r="P199" s="1">
        <v>6</v>
      </c>
      <c r="Q199" s="28" t="s">
        <v>591</v>
      </c>
      <c r="R199" s="31" t="s">
        <v>23</v>
      </c>
      <c r="S199" s="17" t="s">
        <v>592</v>
      </c>
    </row>
    <row r="200" spans="1:19" ht="15.75" customHeight="1">
      <c r="A200" s="18">
        <v>150</v>
      </c>
      <c r="B200" s="10">
        <v>2020</v>
      </c>
      <c r="C200" s="11" t="s">
        <v>102</v>
      </c>
      <c r="D200" s="12">
        <v>44097</v>
      </c>
      <c r="E200" s="6" t="s">
        <v>20</v>
      </c>
      <c r="F200" s="35" t="s">
        <v>21</v>
      </c>
      <c r="G200" s="18">
        <v>1</v>
      </c>
      <c r="H200" s="18">
        <v>1</v>
      </c>
      <c r="I200" s="18">
        <v>1</v>
      </c>
      <c r="J200" s="4" t="s">
        <v>30</v>
      </c>
      <c r="K200" s="4">
        <v>31114</v>
      </c>
      <c r="L200" s="14" t="s">
        <v>61</v>
      </c>
      <c r="M200" s="19" t="s">
        <v>593</v>
      </c>
      <c r="N200" s="13" t="s">
        <v>20</v>
      </c>
      <c r="O200" s="6" t="s">
        <v>20</v>
      </c>
      <c r="P200" s="6">
        <v>0</v>
      </c>
      <c r="Q200" s="32" t="s">
        <v>594</v>
      </c>
      <c r="R200" s="33" t="s">
        <v>587</v>
      </c>
      <c r="S200" s="17" t="s">
        <v>595</v>
      </c>
    </row>
    <row r="201" spans="1:19" ht="15.75" customHeight="1">
      <c r="A201" s="10">
        <v>151</v>
      </c>
      <c r="B201" s="10">
        <v>2020</v>
      </c>
      <c r="C201" s="11" t="s">
        <v>102</v>
      </c>
      <c r="D201" s="12">
        <v>44098</v>
      </c>
      <c r="E201" s="11" t="s">
        <v>33</v>
      </c>
      <c r="F201" s="6" t="s">
        <v>596</v>
      </c>
      <c r="G201" s="10">
        <v>2</v>
      </c>
      <c r="H201" s="10">
        <v>3</v>
      </c>
      <c r="I201" s="18">
        <v>1</v>
      </c>
      <c r="J201" s="13" t="s">
        <v>22</v>
      </c>
      <c r="K201" s="4" t="s">
        <v>23</v>
      </c>
      <c r="L201" s="14" t="s">
        <v>23</v>
      </c>
      <c r="M201" s="19" t="s">
        <v>597</v>
      </c>
      <c r="N201" s="11" t="s">
        <v>23</v>
      </c>
      <c r="O201" s="1" t="s">
        <v>33</v>
      </c>
      <c r="P201" s="1">
        <v>4</v>
      </c>
      <c r="Q201" s="28" t="s">
        <v>598</v>
      </c>
      <c r="R201" s="29" t="s">
        <v>599</v>
      </c>
      <c r="S201" s="24" t="s">
        <v>600</v>
      </c>
    </row>
    <row r="202" spans="1:19" ht="15.75" customHeight="1">
      <c r="A202" s="10">
        <v>151</v>
      </c>
      <c r="B202" s="10">
        <v>2020</v>
      </c>
      <c r="C202" s="11" t="s">
        <v>102</v>
      </c>
      <c r="D202" s="12">
        <v>44098</v>
      </c>
      <c r="E202" s="11" t="s">
        <v>33</v>
      </c>
      <c r="F202" s="6" t="s">
        <v>596</v>
      </c>
      <c r="G202" s="10">
        <v>2</v>
      </c>
      <c r="H202" s="10">
        <v>3</v>
      </c>
      <c r="I202" s="10">
        <v>2</v>
      </c>
      <c r="J202" s="13" t="s">
        <v>30</v>
      </c>
      <c r="K202" s="13">
        <v>31021</v>
      </c>
      <c r="L202" s="3" t="s">
        <v>61</v>
      </c>
      <c r="M202" s="16" t="s">
        <v>601</v>
      </c>
      <c r="N202" s="4" t="s">
        <v>20</v>
      </c>
      <c r="O202" s="1" t="s">
        <v>23</v>
      </c>
      <c r="P202" s="1" t="s">
        <v>23</v>
      </c>
      <c r="Q202" s="20" t="s">
        <v>23</v>
      </c>
      <c r="R202" s="15" t="s">
        <v>23</v>
      </c>
      <c r="S202" s="20" t="s">
        <v>23</v>
      </c>
    </row>
    <row r="203" spans="1:19" ht="15.75" customHeight="1">
      <c r="A203" s="10">
        <v>151</v>
      </c>
      <c r="B203" s="10">
        <v>2020</v>
      </c>
      <c r="C203" s="11" t="s">
        <v>102</v>
      </c>
      <c r="D203" s="12">
        <v>44098</v>
      </c>
      <c r="E203" s="11" t="s">
        <v>33</v>
      </c>
      <c r="F203" s="6" t="s">
        <v>596</v>
      </c>
      <c r="G203" s="10">
        <v>2</v>
      </c>
      <c r="H203" s="10">
        <v>3</v>
      </c>
      <c r="I203" s="10">
        <v>3</v>
      </c>
      <c r="J203" s="13" t="s">
        <v>71</v>
      </c>
      <c r="K203" s="13">
        <v>30355</v>
      </c>
      <c r="L203" s="14" t="s">
        <v>61</v>
      </c>
      <c r="M203" s="16" t="s">
        <v>602</v>
      </c>
      <c r="N203" s="4" t="s">
        <v>20</v>
      </c>
      <c r="O203" s="1" t="s">
        <v>23</v>
      </c>
      <c r="P203" s="1" t="s">
        <v>23</v>
      </c>
      <c r="Q203" s="20" t="s">
        <v>23</v>
      </c>
      <c r="R203" s="15" t="s">
        <v>23</v>
      </c>
      <c r="S203" s="20" t="s">
        <v>23</v>
      </c>
    </row>
    <row r="204" spans="1:19" ht="15.75" customHeight="1">
      <c r="A204" s="10">
        <v>152</v>
      </c>
      <c r="B204" s="10">
        <v>2020</v>
      </c>
      <c r="C204" s="11" t="s">
        <v>102</v>
      </c>
      <c r="D204" s="12">
        <v>44098</v>
      </c>
      <c r="E204" s="11" t="s">
        <v>33</v>
      </c>
      <c r="F204" s="6" t="s">
        <v>603</v>
      </c>
      <c r="G204" s="10">
        <v>2</v>
      </c>
      <c r="H204" s="10">
        <v>1</v>
      </c>
      <c r="I204" s="10">
        <v>1</v>
      </c>
      <c r="J204" s="13" t="s">
        <v>22</v>
      </c>
      <c r="K204" s="4" t="s">
        <v>23</v>
      </c>
      <c r="L204" s="14" t="s">
        <v>23</v>
      </c>
      <c r="M204" s="16" t="s">
        <v>604</v>
      </c>
      <c r="N204" s="11" t="s">
        <v>23</v>
      </c>
      <c r="O204" s="1" t="s">
        <v>33</v>
      </c>
      <c r="P204" s="1">
        <v>1</v>
      </c>
      <c r="Q204" s="28" t="s">
        <v>605</v>
      </c>
      <c r="R204" s="31" t="s">
        <v>23</v>
      </c>
      <c r="S204" s="17" t="s">
        <v>606</v>
      </c>
    </row>
    <row r="205" spans="1:19" ht="15.75" customHeight="1">
      <c r="A205" s="10">
        <v>153</v>
      </c>
      <c r="B205" s="10">
        <v>2020</v>
      </c>
      <c r="C205" s="11" t="s">
        <v>102</v>
      </c>
      <c r="D205" s="12">
        <v>44103</v>
      </c>
      <c r="E205" s="11" t="s">
        <v>33</v>
      </c>
      <c r="F205" s="6" t="s">
        <v>607</v>
      </c>
      <c r="G205" s="10">
        <v>2</v>
      </c>
      <c r="H205" s="10">
        <v>1</v>
      </c>
      <c r="I205" s="10">
        <v>1</v>
      </c>
      <c r="J205" s="13" t="s">
        <v>30</v>
      </c>
      <c r="K205" s="13">
        <v>31280</v>
      </c>
      <c r="L205" s="3" t="s">
        <v>31</v>
      </c>
      <c r="M205" s="16" t="s">
        <v>608</v>
      </c>
      <c r="N205" s="25" t="s">
        <v>33</v>
      </c>
      <c r="O205" s="1" t="s">
        <v>20</v>
      </c>
      <c r="P205" s="1">
        <v>0</v>
      </c>
      <c r="Q205" s="28" t="s">
        <v>609</v>
      </c>
      <c r="R205" s="29" t="s">
        <v>610</v>
      </c>
      <c r="S205" s="17" t="s">
        <v>611</v>
      </c>
    </row>
    <row r="206" spans="1:19" ht="15.75" customHeight="1">
      <c r="A206" s="10">
        <v>154</v>
      </c>
      <c r="B206" s="10">
        <v>2020</v>
      </c>
      <c r="C206" s="11" t="s">
        <v>102</v>
      </c>
      <c r="D206" s="12">
        <v>44103</v>
      </c>
      <c r="E206" s="11" t="s">
        <v>20</v>
      </c>
      <c r="F206" s="1" t="s">
        <v>51</v>
      </c>
      <c r="G206" s="10">
        <v>1</v>
      </c>
      <c r="H206" s="10">
        <v>1</v>
      </c>
      <c r="I206" s="10">
        <v>1</v>
      </c>
      <c r="J206" s="13" t="s">
        <v>22</v>
      </c>
      <c r="K206" s="4" t="s">
        <v>23</v>
      </c>
      <c r="L206" s="14" t="s">
        <v>23</v>
      </c>
      <c r="M206" s="15" t="s">
        <v>612</v>
      </c>
      <c r="N206" s="11" t="s">
        <v>23</v>
      </c>
      <c r="O206" s="1" t="s">
        <v>33</v>
      </c>
      <c r="P206" s="6">
        <v>6</v>
      </c>
      <c r="Q206" s="28" t="s">
        <v>613</v>
      </c>
      <c r="R206" s="15" t="s">
        <v>23</v>
      </c>
      <c r="S206" s="17" t="s">
        <v>614</v>
      </c>
    </row>
    <row r="207" spans="1:19" ht="15.75" customHeight="1">
      <c r="A207" s="10">
        <v>155</v>
      </c>
      <c r="B207" s="10">
        <v>2020</v>
      </c>
      <c r="C207" s="11" t="s">
        <v>102</v>
      </c>
      <c r="D207" s="12">
        <v>44105</v>
      </c>
      <c r="E207" s="11" t="s">
        <v>20</v>
      </c>
      <c r="F207" s="1" t="s">
        <v>41</v>
      </c>
      <c r="G207" s="10">
        <v>1</v>
      </c>
      <c r="H207" s="10">
        <v>3</v>
      </c>
      <c r="I207" s="10">
        <v>1</v>
      </c>
      <c r="J207" s="13" t="s">
        <v>22</v>
      </c>
      <c r="K207" s="4" t="s">
        <v>23</v>
      </c>
      <c r="L207" s="3" t="s">
        <v>23</v>
      </c>
      <c r="M207" s="16" t="s">
        <v>615</v>
      </c>
      <c r="N207" s="11" t="s">
        <v>23</v>
      </c>
      <c r="O207" s="1" t="s">
        <v>33</v>
      </c>
      <c r="P207" s="1">
        <v>1</v>
      </c>
      <c r="Q207" s="28" t="s">
        <v>616</v>
      </c>
      <c r="R207" s="15" t="s">
        <v>23</v>
      </c>
      <c r="S207" s="17" t="s">
        <v>617</v>
      </c>
    </row>
    <row r="208" spans="1:19" ht="15.75" customHeight="1">
      <c r="A208" s="10">
        <v>155</v>
      </c>
      <c r="B208" s="10">
        <v>2020</v>
      </c>
      <c r="C208" s="11" t="s">
        <v>102</v>
      </c>
      <c r="D208" s="12">
        <v>44105</v>
      </c>
      <c r="E208" s="11" t="s">
        <v>20</v>
      </c>
      <c r="F208" s="1" t="s">
        <v>41</v>
      </c>
      <c r="G208" s="10">
        <v>1</v>
      </c>
      <c r="H208" s="10">
        <v>3</v>
      </c>
      <c r="I208" s="10">
        <v>2</v>
      </c>
      <c r="J208" s="13" t="s">
        <v>30</v>
      </c>
      <c r="K208" s="13">
        <v>30791</v>
      </c>
      <c r="L208" s="14" t="s">
        <v>61</v>
      </c>
      <c r="M208" s="16" t="s">
        <v>618</v>
      </c>
      <c r="N208" s="4" t="s">
        <v>20</v>
      </c>
      <c r="O208" s="1" t="s">
        <v>23</v>
      </c>
      <c r="P208" s="1" t="s">
        <v>23</v>
      </c>
      <c r="Q208" s="20" t="s">
        <v>23</v>
      </c>
      <c r="R208" s="15" t="s">
        <v>23</v>
      </c>
      <c r="S208" s="20" t="s">
        <v>23</v>
      </c>
    </row>
    <row r="209" spans="1:19" ht="15.75" customHeight="1">
      <c r="A209" s="10">
        <v>155</v>
      </c>
      <c r="B209" s="10">
        <v>2020</v>
      </c>
      <c r="C209" s="11" t="s">
        <v>102</v>
      </c>
      <c r="D209" s="12">
        <v>44105</v>
      </c>
      <c r="E209" s="11" t="s">
        <v>20</v>
      </c>
      <c r="F209" s="1" t="s">
        <v>41</v>
      </c>
      <c r="G209" s="10">
        <v>1</v>
      </c>
      <c r="H209" s="10">
        <v>3</v>
      </c>
      <c r="I209" s="10">
        <v>3</v>
      </c>
      <c r="J209" s="13" t="s">
        <v>30</v>
      </c>
      <c r="K209" s="13">
        <v>30850</v>
      </c>
      <c r="L209" s="3" t="s">
        <v>61</v>
      </c>
      <c r="M209" s="16" t="s">
        <v>619</v>
      </c>
      <c r="N209" s="4" t="s">
        <v>20</v>
      </c>
      <c r="O209" s="1" t="s">
        <v>23</v>
      </c>
      <c r="P209" s="1" t="s">
        <v>23</v>
      </c>
      <c r="Q209" s="20" t="s">
        <v>23</v>
      </c>
      <c r="R209" s="15" t="s">
        <v>23</v>
      </c>
      <c r="S209" s="20" t="s">
        <v>23</v>
      </c>
    </row>
    <row r="210" spans="1:19" ht="15.75" customHeight="1">
      <c r="A210" s="10">
        <v>156</v>
      </c>
      <c r="B210" s="10">
        <v>2020</v>
      </c>
      <c r="C210" s="11" t="s">
        <v>102</v>
      </c>
      <c r="D210" s="12">
        <v>44110</v>
      </c>
      <c r="E210" s="11" t="s">
        <v>20</v>
      </c>
      <c r="F210" s="1" t="s">
        <v>26</v>
      </c>
      <c r="G210" s="10">
        <v>1</v>
      </c>
      <c r="H210" s="10">
        <v>1</v>
      </c>
      <c r="I210" s="10">
        <v>1</v>
      </c>
      <c r="J210" s="13" t="s">
        <v>22</v>
      </c>
      <c r="K210" s="4" t="s">
        <v>23</v>
      </c>
      <c r="L210" s="14" t="s">
        <v>23</v>
      </c>
      <c r="M210" s="15" t="s">
        <v>620</v>
      </c>
      <c r="N210" s="11" t="s">
        <v>23</v>
      </c>
      <c r="O210" s="1" t="s">
        <v>33</v>
      </c>
      <c r="P210" s="1">
        <v>1</v>
      </c>
      <c r="Q210" s="28" t="s">
        <v>621</v>
      </c>
      <c r="R210" s="29" t="s">
        <v>622</v>
      </c>
      <c r="S210" s="17" t="s">
        <v>623</v>
      </c>
    </row>
    <row r="211" spans="1:19" ht="15.75" customHeight="1">
      <c r="A211" s="10">
        <v>157</v>
      </c>
      <c r="B211" s="10">
        <v>2020</v>
      </c>
      <c r="C211" s="11" t="s">
        <v>102</v>
      </c>
      <c r="D211" s="12">
        <v>44110</v>
      </c>
      <c r="E211" s="11" t="s">
        <v>20</v>
      </c>
      <c r="F211" s="1" t="s">
        <v>67</v>
      </c>
      <c r="G211" s="10">
        <v>1</v>
      </c>
      <c r="H211" s="10">
        <v>1</v>
      </c>
      <c r="I211" s="10">
        <v>1</v>
      </c>
      <c r="J211" s="13" t="s">
        <v>22</v>
      </c>
      <c r="K211" s="4" t="s">
        <v>23</v>
      </c>
      <c r="L211" s="14" t="s">
        <v>23</v>
      </c>
      <c r="M211" s="15" t="s">
        <v>624</v>
      </c>
      <c r="N211" s="11" t="s">
        <v>23</v>
      </c>
      <c r="O211" s="1" t="s">
        <v>33</v>
      </c>
      <c r="P211" s="1">
        <v>3</v>
      </c>
      <c r="Q211" s="28" t="s">
        <v>625</v>
      </c>
      <c r="R211" s="29" t="s">
        <v>626</v>
      </c>
      <c r="S211" s="17" t="s">
        <v>627</v>
      </c>
    </row>
    <row r="212" spans="1:19" ht="15.75" customHeight="1">
      <c r="A212" s="10">
        <v>158</v>
      </c>
      <c r="B212" s="10">
        <v>2020</v>
      </c>
      <c r="C212" s="11" t="s">
        <v>102</v>
      </c>
      <c r="D212" s="12">
        <v>44110</v>
      </c>
      <c r="E212" s="11" t="s">
        <v>33</v>
      </c>
      <c r="F212" s="6" t="s">
        <v>607</v>
      </c>
      <c r="G212" s="10">
        <v>2</v>
      </c>
      <c r="H212" s="10">
        <v>1</v>
      </c>
      <c r="I212" s="10">
        <v>1</v>
      </c>
      <c r="J212" s="13" t="s">
        <v>30</v>
      </c>
      <c r="K212" s="13">
        <v>31281</v>
      </c>
      <c r="L212" s="3" t="s">
        <v>31</v>
      </c>
      <c r="M212" s="16" t="s">
        <v>628</v>
      </c>
      <c r="N212" s="25" t="s">
        <v>33</v>
      </c>
      <c r="O212" s="1" t="s">
        <v>20</v>
      </c>
      <c r="P212" s="1">
        <v>0</v>
      </c>
      <c r="Q212" s="28" t="s">
        <v>629</v>
      </c>
      <c r="R212" s="15" t="s">
        <v>23</v>
      </c>
      <c r="S212" s="17" t="s">
        <v>630</v>
      </c>
    </row>
    <row r="213" spans="1:19" ht="15.75" customHeight="1">
      <c r="A213" s="10">
        <v>159</v>
      </c>
      <c r="B213" s="10">
        <v>2020</v>
      </c>
      <c r="C213" s="11" t="s">
        <v>102</v>
      </c>
      <c r="D213" s="12">
        <v>44112</v>
      </c>
      <c r="E213" s="11" t="s">
        <v>20</v>
      </c>
      <c r="F213" s="1" t="s">
        <v>39</v>
      </c>
      <c r="G213" s="10">
        <v>1</v>
      </c>
      <c r="H213" s="10">
        <v>1</v>
      </c>
      <c r="I213" s="10">
        <v>1</v>
      </c>
      <c r="J213" s="13" t="s">
        <v>22</v>
      </c>
      <c r="K213" s="4" t="s">
        <v>23</v>
      </c>
      <c r="L213" s="14" t="s">
        <v>23</v>
      </c>
      <c r="M213" s="15" t="s">
        <v>631</v>
      </c>
      <c r="N213" s="11" t="s">
        <v>23</v>
      </c>
      <c r="O213" s="1" t="s">
        <v>33</v>
      </c>
      <c r="P213" s="1">
        <v>4</v>
      </c>
      <c r="Q213" s="28" t="s">
        <v>632</v>
      </c>
      <c r="R213" s="29" t="s">
        <v>633</v>
      </c>
      <c r="S213" s="17" t="s">
        <v>634</v>
      </c>
    </row>
    <row r="214" spans="1:19" ht="15.75" customHeight="1">
      <c r="A214" s="10">
        <v>160</v>
      </c>
      <c r="B214" s="10">
        <v>2020</v>
      </c>
      <c r="C214" s="11" t="s">
        <v>102</v>
      </c>
      <c r="D214" s="12">
        <v>44112</v>
      </c>
      <c r="E214" s="11" t="s">
        <v>33</v>
      </c>
      <c r="F214" s="6" t="s">
        <v>635</v>
      </c>
      <c r="G214" s="10">
        <v>2</v>
      </c>
      <c r="H214" s="10">
        <v>1</v>
      </c>
      <c r="I214" s="10">
        <v>1</v>
      </c>
      <c r="J214" s="13" t="s">
        <v>30</v>
      </c>
      <c r="K214" s="13">
        <v>31311</v>
      </c>
      <c r="L214" s="14" t="s">
        <v>61</v>
      </c>
      <c r="M214" s="15" t="s">
        <v>636</v>
      </c>
      <c r="N214" s="4" t="s">
        <v>20</v>
      </c>
      <c r="O214" s="1" t="s">
        <v>33</v>
      </c>
      <c r="P214" s="1">
        <v>9</v>
      </c>
      <c r="Q214" s="28" t="s">
        <v>637</v>
      </c>
      <c r="R214" s="15" t="s">
        <v>23</v>
      </c>
      <c r="S214" s="30" t="s">
        <v>638</v>
      </c>
    </row>
    <row r="215" spans="1:19" ht="15.75" customHeight="1">
      <c r="A215" s="10">
        <v>161</v>
      </c>
      <c r="B215" s="10">
        <v>2020</v>
      </c>
      <c r="C215" s="11" t="s">
        <v>102</v>
      </c>
      <c r="D215" s="12">
        <v>44112</v>
      </c>
      <c r="E215" s="11" t="s">
        <v>20</v>
      </c>
      <c r="F215" s="1" t="s">
        <v>471</v>
      </c>
      <c r="G215" s="10">
        <v>1</v>
      </c>
      <c r="H215" s="10">
        <v>1</v>
      </c>
      <c r="I215" s="10">
        <v>1</v>
      </c>
      <c r="J215" s="13" t="s">
        <v>22</v>
      </c>
      <c r="K215" s="4" t="s">
        <v>23</v>
      </c>
      <c r="L215" s="14" t="s">
        <v>23</v>
      </c>
      <c r="M215" s="15" t="s">
        <v>639</v>
      </c>
      <c r="N215" s="11" t="s">
        <v>23</v>
      </c>
      <c r="O215" s="1" t="s">
        <v>33</v>
      </c>
      <c r="P215" s="1">
        <v>1</v>
      </c>
      <c r="Q215" s="28" t="s">
        <v>640</v>
      </c>
      <c r="R215" s="15" t="s">
        <v>23</v>
      </c>
      <c r="S215" s="17" t="s">
        <v>641</v>
      </c>
    </row>
    <row r="216" spans="1:19" ht="15.75" customHeight="1">
      <c r="A216" s="10">
        <v>162</v>
      </c>
      <c r="B216" s="10">
        <v>2020</v>
      </c>
      <c r="C216" s="11" t="s">
        <v>102</v>
      </c>
      <c r="D216" s="12">
        <v>44117</v>
      </c>
      <c r="E216" s="11" t="s">
        <v>20</v>
      </c>
      <c r="F216" s="1" t="s">
        <v>39</v>
      </c>
      <c r="G216" s="10">
        <v>1</v>
      </c>
      <c r="H216" s="10">
        <v>1</v>
      </c>
      <c r="I216" s="10">
        <v>1</v>
      </c>
      <c r="J216" s="13" t="s">
        <v>22</v>
      </c>
      <c r="K216" s="4" t="s">
        <v>23</v>
      </c>
      <c r="L216" s="14" t="s">
        <v>23</v>
      </c>
      <c r="M216" s="15" t="s">
        <v>642</v>
      </c>
      <c r="N216" s="11" t="s">
        <v>23</v>
      </c>
      <c r="O216" s="1" t="s">
        <v>33</v>
      </c>
      <c r="P216" s="1">
        <v>2</v>
      </c>
      <c r="Q216" s="28" t="s">
        <v>643</v>
      </c>
      <c r="R216" s="15" t="s">
        <v>23</v>
      </c>
      <c r="S216" s="17" t="s">
        <v>644</v>
      </c>
    </row>
    <row r="217" spans="1:19" ht="15.75" customHeight="1">
      <c r="A217" s="10">
        <v>163</v>
      </c>
      <c r="B217" s="10">
        <v>2020</v>
      </c>
      <c r="C217" s="11" t="s">
        <v>102</v>
      </c>
      <c r="D217" s="12">
        <v>44117</v>
      </c>
      <c r="E217" s="11" t="s">
        <v>33</v>
      </c>
      <c r="F217" s="6" t="s">
        <v>635</v>
      </c>
      <c r="G217" s="10">
        <v>2</v>
      </c>
      <c r="H217" s="10">
        <v>1</v>
      </c>
      <c r="I217" s="10">
        <v>1</v>
      </c>
      <c r="J217" s="13" t="s">
        <v>30</v>
      </c>
      <c r="K217" s="13">
        <v>31311</v>
      </c>
      <c r="L217" s="14" t="s">
        <v>61</v>
      </c>
      <c r="M217" s="15" t="s">
        <v>636</v>
      </c>
      <c r="N217" s="4" t="s">
        <v>33</v>
      </c>
      <c r="O217" s="1" t="s">
        <v>20</v>
      </c>
      <c r="P217" s="1">
        <v>0</v>
      </c>
      <c r="Q217" s="28" t="s">
        <v>645</v>
      </c>
      <c r="R217" s="29" t="s">
        <v>646</v>
      </c>
      <c r="S217" s="17" t="s">
        <v>647</v>
      </c>
    </row>
    <row r="218" spans="1:19" ht="15.75" customHeight="1">
      <c r="A218" s="10">
        <v>164</v>
      </c>
      <c r="B218" s="10">
        <v>2020</v>
      </c>
      <c r="C218" s="11" t="s">
        <v>102</v>
      </c>
      <c r="D218" s="12">
        <v>44117</v>
      </c>
      <c r="E218" s="11" t="s">
        <v>33</v>
      </c>
      <c r="F218" s="6" t="s">
        <v>648</v>
      </c>
      <c r="G218" s="10">
        <v>2</v>
      </c>
      <c r="H218" s="10">
        <v>1</v>
      </c>
      <c r="I218" s="10">
        <v>1</v>
      </c>
      <c r="J218" s="13" t="s">
        <v>22</v>
      </c>
      <c r="K218" s="4" t="s">
        <v>23</v>
      </c>
      <c r="L218" s="14" t="s">
        <v>23</v>
      </c>
      <c r="M218" s="15" t="s">
        <v>649</v>
      </c>
      <c r="N218" s="11" t="s">
        <v>23</v>
      </c>
      <c r="O218" s="1" t="s">
        <v>33</v>
      </c>
      <c r="P218" s="1">
        <v>1</v>
      </c>
      <c r="Q218" s="28" t="s">
        <v>650</v>
      </c>
      <c r="R218" s="29" t="s">
        <v>651</v>
      </c>
      <c r="S218" s="17" t="s">
        <v>652</v>
      </c>
    </row>
    <row r="219" spans="1:19" ht="15.75" customHeight="1">
      <c r="A219" s="10">
        <v>165</v>
      </c>
      <c r="B219" s="10">
        <v>2020</v>
      </c>
      <c r="C219" s="11" t="s">
        <v>102</v>
      </c>
      <c r="D219" s="12">
        <v>44119</v>
      </c>
      <c r="E219" s="11" t="s">
        <v>33</v>
      </c>
      <c r="F219" s="6" t="s">
        <v>217</v>
      </c>
      <c r="G219" s="10">
        <v>2</v>
      </c>
      <c r="H219" s="10">
        <v>1</v>
      </c>
      <c r="I219" s="10">
        <v>1</v>
      </c>
      <c r="J219" s="13" t="s">
        <v>22</v>
      </c>
      <c r="K219" s="4" t="s">
        <v>23</v>
      </c>
      <c r="L219" s="14" t="s">
        <v>23</v>
      </c>
      <c r="M219" s="15" t="s">
        <v>653</v>
      </c>
      <c r="N219" s="11" t="s">
        <v>23</v>
      </c>
      <c r="O219" s="1" t="s">
        <v>33</v>
      </c>
      <c r="P219" s="1">
        <v>2</v>
      </c>
      <c r="Q219" s="28" t="s">
        <v>654</v>
      </c>
      <c r="R219" s="29" t="s">
        <v>655</v>
      </c>
      <c r="S219" s="24" t="s">
        <v>656</v>
      </c>
    </row>
    <row r="220" spans="1:19" ht="15.75" customHeight="1">
      <c r="A220" s="10">
        <v>166</v>
      </c>
      <c r="B220" s="10">
        <v>2020</v>
      </c>
      <c r="C220" s="11" t="s">
        <v>102</v>
      </c>
      <c r="D220" s="12">
        <v>44119</v>
      </c>
      <c r="E220" s="11" t="s">
        <v>20</v>
      </c>
      <c r="F220" s="1" t="s">
        <v>55</v>
      </c>
      <c r="G220" s="10">
        <v>1</v>
      </c>
      <c r="H220" s="10">
        <v>1</v>
      </c>
      <c r="I220" s="10">
        <v>1</v>
      </c>
      <c r="J220" s="13" t="s">
        <v>22</v>
      </c>
      <c r="K220" s="4" t="s">
        <v>23</v>
      </c>
      <c r="L220" s="14" t="s">
        <v>23</v>
      </c>
      <c r="M220" s="15" t="s">
        <v>657</v>
      </c>
      <c r="N220" s="11" t="s">
        <v>23</v>
      </c>
      <c r="O220" s="1" t="s">
        <v>33</v>
      </c>
      <c r="P220" s="1">
        <v>1</v>
      </c>
      <c r="Q220" s="28" t="s">
        <v>658</v>
      </c>
      <c r="R220" s="29" t="s">
        <v>659</v>
      </c>
      <c r="S220" s="17" t="s">
        <v>660</v>
      </c>
    </row>
    <row r="221" spans="1:19" ht="15.75" customHeight="1">
      <c r="A221" s="10">
        <v>167</v>
      </c>
      <c r="B221" s="10">
        <v>2020</v>
      </c>
      <c r="C221" s="11" t="s">
        <v>102</v>
      </c>
      <c r="D221" s="12">
        <v>44119</v>
      </c>
      <c r="E221" s="11" t="s">
        <v>20</v>
      </c>
      <c r="F221" s="1" t="s">
        <v>190</v>
      </c>
      <c r="G221" s="10">
        <v>1</v>
      </c>
      <c r="H221" s="10">
        <v>1</v>
      </c>
      <c r="I221" s="10">
        <v>1</v>
      </c>
      <c r="J221" s="13" t="s">
        <v>22</v>
      </c>
      <c r="K221" s="4" t="s">
        <v>23</v>
      </c>
      <c r="L221" s="14" t="s">
        <v>23</v>
      </c>
      <c r="M221" s="15" t="s">
        <v>661</v>
      </c>
      <c r="N221" s="11" t="s">
        <v>23</v>
      </c>
      <c r="O221" s="1" t="s">
        <v>33</v>
      </c>
      <c r="P221" s="6">
        <v>5</v>
      </c>
      <c r="Q221" s="28" t="s">
        <v>662</v>
      </c>
      <c r="R221" s="25" t="s">
        <v>23</v>
      </c>
      <c r="S221" s="17" t="s">
        <v>663</v>
      </c>
    </row>
    <row r="222" spans="1:19" ht="15.75" customHeight="1">
      <c r="A222" s="10">
        <v>168</v>
      </c>
      <c r="B222" s="10">
        <v>2020</v>
      </c>
      <c r="C222" s="11" t="s">
        <v>102</v>
      </c>
      <c r="D222" s="12">
        <v>44124</v>
      </c>
      <c r="E222" s="11" t="s">
        <v>33</v>
      </c>
      <c r="F222" s="6" t="s">
        <v>664</v>
      </c>
      <c r="G222" s="10">
        <v>2</v>
      </c>
      <c r="H222" s="10">
        <v>1</v>
      </c>
      <c r="I222" s="10">
        <v>1</v>
      </c>
      <c r="J222" s="13" t="s">
        <v>30</v>
      </c>
      <c r="K222" s="13">
        <v>31299</v>
      </c>
      <c r="L222" s="14" t="s">
        <v>61</v>
      </c>
      <c r="M222" s="15" t="s">
        <v>665</v>
      </c>
      <c r="N222" s="4" t="s">
        <v>33</v>
      </c>
      <c r="O222" s="1" t="s">
        <v>20</v>
      </c>
      <c r="P222" s="1">
        <v>0</v>
      </c>
      <c r="Q222" s="32" t="s">
        <v>666</v>
      </c>
      <c r="R222" s="31" t="s">
        <v>23</v>
      </c>
      <c r="S222" s="17" t="s">
        <v>667</v>
      </c>
    </row>
    <row r="223" spans="1:19" ht="15.75" customHeight="1">
      <c r="A223" s="10">
        <v>169</v>
      </c>
      <c r="B223" s="10">
        <v>2020</v>
      </c>
      <c r="C223" s="11" t="s">
        <v>102</v>
      </c>
      <c r="D223" s="12">
        <v>44124</v>
      </c>
      <c r="E223" s="11" t="s">
        <v>20</v>
      </c>
      <c r="F223" s="1" t="s">
        <v>73</v>
      </c>
      <c r="G223" s="10">
        <v>1</v>
      </c>
      <c r="H223" s="10">
        <v>1</v>
      </c>
      <c r="I223" s="10">
        <v>1</v>
      </c>
      <c r="J223" s="13" t="s">
        <v>22</v>
      </c>
      <c r="K223" s="4" t="s">
        <v>23</v>
      </c>
      <c r="L223" s="14" t="s">
        <v>23</v>
      </c>
      <c r="M223" s="15" t="s">
        <v>668</v>
      </c>
      <c r="N223" s="11" t="s">
        <v>23</v>
      </c>
      <c r="O223" s="1" t="s">
        <v>33</v>
      </c>
      <c r="P223" s="1">
        <v>2</v>
      </c>
      <c r="Q223" s="28" t="s">
        <v>669</v>
      </c>
      <c r="R223" s="29" t="s">
        <v>670</v>
      </c>
      <c r="S223" s="17" t="s">
        <v>671</v>
      </c>
    </row>
    <row r="224" spans="1:19" ht="15.75" customHeight="1">
      <c r="A224" s="10">
        <v>170</v>
      </c>
      <c r="B224" s="10">
        <v>2020</v>
      </c>
      <c r="C224" s="11" t="s">
        <v>102</v>
      </c>
      <c r="D224" s="12">
        <v>44124</v>
      </c>
      <c r="E224" s="11" t="s">
        <v>20</v>
      </c>
      <c r="F224" s="1" t="s">
        <v>45</v>
      </c>
      <c r="G224" s="10">
        <v>1</v>
      </c>
      <c r="H224" s="10">
        <v>1</v>
      </c>
      <c r="I224" s="10">
        <v>1</v>
      </c>
      <c r="J224" s="13" t="s">
        <v>22</v>
      </c>
      <c r="K224" s="4" t="s">
        <v>23</v>
      </c>
      <c r="L224" s="14" t="s">
        <v>23</v>
      </c>
      <c r="M224" s="15" t="s">
        <v>672</v>
      </c>
      <c r="N224" s="11" t="s">
        <v>23</v>
      </c>
      <c r="O224" s="1" t="s">
        <v>33</v>
      </c>
      <c r="P224" s="1">
        <v>2</v>
      </c>
      <c r="Q224" s="28" t="s">
        <v>673</v>
      </c>
      <c r="R224" s="29" t="s">
        <v>674</v>
      </c>
      <c r="S224" s="17" t="s">
        <v>675</v>
      </c>
    </row>
    <row r="225" spans="1:19" ht="15.75" customHeight="1">
      <c r="A225" s="10">
        <v>171</v>
      </c>
      <c r="B225" s="10">
        <v>2020</v>
      </c>
      <c r="C225" s="11" t="s">
        <v>102</v>
      </c>
      <c r="D225" s="12">
        <v>44125</v>
      </c>
      <c r="E225" s="11" t="s">
        <v>33</v>
      </c>
      <c r="F225" s="6" t="s">
        <v>676</v>
      </c>
      <c r="G225" s="10">
        <v>2</v>
      </c>
      <c r="H225" s="10">
        <v>1</v>
      </c>
      <c r="I225" s="10">
        <v>1</v>
      </c>
      <c r="J225" s="13" t="s">
        <v>30</v>
      </c>
      <c r="K225" s="13">
        <v>31411</v>
      </c>
      <c r="L225" s="14" t="s">
        <v>61</v>
      </c>
      <c r="M225" s="15" t="s">
        <v>677</v>
      </c>
      <c r="N225" s="25" t="s">
        <v>20</v>
      </c>
      <c r="O225" s="1" t="s">
        <v>33</v>
      </c>
      <c r="P225" s="1">
        <v>2</v>
      </c>
      <c r="Q225" s="28" t="s">
        <v>678</v>
      </c>
      <c r="R225" s="29" t="s">
        <v>679</v>
      </c>
      <c r="S225" s="17" t="s">
        <v>680</v>
      </c>
    </row>
    <row r="226" spans="1:19" ht="15.75" customHeight="1">
      <c r="A226" s="10">
        <v>172</v>
      </c>
      <c r="B226" s="10">
        <v>2020</v>
      </c>
      <c r="C226" s="11" t="s">
        <v>102</v>
      </c>
      <c r="D226" s="12">
        <v>44126</v>
      </c>
      <c r="E226" s="11" t="s">
        <v>20</v>
      </c>
      <c r="F226" s="1" t="s">
        <v>41</v>
      </c>
      <c r="G226" s="10">
        <v>1</v>
      </c>
      <c r="H226" s="10">
        <v>1</v>
      </c>
      <c r="I226" s="10">
        <v>1</v>
      </c>
      <c r="J226" s="13" t="s">
        <v>22</v>
      </c>
      <c r="K226" s="4" t="s">
        <v>23</v>
      </c>
      <c r="L226" s="14" t="s">
        <v>23</v>
      </c>
      <c r="M226" s="15" t="s">
        <v>615</v>
      </c>
      <c r="N226" s="11" t="s">
        <v>23</v>
      </c>
      <c r="O226" s="1" t="s">
        <v>33</v>
      </c>
      <c r="P226" s="1">
        <v>2</v>
      </c>
      <c r="Q226" s="28" t="s">
        <v>681</v>
      </c>
      <c r="R226" s="15" t="s">
        <v>23</v>
      </c>
      <c r="S226" s="17" t="s">
        <v>682</v>
      </c>
    </row>
    <row r="227" spans="1:19" ht="15.75" customHeight="1">
      <c r="A227" s="10">
        <v>173</v>
      </c>
      <c r="B227" s="10">
        <v>2020</v>
      </c>
      <c r="C227" s="11" t="s">
        <v>102</v>
      </c>
      <c r="D227" s="12">
        <v>44126</v>
      </c>
      <c r="E227" s="11" t="s">
        <v>20</v>
      </c>
      <c r="F227" s="1" t="s">
        <v>43</v>
      </c>
      <c r="G227" s="10">
        <v>1</v>
      </c>
      <c r="H227" s="10">
        <v>1</v>
      </c>
      <c r="I227" s="10">
        <v>1</v>
      </c>
      <c r="J227" s="13" t="s">
        <v>22</v>
      </c>
      <c r="K227" s="4" t="s">
        <v>23</v>
      </c>
      <c r="L227" s="14" t="s">
        <v>23</v>
      </c>
      <c r="M227" s="15" t="s">
        <v>683</v>
      </c>
      <c r="N227" s="11" t="s">
        <v>23</v>
      </c>
      <c r="O227" s="1" t="s">
        <v>33</v>
      </c>
      <c r="P227" s="1">
        <v>1</v>
      </c>
      <c r="Q227" s="28" t="s">
        <v>684</v>
      </c>
      <c r="R227" s="15" t="s">
        <v>23</v>
      </c>
      <c r="S227" s="17" t="s">
        <v>685</v>
      </c>
    </row>
    <row r="228" spans="1:19" ht="15.75" customHeight="1">
      <c r="A228" s="10">
        <v>174</v>
      </c>
      <c r="B228" s="10">
        <v>2020</v>
      </c>
      <c r="C228" s="11" t="s">
        <v>102</v>
      </c>
      <c r="D228" s="12">
        <v>44126</v>
      </c>
      <c r="E228" s="11" t="s">
        <v>20</v>
      </c>
      <c r="F228" s="1" t="s">
        <v>471</v>
      </c>
      <c r="G228" s="10">
        <v>1</v>
      </c>
      <c r="H228" s="10">
        <v>1</v>
      </c>
      <c r="I228" s="10">
        <v>1</v>
      </c>
      <c r="J228" s="13" t="s">
        <v>22</v>
      </c>
      <c r="K228" s="4" t="s">
        <v>23</v>
      </c>
      <c r="L228" s="14" t="s">
        <v>23</v>
      </c>
      <c r="M228" s="15" t="s">
        <v>686</v>
      </c>
      <c r="N228" s="11" t="s">
        <v>23</v>
      </c>
      <c r="O228" s="1" t="s">
        <v>33</v>
      </c>
      <c r="P228" s="1">
        <v>1</v>
      </c>
      <c r="Q228" s="28" t="s">
        <v>687</v>
      </c>
      <c r="R228" s="29" t="s">
        <v>688</v>
      </c>
      <c r="S228" s="17" t="s">
        <v>689</v>
      </c>
    </row>
    <row r="229" spans="1:19" ht="15.75" customHeight="1">
      <c r="A229" s="10">
        <v>175</v>
      </c>
      <c r="B229" s="10">
        <v>2020</v>
      </c>
      <c r="C229" s="11" t="s">
        <v>102</v>
      </c>
      <c r="D229" s="12">
        <v>44131</v>
      </c>
      <c r="E229" s="11" t="s">
        <v>33</v>
      </c>
      <c r="F229" s="6" t="s">
        <v>690</v>
      </c>
      <c r="G229" s="10">
        <v>2</v>
      </c>
      <c r="H229" s="10">
        <v>1</v>
      </c>
      <c r="I229" s="10">
        <v>1</v>
      </c>
      <c r="J229" s="13" t="s">
        <v>30</v>
      </c>
      <c r="K229" s="13">
        <v>31456</v>
      </c>
      <c r="L229" s="14" t="s">
        <v>61</v>
      </c>
      <c r="M229" s="15" t="s">
        <v>691</v>
      </c>
      <c r="N229" s="4" t="s">
        <v>20</v>
      </c>
      <c r="O229" s="1" t="s">
        <v>20</v>
      </c>
      <c r="P229" s="1">
        <v>0</v>
      </c>
      <c r="Q229" s="28" t="s">
        <v>692</v>
      </c>
      <c r="R229" s="15" t="s">
        <v>23</v>
      </c>
      <c r="S229" s="17" t="s">
        <v>693</v>
      </c>
    </row>
    <row r="230" spans="1:19" ht="15.75" customHeight="1">
      <c r="A230" s="10">
        <v>176</v>
      </c>
      <c r="B230" s="10">
        <v>2020</v>
      </c>
      <c r="C230" s="11" t="s">
        <v>102</v>
      </c>
      <c r="D230" s="12">
        <v>44131</v>
      </c>
      <c r="E230" s="11" t="s">
        <v>20</v>
      </c>
      <c r="F230" s="1" t="s">
        <v>21</v>
      </c>
      <c r="G230" s="10">
        <v>1</v>
      </c>
      <c r="H230" s="10">
        <v>1</v>
      </c>
      <c r="I230" s="10">
        <v>1</v>
      </c>
      <c r="J230" s="13" t="s">
        <v>71</v>
      </c>
      <c r="K230" s="13">
        <v>30824</v>
      </c>
      <c r="L230" s="14" t="s">
        <v>61</v>
      </c>
      <c r="M230" s="16" t="s">
        <v>694</v>
      </c>
      <c r="N230" s="4" t="s">
        <v>20</v>
      </c>
      <c r="O230" s="1" t="s">
        <v>20</v>
      </c>
      <c r="P230" s="1">
        <v>0</v>
      </c>
      <c r="Q230" s="28" t="s">
        <v>695</v>
      </c>
      <c r="R230" s="15" t="s">
        <v>23</v>
      </c>
      <c r="S230" s="17" t="s">
        <v>696</v>
      </c>
    </row>
    <row r="231" spans="1:19" ht="15.75" customHeight="1">
      <c r="A231" s="10">
        <v>177</v>
      </c>
      <c r="B231" s="10">
        <v>2020</v>
      </c>
      <c r="C231" s="11" t="s">
        <v>102</v>
      </c>
      <c r="D231" s="12">
        <v>44133</v>
      </c>
      <c r="E231" s="11" t="s">
        <v>20</v>
      </c>
      <c r="F231" s="1" t="s">
        <v>49</v>
      </c>
      <c r="G231" s="10">
        <v>1</v>
      </c>
      <c r="H231" s="10">
        <v>1</v>
      </c>
      <c r="I231" s="10">
        <v>1</v>
      </c>
      <c r="J231" s="13" t="s">
        <v>22</v>
      </c>
      <c r="K231" s="4" t="s">
        <v>23</v>
      </c>
      <c r="L231" s="14" t="s">
        <v>23</v>
      </c>
      <c r="M231" s="15" t="s">
        <v>697</v>
      </c>
      <c r="N231" s="11" t="s">
        <v>23</v>
      </c>
      <c r="O231" s="1" t="s">
        <v>33</v>
      </c>
      <c r="P231" s="1">
        <v>1</v>
      </c>
      <c r="Q231" s="28" t="s">
        <v>698</v>
      </c>
      <c r="R231" s="29" t="s">
        <v>699</v>
      </c>
      <c r="S231" s="17" t="s">
        <v>700</v>
      </c>
    </row>
    <row r="232" spans="1:19" ht="15.75" customHeight="1">
      <c r="A232" s="10">
        <v>178</v>
      </c>
      <c r="B232" s="10">
        <v>2020</v>
      </c>
      <c r="C232" s="11" t="s">
        <v>102</v>
      </c>
      <c r="D232" s="12">
        <v>44133</v>
      </c>
      <c r="E232" s="11" t="s">
        <v>20</v>
      </c>
      <c r="F232" s="1" t="s">
        <v>55</v>
      </c>
      <c r="G232" s="10">
        <v>1</v>
      </c>
      <c r="H232" s="10">
        <v>1</v>
      </c>
      <c r="I232" s="10">
        <v>1</v>
      </c>
      <c r="J232" s="13" t="s">
        <v>22</v>
      </c>
      <c r="K232" s="4" t="s">
        <v>23</v>
      </c>
      <c r="L232" s="14" t="s">
        <v>23</v>
      </c>
      <c r="M232" s="19" t="s">
        <v>701</v>
      </c>
      <c r="N232" s="11" t="s">
        <v>23</v>
      </c>
      <c r="O232" s="1" t="s">
        <v>20</v>
      </c>
      <c r="P232" s="1">
        <v>0</v>
      </c>
      <c r="Q232" s="28" t="s">
        <v>702</v>
      </c>
      <c r="R232" s="15" t="s">
        <v>23</v>
      </c>
      <c r="S232" s="17" t="s">
        <v>703</v>
      </c>
    </row>
    <row r="233" spans="1:19" ht="15.75" customHeight="1">
      <c r="A233" s="10">
        <v>179</v>
      </c>
      <c r="B233" s="10">
        <v>2020</v>
      </c>
      <c r="C233" s="11" t="s">
        <v>102</v>
      </c>
      <c r="D233" s="12">
        <v>44138</v>
      </c>
      <c r="E233" s="11" t="s">
        <v>33</v>
      </c>
      <c r="F233" s="6" t="s">
        <v>320</v>
      </c>
      <c r="G233" s="10">
        <v>3</v>
      </c>
      <c r="H233" s="10">
        <v>1</v>
      </c>
      <c r="I233" s="10">
        <v>1</v>
      </c>
      <c r="J233" s="13" t="s">
        <v>30</v>
      </c>
      <c r="K233" s="13">
        <v>30700</v>
      </c>
      <c r="L233" s="3" t="s">
        <v>61</v>
      </c>
      <c r="M233" s="15" t="s">
        <v>704</v>
      </c>
      <c r="N233" s="36" t="s">
        <v>33</v>
      </c>
      <c r="O233" s="1" t="s">
        <v>20</v>
      </c>
      <c r="P233" s="1">
        <v>0</v>
      </c>
      <c r="Q233" s="32" t="s">
        <v>705</v>
      </c>
      <c r="R233" s="29" t="s">
        <v>706</v>
      </c>
      <c r="S233" s="30" t="s">
        <v>707</v>
      </c>
    </row>
    <row r="234" spans="1:19" ht="15.75" customHeight="1">
      <c r="A234" s="10">
        <v>180</v>
      </c>
      <c r="B234" s="10">
        <v>2020</v>
      </c>
      <c r="C234" s="11" t="s">
        <v>102</v>
      </c>
      <c r="D234" s="12">
        <v>44138</v>
      </c>
      <c r="E234" s="11" t="s">
        <v>20</v>
      </c>
      <c r="F234" s="1" t="s">
        <v>21</v>
      </c>
      <c r="G234" s="10">
        <v>1</v>
      </c>
      <c r="H234" s="10">
        <v>1</v>
      </c>
      <c r="I234" s="10">
        <v>1</v>
      </c>
      <c r="J234" s="13" t="s">
        <v>22</v>
      </c>
      <c r="K234" s="4" t="s">
        <v>23</v>
      </c>
      <c r="L234" s="14" t="s">
        <v>23</v>
      </c>
      <c r="M234" s="15" t="s">
        <v>708</v>
      </c>
      <c r="N234" s="11" t="s">
        <v>23</v>
      </c>
      <c r="O234" s="1" t="s">
        <v>20</v>
      </c>
      <c r="P234" s="1">
        <v>0</v>
      </c>
      <c r="Q234" s="28" t="s">
        <v>709</v>
      </c>
      <c r="R234" s="29" t="s">
        <v>710</v>
      </c>
      <c r="S234" s="17" t="s">
        <v>711</v>
      </c>
    </row>
    <row r="235" spans="1:19" ht="15.75" customHeight="1">
      <c r="A235" s="10">
        <v>181</v>
      </c>
      <c r="B235" s="10">
        <v>2020</v>
      </c>
      <c r="C235" s="11" t="s">
        <v>102</v>
      </c>
      <c r="D235" s="12">
        <v>44138</v>
      </c>
      <c r="E235" s="11" t="s">
        <v>20</v>
      </c>
      <c r="F235" s="1" t="s">
        <v>471</v>
      </c>
      <c r="G235" s="10">
        <v>1</v>
      </c>
      <c r="H235" s="10">
        <v>1</v>
      </c>
      <c r="I235" s="10">
        <v>1</v>
      </c>
      <c r="J235" s="13" t="s">
        <v>22</v>
      </c>
      <c r="K235" s="4" t="s">
        <v>23</v>
      </c>
      <c r="L235" s="14" t="s">
        <v>23</v>
      </c>
      <c r="M235" s="15" t="s">
        <v>712</v>
      </c>
      <c r="N235" s="11" t="s">
        <v>23</v>
      </c>
      <c r="O235" s="1" t="s">
        <v>20</v>
      </c>
      <c r="P235" s="1">
        <v>0</v>
      </c>
      <c r="Q235" s="28" t="s">
        <v>713</v>
      </c>
      <c r="R235" s="29" t="s">
        <v>714</v>
      </c>
      <c r="S235" s="17" t="s">
        <v>715</v>
      </c>
    </row>
    <row r="236" spans="1:19" ht="15.75" customHeight="1">
      <c r="A236" s="10">
        <v>182</v>
      </c>
      <c r="B236" s="10">
        <v>2020</v>
      </c>
      <c r="C236" s="11" t="s">
        <v>102</v>
      </c>
      <c r="D236" s="12">
        <v>44140</v>
      </c>
      <c r="E236" s="11" t="s">
        <v>20</v>
      </c>
      <c r="F236" s="1" t="s">
        <v>370</v>
      </c>
      <c r="G236" s="10">
        <v>1</v>
      </c>
      <c r="H236" s="10">
        <v>3</v>
      </c>
      <c r="I236" s="10">
        <v>1</v>
      </c>
      <c r="J236" s="13" t="s">
        <v>71</v>
      </c>
      <c r="K236" s="13">
        <v>30993</v>
      </c>
      <c r="L236" s="3" t="s">
        <v>61</v>
      </c>
      <c r="M236" s="16" t="s">
        <v>716</v>
      </c>
      <c r="N236" s="4" t="s">
        <v>20</v>
      </c>
      <c r="O236" s="1" t="s">
        <v>33</v>
      </c>
      <c r="P236" s="6">
        <v>2</v>
      </c>
      <c r="Q236" s="28" t="s">
        <v>717</v>
      </c>
      <c r="R236" s="29" t="s">
        <v>718</v>
      </c>
      <c r="S236" s="17" t="s">
        <v>719</v>
      </c>
    </row>
    <row r="237" spans="1:19" ht="15.75" customHeight="1">
      <c r="A237" s="10">
        <v>182</v>
      </c>
      <c r="B237" s="10">
        <v>2020</v>
      </c>
      <c r="C237" s="11" t="s">
        <v>102</v>
      </c>
      <c r="D237" s="12">
        <v>44140</v>
      </c>
      <c r="E237" s="11" t="s">
        <v>20</v>
      </c>
      <c r="F237" s="1" t="s">
        <v>370</v>
      </c>
      <c r="G237" s="10">
        <v>1</v>
      </c>
      <c r="H237" s="10">
        <v>3</v>
      </c>
      <c r="I237" s="10">
        <v>2</v>
      </c>
      <c r="J237" s="13" t="s">
        <v>71</v>
      </c>
      <c r="K237" s="13">
        <v>31179</v>
      </c>
      <c r="L237" s="3" t="s">
        <v>61</v>
      </c>
      <c r="M237" s="16" t="s">
        <v>720</v>
      </c>
      <c r="N237" s="4" t="s">
        <v>20</v>
      </c>
      <c r="O237" s="1" t="s">
        <v>23</v>
      </c>
      <c r="P237" s="1" t="s">
        <v>23</v>
      </c>
      <c r="Q237" s="20" t="s">
        <v>23</v>
      </c>
      <c r="R237" s="15" t="s">
        <v>23</v>
      </c>
      <c r="S237" s="20" t="s">
        <v>23</v>
      </c>
    </row>
    <row r="238" spans="1:19" ht="15.75" customHeight="1">
      <c r="A238" s="10">
        <v>182</v>
      </c>
      <c r="B238" s="10">
        <v>2020</v>
      </c>
      <c r="C238" s="11" t="s">
        <v>102</v>
      </c>
      <c r="D238" s="12">
        <v>44140</v>
      </c>
      <c r="E238" s="11" t="s">
        <v>20</v>
      </c>
      <c r="F238" s="1" t="s">
        <v>370</v>
      </c>
      <c r="G238" s="10">
        <v>1</v>
      </c>
      <c r="H238" s="10">
        <v>3</v>
      </c>
      <c r="I238" s="10">
        <v>3</v>
      </c>
      <c r="J238" s="13" t="s">
        <v>71</v>
      </c>
      <c r="K238" s="13">
        <v>31207</v>
      </c>
      <c r="L238" s="14" t="s">
        <v>61</v>
      </c>
      <c r="M238" s="16" t="s">
        <v>721</v>
      </c>
      <c r="N238" s="4" t="s">
        <v>20</v>
      </c>
      <c r="O238" s="1" t="s">
        <v>23</v>
      </c>
      <c r="P238" s="1" t="s">
        <v>23</v>
      </c>
      <c r="Q238" s="20" t="s">
        <v>23</v>
      </c>
      <c r="R238" s="15" t="s">
        <v>23</v>
      </c>
      <c r="S238" s="20" t="s">
        <v>23</v>
      </c>
    </row>
    <row r="239" spans="1:19" ht="15.75" customHeight="1">
      <c r="A239" s="10">
        <v>183</v>
      </c>
      <c r="B239" s="10">
        <v>2020</v>
      </c>
      <c r="C239" s="11" t="s">
        <v>102</v>
      </c>
      <c r="D239" s="12">
        <v>44140</v>
      </c>
      <c r="E239" s="11" t="s">
        <v>20</v>
      </c>
      <c r="F239" s="1" t="s">
        <v>43</v>
      </c>
      <c r="G239" s="10">
        <v>1</v>
      </c>
      <c r="H239" s="10">
        <v>1</v>
      </c>
      <c r="I239" s="10">
        <v>1</v>
      </c>
      <c r="J239" s="13" t="s">
        <v>22</v>
      </c>
      <c r="K239" s="4" t="s">
        <v>23</v>
      </c>
      <c r="L239" s="14" t="s">
        <v>23</v>
      </c>
      <c r="M239" s="15" t="s">
        <v>722</v>
      </c>
      <c r="N239" s="11" t="s">
        <v>23</v>
      </c>
      <c r="O239" s="1" t="s">
        <v>33</v>
      </c>
      <c r="P239" s="6">
        <v>5</v>
      </c>
      <c r="Q239" s="28" t="s">
        <v>723</v>
      </c>
      <c r="R239" s="29" t="s">
        <v>724</v>
      </c>
      <c r="S239" s="17" t="s">
        <v>725</v>
      </c>
    </row>
    <row r="240" spans="1:19" ht="15.75" customHeight="1">
      <c r="A240" s="10">
        <v>184</v>
      </c>
      <c r="B240" s="10">
        <v>2020</v>
      </c>
      <c r="C240" s="11" t="s">
        <v>102</v>
      </c>
      <c r="D240" s="12">
        <v>44140</v>
      </c>
      <c r="E240" s="11" t="s">
        <v>33</v>
      </c>
      <c r="F240" s="6" t="s">
        <v>690</v>
      </c>
      <c r="G240" s="10">
        <v>2</v>
      </c>
      <c r="H240" s="10">
        <v>1</v>
      </c>
      <c r="I240" s="10">
        <v>1</v>
      </c>
      <c r="J240" s="13" t="s">
        <v>30</v>
      </c>
      <c r="K240" s="13">
        <v>31456</v>
      </c>
      <c r="L240" s="14" t="s">
        <v>61</v>
      </c>
      <c r="M240" s="15" t="s">
        <v>691</v>
      </c>
      <c r="N240" s="4" t="s">
        <v>20</v>
      </c>
      <c r="O240" s="1" t="s">
        <v>20</v>
      </c>
      <c r="P240" s="1">
        <v>0</v>
      </c>
      <c r="Q240" s="28" t="s">
        <v>726</v>
      </c>
      <c r="R240" s="29" t="s">
        <v>727</v>
      </c>
      <c r="S240" s="17" t="s">
        <v>728</v>
      </c>
    </row>
    <row r="241" spans="1:19" ht="15.75" customHeight="1">
      <c r="A241" s="10">
        <v>185</v>
      </c>
      <c r="B241" s="10">
        <v>2020</v>
      </c>
      <c r="C241" s="11" t="s">
        <v>102</v>
      </c>
      <c r="D241" s="12">
        <v>44145</v>
      </c>
      <c r="E241" s="11" t="s">
        <v>20</v>
      </c>
      <c r="F241" s="1" t="s">
        <v>26</v>
      </c>
      <c r="G241" s="10">
        <v>1</v>
      </c>
      <c r="H241" s="10">
        <v>1</v>
      </c>
      <c r="I241" s="10">
        <v>1</v>
      </c>
      <c r="J241" s="13" t="s">
        <v>22</v>
      </c>
      <c r="K241" s="4" t="s">
        <v>23</v>
      </c>
      <c r="L241" s="14" t="s">
        <v>23</v>
      </c>
      <c r="M241" s="15" t="s">
        <v>729</v>
      </c>
      <c r="N241" s="11" t="s">
        <v>23</v>
      </c>
      <c r="O241" s="1" t="s">
        <v>33</v>
      </c>
      <c r="P241" s="1">
        <v>1</v>
      </c>
      <c r="Q241" s="28" t="s">
        <v>730</v>
      </c>
      <c r="R241" s="29" t="s">
        <v>731</v>
      </c>
      <c r="S241" s="17" t="s">
        <v>732</v>
      </c>
    </row>
    <row r="242" spans="1:19" ht="15.75" customHeight="1">
      <c r="A242" s="10">
        <v>186</v>
      </c>
      <c r="B242" s="10">
        <v>2020</v>
      </c>
      <c r="C242" s="11" t="s">
        <v>102</v>
      </c>
      <c r="D242" s="12">
        <v>44145</v>
      </c>
      <c r="E242" s="11" t="s">
        <v>33</v>
      </c>
      <c r="F242" s="6" t="s">
        <v>733</v>
      </c>
      <c r="G242" s="10">
        <v>3</v>
      </c>
      <c r="H242" s="10">
        <v>1</v>
      </c>
      <c r="I242" s="10">
        <v>1</v>
      </c>
      <c r="J242" s="13" t="s">
        <v>30</v>
      </c>
      <c r="K242" s="13">
        <v>31660</v>
      </c>
      <c r="L242" s="3" t="s">
        <v>31</v>
      </c>
      <c r="M242" s="15" t="s">
        <v>734</v>
      </c>
      <c r="N242" s="4" t="s">
        <v>20</v>
      </c>
      <c r="O242" s="1" t="s">
        <v>33</v>
      </c>
      <c r="P242" s="1">
        <v>4</v>
      </c>
      <c r="Q242" s="28" t="s">
        <v>735</v>
      </c>
      <c r="R242" s="29" t="s">
        <v>736</v>
      </c>
      <c r="S242" s="24" t="s">
        <v>737</v>
      </c>
    </row>
    <row r="243" spans="1:19" ht="15.75" customHeight="1">
      <c r="A243" s="10">
        <v>187</v>
      </c>
      <c r="B243" s="10">
        <v>2020</v>
      </c>
      <c r="C243" s="11" t="s">
        <v>102</v>
      </c>
      <c r="D243" s="12">
        <v>44145</v>
      </c>
      <c r="E243" s="11" t="s">
        <v>33</v>
      </c>
      <c r="F243" s="6" t="s">
        <v>690</v>
      </c>
      <c r="G243" s="10">
        <v>2</v>
      </c>
      <c r="H243" s="10">
        <v>1</v>
      </c>
      <c r="I243" s="10">
        <v>1</v>
      </c>
      <c r="J243" s="13" t="s">
        <v>30</v>
      </c>
      <c r="K243" s="13">
        <v>31456</v>
      </c>
      <c r="L243" s="14" t="s">
        <v>61</v>
      </c>
      <c r="M243" s="15" t="s">
        <v>691</v>
      </c>
      <c r="N243" s="37" t="s">
        <v>33</v>
      </c>
      <c r="O243" s="1" t="s">
        <v>20</v>
      </c>
      <c r="P243" s="1">
        <v>0</v>
      </c>
      <c r="Q243" s="32" t="s">
        <v>738</v>
      </c>
      <c r="R243" s="29" t="s">
        <v>739</v>
      </c>
      <c r="S243" s="17" t="s">
        <v>740</v>
      </c>
    </row>
    <row r="244" spans="1:19" ht="15.75" customHeight="1">
      <c r="A244" s="10">
        <v>188</v>
      </c>
      <c r="B244" s="10">
        <v>2020</v>
      </c>
      <c r="C244" s="11" t="s">
        <v>102</v>
      </c>
      <c r="D244" s="12">
        <v>44145</v>
      </c>
      <c r="E244" s="11" t="s">
        <v>33</v>
      </c>
      <c r="F244" s="6" t="s">
        <v>497</v>
      </c>
      <c r="G244" s="10">
        <v>2</v>
      </c>
      <c r="H244" s="10">
        <v>3</v>
      </c>
      <c r="I244" s="10">
        <v>1</v>
      </c>
      <c r="J244" s="13" t="s">
        <v>30</v>
      </c>
      <c r="K244" s="13">
        <v>31699</v>
      </c>
      <c r="L244" s="3" t="s">
        <v>31</v>
      </c>
      <c r="M244" s="16" t="s">
        <v>741</v>
      </c>
      <c r="N244" s="4" t="s">
        <v>20</v>
      </c>
      <c r="O244" s="1" t="s">
        <v>20</v>
      </c>
      <c r="P244" s="1">
        <v>0</v>
      </c>
      <c r="Q244" s="28" t="s">
        <v>742</v>
      </c>
      <c r="R244" s="15" t="s">
        <v>23</v>
      </c>
      <c r="S244" s="17" t="s">
        <v>743</v>
      </c>
    </row>
    <row r="245" spans="1:19" ht="15.75" customHeight="1">
      <c r="A245" s="10">
        <v>188</v>
      </c>
      <c r="B245" s="10">
        <v>2020</v>
      </c>
      <c r="C245" s="11" t="s">
        <v>102</v>
      </c>
      <c r="D245" s="12">
        <v>44145</v>
      </c>
      <c r="E245" s="11" t="s">
        <v>33</v>
      </c>
      <c r="F245" s="6" t="s">
        <v>497</v>
      </c>
      <c r="G245" s="10">
        <v>2</v>
      </c>
      <c r="H245" s="10">
        <v>3</v>
      </c>
      <c r="I245" s="10">
        <v>2</v>
      </c>
      <c r="J245" s="13" t="s">
        <v>30</v>
      </c>
      <c r="K245" s="13">
        <v>31063</v>
      </c>
      <c r="L245" s="14" t="s">
        <v>61</v>
      </c>
      <c r="M245" s="16" t="s">
        <v>744</v>
      </c>
      <c r="N245" s="4" t="s">
        <v>20</v>
      </c>
      <c r="O245" s="1" t="s">
        <v>23</v>
      </c>
      <c r="P245" s="1" t="s">
        <v>23</v>
      </c>
      <c r="Q245" s="20" t="s">
        <v>23</v>
      </c>
      <c r="R245" s="15" t="s">
        <v>23</v>
      </c>
      <c r="S245" s="20" t="s">
        <v>23</v>
      </c>
    </row>
    <row r="246" spans="1:19" ht="15.75" customHeight="1">
      <c r="A246" s="10">
        <v>188</v>
      </c>
      <c r="B246" s="10">
        <v>2020</v>
      </c>
      <c r="C246" s="11" t="s">
        <v>102</v>
      </c>
      <c r="D246" s="12">
        <v>44145</v>
      </c>
      <c r="E246" s="11" t="s">
        <v>33</v>
      </c>
      <c r="F246" s="6" t="s">
        <v>497</v>
      </c>
      <c r="G246" s="10">
        <v>2</v>
      </c>
      <c r="H246" s="10">
        <v>3</v>
      </c>
      <c r="I246" s="10">
        <v>3</v>
      </c>
      <c r="J246" s="13" t="s">
        <v>30</v>
      </c>
      <c r="K246" s="13">
        <v>31150</v>
      </c>
      <c r="L246" s="3" t="s">
        <v>61</v>
      </c>
      <c r="M246" s="16" t="s">
        <v>745</v>
      </c>
      <c r="N246" s="4" t="s">
        <v>20</v>
      </c>
      <c r="O246" s="1" t="s">
        <v>23</v>
      </c>
      <c r="P246" s="1" t="s">
        <v>23</v>
      </c>
      <c r="Q246" s="20" t="s">
        <v>23</v>
      </c>
      <c r="R246" s="15" t="s">
        <v>23</v>
      </c>
      <c r="S246" s="20" t="s">
        <v>23</v>
      </c>
    </row>
    <row r="247" spans="1:19" ht="15.75" customHeight="1">
      <c r="A247" s="10">
        <v>189</v>
      </c>
      <c r="B247" s="10">
        <v>2020</v>
      </c>
      <c r="C247" s="11" t="s">
        <v>102</v>
      </c>
      <c r="D247" s="12">
        <v>44146</v>
      </c>
      <c r="E247" s="11" t="s">
        <v>33</v>
      </c>
      <c r="F247" s="6" t="s">
        <v>746</v>
      </c>
      <c r="G247" s="10">
        <v>2</v>
      </c>
      <c r="H247" s="10">
        <v>4</v>
      </c>
      <c r="I247" s="10">
        <v>1</v>
      </c>
      <c r="J247" s="4" t="s">
        <v>23</v>
      </c>
      <c r="K247" s="4" t="s">
        <v>23</v>
      </c>
      <c r="L247" s="3" t="s">
        <v>23</v>
      </c>
      <c r="M247" s="19" t="s">
        <v>747</v>
      </c>
      <c r="N247" s="6" t="s">
        <v>23</v>
      </c>
      <c r="O247" s="1" t="s">
        <v>33</v>
      </c>
      <c r="P247" s="1">
        <v>1</v>
      </c>
      <c r="Q247" s="28" t="s">
        <v>748</v>
      </c>
      <c r="R247" s="29" t="s">
        <v>739</v>
      </c>
      <c r="S247" s="17" t="s">
        <v>749</v>
      </c>
    </row>
    <row r="248" spans="1:19" ht="15.75" customHeight="1">
      <c r="A248" s="10">
        <v>189</v>
      </c>
      <c r="B248" s="10">
        <v>2020</v>
      </c>
      <c r="C248" s="11" t="s">
        <v>102</v>
      </c>
      <c r="D248" s="12">
        <v>44146</v>
      </c>
      <c r="E248" s="11" t="s">
        <v>33</v>
      </c>
      <c r="F248" s="6" t="s">
        <v>746</v>
      </c>
      <c r="G248" s="10">
        <v>2</v>
      </c>
      <c r="H248" s="10">
        <v>4</v>
      </c>
      <c r="I248" s="10">
        <v>2</v>
      </c>
      <c r="J248" s="13" t="s">
        <v>71</v>
      </c>
      <c r="K248" s="13">
        <v>29989</v>
      </c>
      <c r="L248" s="3" t="s">
        <v>61</v>
      </c>
      <c r="M248" s="16" t="s">
        <v>750</v>
      </c>
      <c r="N248" s="4" t="s">
        <v>20</v>
      </c>
      <c r="O248" s="1" t="s">
        <v>23</v>
      </c>
      <c r="P248" s="1" t="s">
        <v>23</v>
      </c>
      <c r="Q248" s="20" t="s">
        <v>23</v>
      </c>
      <c r="R248" s="15" t="s">
        <v>23</v>
      </c>
      <c r="S248" s="20" t="s">
        <v>23</v>
      </c>
    </row>
    <row r="249" spans="1:19" ht="15.75" customHeight="1">
      <c r="A249" s="10">
        <v>189</v>
      </c>
      <c r="B249" s="10">
        <v>2020</v>
      </c>
      <c r="C249" s="11" t="s">
        <v>102</v>
      </c>
      <c r="D249" s="12">
        <v>44146</v>
      </c>
      <c r="E249" s="11" t="s">
        <v>33</v>
      </c>
      <c r="F249" s="6" t="s">
        <v>746</v>
      </c>
      <c r="G249" s="10">
        <v>2</v>
      </c>
      <c r="H249" s="10">
        <v>4</v>
      </c>
      <c r="I249" s="10">
        <v>3</v>
      </c>
      <c r="J249" s="13" t="s">
        <v>71</v>
      </c>
      <c r="K249" s="13">
        <v>31127</v>
      </c>
      <c r="L249" s="14" t="s">
        <v>61</v>
      </c>
      <c r="M249" s="16" t="s">
        <v>751</v>
      </c>
      <c r="N249" s="4" t="s">
        <v>20</v>
      </c>
      <c r="O249" s="1" t="s">
        <v>23</v>
      </c>
      <c r="P249" s="1" t="s">
        <v>23</v>
      </c>
      <c r="Q249" s="20" t="s">
        <v>23</v>
      </c>
      <c r="R249" s="15" t="s">
        <v>23</v>
      </c>
      <c r="S249" s="20" t="s">
        <v>23</v>
      </c>
    </row>
    <row r="250" spans="1:19" ht="15.75" customHeight="1">
      <c r="A250" s="10">
        <v>189</v>
      </c>
      <c r="B250" s="10">
        <v>2020</v>
      </c>
      <c r="C250" s="11" t="s">
        <v>102</v>
      </c>
      <c r="D250" s="12">
        <v>44146</v>
      </c>
      <c r="E250" s="11" t="s">
        <v>33</v>
      </c>
      <c r="F250" s="6" t="s">
        <v>746</v>
      </c>
      <c r="G250" s="10">
        <v>2</v>
      </c>
      <c r="H250" s="10">
        <v>4</v>
      </c>
      <c r="I250" s="10">
        <v>4</v>
      </c>
      <c r="J250" s="13" t="s">
        <v>71</v>
      </c>
      <c r="K250" s="13">
        <v>31375</v>
      </c>
      <c r="L250" s="14" t="s">
        <v>61</v>
      </c>
      <c r="M250" s="16" t="s">
        <v>752</v>
      </c>
      <c r="N250" s="4" t="s">
        <v>20</v>
      </c>
      <c r="O250" s="1" t="s">
        <v>23</v>
      </c>
      <c r="P250" s="1" t="s">
        <v>23</v>
      </c>
      <c r="Q250" s="20" t="s">
        <v>23</v>
      </c>
      <c r="R250" s="15" t="s">
        <v>23</v>
      </c>
      <c r="S250" s="20" t="s">
        <v>23</v>
      </c>
    </row>
    <row r="251" spans="1:19" ht="15.75" customHeight="1">
      <c r="A251" s="10">
        <v>190</v>
      </c>
      <c r="B251" s="10">
        <v>2020</v>
      </c>
      <c r="C251" s="11" t="s">
        <v>102</v>
      </c>
      <c r="D251" s="12">
        <v>44147</v>
      </c>
      <c r="E251" s="11" t="s">
        <v>33</v>
      </c>
      <c r="F251" s="6" t="s">
        <v>676</v>
      </c>
      <c r="G251" s="10">
        <v>2</v>
      </c>
      <c r="H251" s="10">
        <v>1</v>
      </c>
      <c r="I251" s="10">
        <v>1</v>
      </c>
      <c r="J251" s="13" t="s">
        <v>30</v>
      </c>
      <c r="K251" s="13">
        <v>31411</v>
      </c>
      <c r="L251" s="14" t="s">
        <v>61</v>
      </c>
      <c r="M251" s="15" t="s">
        <v>677</v>
      </c>
      <c r="N251" s="25" t="s">
        <v>20</v>
      </c>
      <c r="O251" s="1" t="s">
        <v>33</v>
      </c>
      <c r="P251" s="6">
        <v>4</v>
      </c>
      <c r="Q251" s="28" t="s">
        <v>753</v>
      </c>
      <c r="R251" s="31" t="s">
        <v>23</v>
      </c>
      <c r="S251" s="17" t="s">
        <v>754</v>
      </c>
    </row>
    <row r="252" spans="1:19" ht="15.75" customHeight="1">
      <c r="A252" s="10">
        <v>191</v>
      </c>
      <c r="B252" s="10">
        <v>2020</v>
      </c>
      <c r="C252" s="11" t="s">
        <v>102</v>
      </c>
      <c r="D252" s="12">
        <v>44147</v>
      </c>
      <c r="E252" s="11" t="s">
        <v>33</v>
      </c>
      <c r="F252" s="6" t="s">
        <v>733</v>
      </c>
      <c r="G252" s="10">
        <v>3</v>
      </c>
      <c r="H252" s="10">
        <v>1</v>
      </c>
      <c r="I252" s="10">
        <v>1</v>
      </c>
      <c r="J252" s="13" t="s">
        <v>30</v>
      </c>
      <c r="K252" s="13">
        <v>31660</v>
      </c>
      <c r="L252" s="3" t="s">
        <v>31</v>
      </c>
      <c r="M252" s="15" t="s">
        <v>734</v>
      </c>
      <c r="N252" s="4" t="s">
        <v>20</v>
      </c>
      <c r="O252" s="1" t="s">
        <v>33</v>
      </c>
      <c r="P252" s="1">
        <v>11</v>
      </c>
      <c r="Q252" s="28" t="s">
        <v>755</v>
      </c>
      <c r="R252" s="29" t="s">
        <v>756</v>
      </c>
      <c r="S252" s="17" t="s">
        <v>757</v>
      </c>
    </row>
    <row r="253" spans="1:19" ht="15.75" customHeight="1">
      <c r="A253" s="10">
        <v>192</v>
      </c>
      <c r="B253" s="10">
        <v>2020</v>
      </c>
      <c r="C253" s="11" t="s">
        <v>102</v>
      </c>
      <c r="D253" s="12">
        <v>44147</v>
      </c>
      <c r="E253" s="11" t="s">
        <v>20</v>
      </c>
      <c r="F253" s="1" t="s">
        <v>67</v>
      </c>
      <c r="G253" s="10">
        <v>1</v>
      </c>
      <c r="H253" s="10">
        <v>1</v>
      </c>
      <c r="I253" s="10">
        <v>1</v>
      </c>
      <c r="J253" s="13" t="s">
        <v>22</v>
      </c>
      <c r="K253" s="4" t="s">
        <v>23</v>
      </c>
      <c r="L253" s="14" t="s">
        <v>23</v>
      </c>
      <c r="M253" s="15" t="s">
        <v>758</v>
      </c>
      <c r="N253" s="11" t="s">
        <v>23</v>
      </c>
      <c r="O253" s="1" t="s">
        <v>33</v>
      </c>
      <c r="P253" s="1">
        <v>1</v>
      </c>
      <c r="Q253" s="28" t="s">
        <v>759</v>
      </c>
      <c r="R253" s="31" t="s">
        <v>23</v>
      </c>
      <c r="S253" s="17" t="s">
        <v>760</v>
      </c>
    </row>
    <row r="254" spans="1:19" ht="15.75" customHeight="1">
      <c r="A254" s="10">
        <v>193</v>
      </c>
      <c r="B254" s="10">
        <v>2020</v>
      </c>
      <c r="C254" s="11" t="s">
        <v>102</v>
      </c>
      <c r="D254" s="12">
        <v>44152</v>
      </c>
      <c r="E254" s="11" t="s">
        <v>33</v>
      </c>
      <c r="F254" s="6" t="s">
        <v>635</v>
      </c>
      <c r="G254" s="10">
        <v>2</v>
      </c>
      <c r="H254" s="10">
        <v>1</v>
      </c>
      <c r="I254" s="10">
        <v>1</v>
      </c>
      <c r="J254" s="13" t="s">
        <v>30</v>
      </c>
      <c r="K254" s="13">
        <v>31373</v>
      </c>
      <c r="L254" s="14" t="s">
        <v>61</v>
      </c>
      <c r="M254" s="15" t="s">
        <v>761</v>
      </c>
      <c r="N254" s="4" t="s">
        <v>20</v>
      </c>
      <c r="O254" s="1" t="s">
        <v>33</v>
      </c>
      <c r="P254" s="1">
        <v>1</v>
      </c>
      <c r="Q254" s="28" t="s">
        <v>762</v>
      </c>
      <c r="R254" s="29" t="s">
        <v>763</v>
      </c>
      <c r="S254" s="17" t="s">
        <v>764</v>
      </c>
    </row>
    <row r="255" spans="1:19" ht="15.75" customHeight="1">
      <c r="A255" s="10">
        <v>194</v>
      </c>
      <c r="B255" s="10">
        <v>2020</v>
      </c>
      <c r="C255" s="11" t="s">
        <v>102</v>
      </c>
      <c r="D255" s="12">
        <v>44152</v>
      </c>
      <c r="E255" s="11" t="s">
        <v>33</v>
      </c>
      <c r="F255" s="6" t="s">
        <v>733</v>
      </c>
      <c r="G255" s="10">
        <v>3</v>
      </c>
      <c r="H255" s="10">
        <v>1</v>
      </c>
      <c r="I255" s="10">
        <v>1</v>
      </c>
      <c r="J255" s="13" t="s">
        <v>30</v>
      </c>
      <c r="K255" s="13">
        <v>31660</v>
      </c>
      <c r="L255" s="3" t="s">
        <v>31</v>
      </c>
      <c r="M255" s="15" t="s">
        <v>734</v>
      </c>
      <c r="N255" s="4" t="s">
        <v>33</v>
      </c>
      <c r="O255" s="1" t="s">
        <v>20</v>
      </c>
      <c r="P255" s="1">
        <v>0</v>
      </c>
      <c r="Q255" s="28" t="s">
        <v>765</v>
      </c>
      <c r="R255" s="29" t="s">
        <v>766</v>
      </c>
      <c r="S255" s="17" t="s">
        <v>767</v>
      </c>
    </row>
    <row r="256" spans="1:19" ht="15.75" customHeight="1">
      <c r="A256" s="10">
        <v>195</v>
      </c>
      <c r="B256" s="10">
        <v>2020</v>
      </c>
      <c r="C256" s="11" t="s">
        <v>102</v>
      </c>
      <c r="D256" s="12">
        <v>44152</v>
      </c>
      <c r="E256" s="11" t="s">
        <v>33</v>
      </c>
      <c r="F256" s="6" t="s">
        <v>768</v>
      </c>
      <c r="G256" s="10">
        <v>3</v>
      </c>
      <c r="H256" s="10">
        <v>1</v>
      </c>
      <c r="I256" s="10">
        <v>1</v>
      </c>
      <c r="J256" s="13" t="s">
        <v>30</v>
      </c>
      <c r="K256" s="13">
        <v>31688</v>
      </c>
      <c r="L256" s="3" t="s">
        <v>31</v>
      </c>
      <c r="M256" s="16" t="s">
        <v>769</v>
      </c>
      <c r="N256" s="36" t="s">
        <v>20</v>
      </c>
      <c r="O256" s="1" t="s">
        <v>33</v>
      </c>
      <c r="P256" s="1">
        <v>3</v>
      </c>
      <c r="Q256" s="28" t="s">
        <v>770</v>
      </c>
      <c r="R256" s="29" t="s">
        <v>771</v>
      </c>
      <c r="S256" s="34" t="s">
        <v>772</v>
      </c>
    </row>
    <row r="257" spans="1:19" ht="15.75" customHeight="1">
      <c r="A257" s="10">
        <v>196</v>
      </c>
      <c r="B257" s="10">
        <v>2020</v>
      </c>
      <c r="C257" s="11" t="s">
        <v>102</v>
      </c>
      <c r="D257" s="12">
        <v>44153</v>
      </c>
      <c r="E257" s="11" t="s">
        <v>20</v>
      </c>
      <c r="F257" s="1" t="s">
        <v>21</v>
      </c>
      <c r="G257" s="10">
        <v>1</v>
      </c>
      <c r="H257" s="18">
        <v>2</v>
      </c>
      <c r="I257" s="10">
        <v>1</v>
      </c>
      <c r="J257" s="13" t="s">
        <v>71</v>
      </c>
      <c r="K257" s="13">
        <v>31480</v>
      </c>
      <c r="L257" s="3" t="s">
        <v>61</v>
      </c>
      <c r="M257" s="16" t="s">
        <v>773</v>
      </c>
      <c r="N257" s="4" t="s">
        <v>20</v>
      </c>
      <c r="O257" s="1" t="s">
        <v>33</v>
      </c>
      <c r="P257" s="6">
        <v>3</v>
      </c>
      <c r="Q257" s="28" t="s">
        <v>709</v>
      </c>
      <c r="R257" s="29" t="s">
        <v>774</v>
      </c>
      <c r="S257" s="17" t="s">
        <v>775</v>
      </c>
    </row>
    <row r="258" spans="1:19" ht="15.75" customHeight="1">
      <c r="A258" s="10">
        <v>196</v>
      </c>
      <c r="B258" s="10">
        <v>2020</v>
      </c>
      <c r="C258" s="11" t="s">
        <v>102</v>
      </c>
      <c r="D258" s="12">
        <v>44153</v>
      </c>
      <c r="E258" s="11" t="s">
        <v>20</v>
      </c>
      <c r="F258" s="1" t="s">
        <v>21</v>
      </c>
      <c r="G258" s="10">
        <v>1</v>
      </c>
      <c r="H258" s="18">
        <v>2</v>
      </c>
      <c r="I258" s="18">
        <v>2</v>
      </c>
      <c r="J258" s="13" t="s">
        <v>22</v>
      </c>
      <c r="K258" s="4" t="s">
        <v>23</v>
      </c>
      <c r="L258" s="14" t="s">
        <v>23</v>
      </c>
      <c r="M258" s="16" t="s">
        <v>776</v>
      </c>
      <c r="N258" s="11" t="s">
        <v>23</v>
      </c>
      <c r="O258" s="1" t="s">
        <v>23</v>
      </c>
      <c r="P258" s="1" t="s">
        <v>23</v>
      </c>
      <c r="Q258" s="20" t="s">
        <v>23</v>
      </c>
      <c r="R258" s="15" t="s">
        <v>23</v>
      </c>
      <c r="S258" s="20" t="s">
        <v>23</v>
      </c>
    </row>
    <row r="259" spans="1:19" ht="15.75" customHeight="1">
      <c r="A259" s="10">
        <v>197</v>
      </c>
      <c r="B259" s="10">
        <v>2020</v>
      </c>
      <c r="C259" s="11" t="s">
        <v>102</v>
      </c>
      <c r="D259" s="12">
        <v>44154</v>
      </c>
      <c r="E259" s="11" t="s">
        <v>33</v>
      </c>
      <c r="F259" s="6" t="s">
        <v>777</v>
      </c>
      <c r="G259" s="10">
        <v>3</v>
      </c>
      <c r="H259" s="10">
        <v>3</v>
      </c>
      <c r="I259" s="10">
        <v>1</v>
      </c>
      <c r="J259" s="13" t="s">
        <v>30</v>
      </c>
      <c r="K259" s="13">
        <v>31753</v>
      </c>
      <c r="L259" s="3" t="s">
        <v>31</v>
      </c>
      <c r="M259" s="16" t="s">
        <v>778</v>
      </c>
      <c r="N259" s="36" t="s">
        <v>20</v>
      </c>
      <c r="O259" s="1" t="s">
        <v>33</v>
      </c>
      <c r="P259" s="1">
        <v>2</v>
      </c>
      <c r="Q259" s="28" t="s">
        <v>779</v>
      </c>
      <c r="R259" s="29" t="s">
        <v>780</v>
      </c>
      <c r="S259" s="17" t="s">
        <v>781</v>
      </c>
    </row>
    <row r="260" spans="1:19" ht="15.75" customHeight="1">
      <c r="A260" s="10">
        <v>197</v>
      </c>
      <c r="B260" s="10">
        <v>2020</v>
      </c>
      <c r="C260" s="11" t="s">
        <v>102</v>
      </c>
      <c r="D260" s="12">
        <v>44154</v>
      </c>
      <c r="E260" s="11" t="s">
        <v>33</v>
      </c>
      <c r="F260" s="6" t="s">
        <v>777</v>
      </c>
      <c r="G260" s="10">
        <v>3</v>
      </c>
      <c r="H260" s="10">
        <v>3</v>
      </c>
      <c r="I260" s="10">
        <v>2</v>
      </c>
      <c r="J260" s="13" t="s">
        <v>30</v>
      </c>
      <c r="K260" s="13">
        <v>31754</v>
      </c>
      <c r="L260" s="3" t="s">
        <v>31</v>
      </c>
      <c r="M260" s="16" t="s">
        <v>782</v>
      </c>
      <c r="N260" s="36" t="s">
        <v>20</v>
      </c>
      <c r="O260" s="1" t="s">
        <v>23</v>
      </c>
      <c r="P260" s="1" t="s">
        <v>23</v>
      </c>
      <c r="Q260" s="20" t="s">
        <v>23</v>
      </c>
      <c r="R260" s="19" t="s">
        <v>23</v>
      </c>
      <c r="S260" s="20" t="s">
        <v>23</v>
      </c>
    </row>
    <row r="261" spans="1:19" ht="15.75" customHeight="1">
      <c r="A261" s="10">
        <v>197</v>
      </c>
      <c r="B261" s="10">
        <v>2020</v>
      </c>
      <c r="C261" s="11" t="s">
        <v>102</v>
      </c>
      <c r="D261" s="12">
        <v>44154</v>
      </c>
      <c r="E261" s="11" t="s">
        <v>33</v>
      </c>
      <c r="F261" s="6" t="s">
        <v>777</v>
      </c>
      <c r="G261" s="10">
        <v>3</v>
      </c>
      <c r="H261" s="10">
        <v>3</v>
      </c>
      <c r="I261" s="10">
        <v>3</v>
      </c>
      <c r="J261" s="13" t="s">
        <v>30</v>
      </c>
      <c r="K261" s="13">
        <v>31755</v>
      </c>
      <c r="L261" s="3" t="s">
        <v>31</v>
      </c>
      <c r="M261" s="16" t="s">
        <v>783</v>
      </c>
      <c r="N261" s="36" t="s">
        <v>20</v>
      </c>
      <c r="O261" s="1" t="s">
        <v>23</v>
      </c>
      <c r="P261" s="1" t="s">
        <v>23</v>
      </c>
      <c r="Q261" s="20" t="s">
        <v>23</v>
      </c>
      <c r="R261" s="19" t="s">
        <v>23</v>
      </c>
      <c r="S261" s="20" t="s">
        <v>23</v>
      </c>
    </row>
    <row r="262" spans="1:19" ht="15.75" customHeight="1">
      <c r="A262" s="18">
        <v>198</v>
      </c>
      <c r="B262" s="10">
        <v>2020</v>
      </c>
      <c r="C262" s="11" t="s">
        <v>102</v>
      </c>
      <c r="D262" s="12">
        <v>44154</v>
      </c>
      <c r="E262" s="11" t="s">
        <v>33</v>
      </c>
      <c r="F262" s="11" t="s">
        <v>784</v>
      </c>
      <c r="G262" s="18">
        <v>4</v>
      </c>
      <c r="H262" s="10">
        <v>1</v>
      </c>
      <c r="I262" s="10">
        <v>1</v>
      </c>
      <c r="J262" s="13" t="s">
        <v>30</v>
      </c>
      <c r="K262" s="4">
        <v>31688</v>
      </c>
      <c r="L262" s="14" t="s">
        <v>31</v>
      </c>
      <c r="M262" s="16" t="s">
        <v>769</v>
      </c>
      <c r="N262" s="11" t="s">
        <v>20</v>
      </c>
      <c r="O262" s="6" t="s">
        <v>20</v>
      </c>
      <c r="P262" s="6">
        <v>0</v>
      </c>
      <c r="Q262" s="32" t="s">
        <v>785</v>
      </c>
      <c r="R262" s="25" t="s">
        <v>23</v>
      </c>
      <c r="S262" s="24" t="s">
        <v>786</v>
      </c>
    </row>
    <row r="263" spans="1:19" ht="15.75" customHeight="1">
      <c r="A263" s="10">
        <v>199</v>
      </c>
      <c r="B263" s="10">
        <v>2020</v>
      </c>
      <c r="C263" s="11" t="s">
        <v>102</v>
      </c>
      <c r="D263" s="12">
        <v>44154</v>
      </c>
      <c r="E263" s="11" t="s">
        <v>20</v>
      </c>
      <c r="F263" s="1" t="s">
        <v>148</v>
      </c>
      <c r="G263" s="10">
        <v>1</v>
      </c>
      <c r="H263" s="10">
        <v>1</v>
      </c>
      <c r="I263" s="10">
        <v>1</v>
      </c>
      <c r="J263" s="13" t="s">
        <v>22</v>
      </c>
      <c r="K263" s="4" t="s">
        <v>23</v>
      </c>
      <c r="L263" s="14" t="s">
        <v>23</v>
      </c>
      <c r="M263" s="15" t="s">
        <v>787</v>
      </c>
      <c r="N263" s="11" t="s">
        <v>23</v>
      </c>
      <c r="O263" s="1" t="s">
        <v>33</v>
      </c>
      <c r="P263" s="6">
        <v>3</v>
      </c>
      <c r="Q263" s="32" t="s">
        <v>788</v>
      </c>
      <c r="R263" s="33" t="s">
        <v>789</v>
      </c>
      <c r="S263" s="32" t="s">
        <v>790</v>
      </c>
    </row>
    <row r="264" spans="1:19" ht="15.75" customHeight="1">
      <c r="A264" s="10">
        <v>200</v>
      </c>
      <c r="B264" s="10">
        <v>2020</v>
      </c>
      <c r="C264" s="11" t="s">
        <v>102</v>
      </c>
      <c r="D264" s="12">
        <v>44159</v>
      </c>
      <c r="E264" s="11" t="s">
        <v>20</v>
      </c>
      <c r="F264" s="1" t="s">
        <v>26</v>
      </c>
      <c r="G264" s="10">
        <v>1</v>
      </c>
      <c r="H264" s="10">
        <v>1</v>
      </c>
      <c r="I264" s="10">
        <v>1</v>
      </c>
      <c r="J264" s="13" t="s">
        <v>22</v>
      </c>
      <c r="K264" s="4" t="s">
        <v>23</v>
      </c>
      <c r="L264" s="14" t="s">
        <v>23</v>
      </c>
      <c r="M264" s="15" t="s">
        <v>791</v>
      </c>
      <c r="N264" s="11" t="s">
        <v>23</v>
      </c>
      <c r="O264" s="1" t="s">
        <v>33</v>
      </c>
      <c r="P264" s="1">
        <v>2</v>
      </c>
      <c r="Q264" s="28" t="s">
        <v>792</v>
      </c>
      <c r="R264" s="29" t="s">
        <v>793</v>
      </c>
      <c r="S264" s="17" t="s">
        <v>794</v>
      </c>
    </row>
    <row r="265" spans="1:19" ht="15.75" customHeight="1">
      <c r="A265" s="10">
        <v>201</v>
      </c>
      <c r="B265" s="10">
        <v>2020</v>
      </c>
      <c r="C265" s="11" t="s">
        <v>102</v>
      </c>
      <c r="D265" s="12">
        <v>44159</v>
      </c>
      <c r="E265" s="11" t="s">
        <v>33</v>
      </c>
      <c r="F265" s="6" t="s">
        <v>795</v>
      </c>
      <c r="G265" s="10">
        <v>3</v>
      </c>
      <c r="H265" s="10">
        <v>3</v>
      </c>
      <c r="I265" s="10">
        <v>1</v>
      </c>
      <c r="J265" s="13" t="s">
        <v>30</v>
      </c>
      <c r="K265" s="13">
        <v>31753</v>
      </c>
      <c r="L265" s="3" t="s">
        <v>31</v>
      </c>
      <c r="M265" s="16" t="s">
        <v>778</v>
      </c>
      <c r="N265" s="36" t="s">
        <v>20</v>
      </c>
      <c r="O265" s="1" t="s">
        <v>20</v>
      </c>
      <c r="P265" s="1">
        <v>0</v>
      </c>
      <c r="Q265" s="28" t="s">
        <v>796</v>
      </c>
      <c r="R265" s="29" t="s">
        <v>797</v>
      </c>
      <c r="S265" s="17" t="s">
        <v>798</v>
      </c>
    </row>
    <row r="266" spans="1:19" ht="15.75" customHeight="1">
      <c r="A266" s="10">
        <v>201</v>
      </c>
      <c r="B266" s="10">
        <v>2020</v>
      </c>
      <c r="C266" s="11" t="s">
        <v>102</v>
      </c>
      <c r="D266" s="12">
        <v>44159</v>
      </c>
      <c r="E266" s="11" t="s">
        <v>33</v>
      </c>
      <c r="F266" s="6" t="s">
        <v>795</v>
      </c>
      <c r="G266" s="10">
        <v>3</v>
      </c>
      <c r="H266" s="10">
        <v>3</v>
      </c>
      <c r="I266" s="10">
        <v>2</v>
      </c>
      <c r="J266" s="13" t="s">
        <v>30</v>
      </c>
      <c r="K266" s="13">
        <v>31754</v>
      </c>
      <c r="L266" s="3" t="s">
        <v>31</v>
      </c>
      <c r="M266" s="16" t="s">
        <v>782</v>
      </c>
      <c r="N266" s="36" t="s">
        <v>20</v>
      </c>
      <c r="O266" s="1" t="s">
        <v>23</v>
      </c>
      <c r="P266" s="1" t="s">
        <v>23</v>
      </c>
      <c r="Q266" s="20" t="s">
        <v>23</v>
      </c>
      <c r="R266" s="19" t="s">
        <v>23</v>
      </c>
      <c r="S266" s="20" t="s">
        <v>23</v>
      </c>
    </row>
    <row r="267" spans="1:19" ht="15.75" customHeight="1">
      <c r="A267" s="10">
        <v>201</v>
      </c>
      <c r="B267" s="10">
        <v>2020</v>
      </c>
      <c r="C267" s="11" t="s">
        <v>102</v>
      </c>
      <c r="D267" s="12">
        <v>44159</v>
      </c>
      <c r="E267" s="11" t="s">
        <v>33</v>
      </c>
      <c r="F267" s="6" t="s">
        <v>795</v>
      </c>
      <c r="G267" s="10">
        <v>3</v>
      </c>
      <c r="H267" s="10">
        <v>3</v>
      </c>
      <c r="I267" s="10">
        <v>3</v>
      </c>
      <c r="J267" s="13" t="s">
        <v>30</v>
      </c>
      <c r="K267" s="13">
        <v>31755</v>
      </c>
      <c r="L267" s="3" t="s">
        <v>31</v>
      </c>
      <c r="M267" s="16" t="s">
        <v>783</v>
      </c>
      <c r="N267" s="36" t="s">
        <v>20</v>
      </c>
      <c r="O267" s="1" t="s">
        <v>23</v>
      </c>
      <c r="P267" s="1" t="s">
        <v>23</v>
      </c>
      <c r="Q267" s="20" t="s">
        <v>23</v>
      </c>
      <c r="R267" s="19" t="s">
        <v>23</v>
      </c>
      <c r="S267" s="20" t="s">
        <v>23</v>
      </c>
    </row>
    <row r="268" spans="1:19" ht="15.75" customHeight="1">
      <c r="A268" s="10">
        <v>202</v>
      </c>
      <c r="B268" s="10">
        <v>2020</v>
      </c>
      <c r="C268" s="11" t="s">
        <v>102</v>
      </c>
      <c r="D268" s="12">
        <v>44159</v>
      </c>
      <c r="E268" s="11" t="s">
        <v>33</v>
      </c>
      <c r="F268" s="6" t="s">
        <v>784</v>
      </c>
      <c r="G268" s="10">
        <v>4</v>
      </c>
      <c r="H268" s="10">
        <v>2</v>
      </c>
      <c r="I268" s="10">
        <v>1</v>
      </c>
      <c r="J268" s="13" t="s">
        <v>30</v>
      </c>
      <c r="K268" s="13">
        <v>31688</v>
      </c>
      <c r="L268" s="3" t="s">
        <v>31</v>
      </c>
      <c r="M268" s="16" t="s">
        <v>799</v>
      </c>
      <c r="N268" s="36" t="s">
        <v>20</v>
      </c>
      <c r="O268" s="1" t="s">
        <v>33</v>
      </c>
      <c r="P268" s="6">
        <v>5</v>
      </c>
      <c r="Q268" s="28" t="s">
        <v>800</v>
      </c>
      <c r="R268" s="29" t="s">
        <v>801</v>
      </c>
      <c r="S268" s="24" t="s">
        <v>802</v>
      </c>
    </row>
    <row r="269" spans="1:19" ht="15.75" customHeight="1">
      <c r="A269" s="10">
        <v>202</v>
      </c>
      <c r="B269" s="10">
        <v>2020</v>
      </c>
      <c r="C269" s="11" t="s">
        <v>102</v>
      </c>
      <c r="D269" s="12">
        <v>44159</v>
      </c>
      <c r="E269" s="11" t="s">
        <v>33</v>
      </c>
      <c r="F269" s="6" t="s">
        <v>784</v>
      </c>
      <c r="G269" s="10">
        <v>4</v>
      </c>
      <c r="H269" s="10">
        <v>2</v>
      </c>
      <c r="I269" s="10">
        <v>2</v>
      </c>
      <c r="J269" s="13" t="s">
        <v>30</v>
      </c>
      <c r="K269" s="13">
        <v>31652</v>
      </c>
      <c r="L269" s="3" t="s">
        <v>61</v>
      </c>
      <c r="M269" s="16" t="s">
        <v>803</v>
      </c>
      <c r="N269" s="36" t="s">
        <v>20</v>
      </c>
      <c r="O269" s="1" t="s">
        <v>23</v>
      </c>
      <c r="P269" s="1" t="s">
        <v>23</v>
      </c>
      <c r="Q269" s="20" t="s">
        <v>23</v>
      </c>
      <c r="R269" s="19" t="s">
        <v>23</v>
      </c>
      <c r="S269" s="20" t="s">
        <v>23</v>
      </c>
    </row>
    <row r="270" spans="1:19" ht="15.75" customHeight="1">
      <c r="A270" s="10">
        <v>203</v>
      </c>
      <c r="B270" s="10">
        <v>2020</v>
      </c>
      <c r="C270" s="11" t="s">
        <v>102</v>
      </c>
      <c r="D270" s="12">
        <v>44160</v>
      </c>
      <c r="E270" s="11" t="s">
        <v>20</v>
      </c>
      <c r="F270" s="1" t="s">
        <v>73</v>
      </c>
      <c r="G270" s="10">
        <v>1</v>
      </c>
      <c r="H270" s="10">
        <v>3</v>
      </c>
      <c r="I270" s="10">
        <v>1</v>
      </c>
      <c r="J270" s="13" t="s">
        <v>30</v>
      </c>
      <c r="K270" s="13">
        <v>30515</v>
      </c>
      <c r="L270" s="14" t="s">
        <v>61</v>
      </c>
      <c r="M270" s="16" t="s">
        <v>461</v>
      </c>
      <c r="N270" s="4" t="s">
        <v>20</v>
      </c>
      <c r="O270" s="1" t="s">
        <v>20</v>
      </c>
      <c r="P270" s="1">
        <v>0</v>
      </c>
      <c r="Q270" s="28" t="s">
        <v>804</v>
      </c>
      <c r="R270" s="29" t="s">
        <v>805</v>
      </c>
      <c r="S270" s="17" t="s">
        <v>806</v>
      </c>
    </row>
    <row r="271" spans="1:19" ht="15.75" customHeight="1">
      <c r="A271" s="10">
        <v>203</v>
      </c>
      <c r="B271" s="10">
        <v>2020</v>
      </c>
      <c r="C271" s="11" t="s">
        <v>102</v>
      </c>
      <c r="D271" s="12">
        <v>44160</v>
      </c>
      <c r="E271" s="11" t="s">
        <v>20</v>
      </c>
      <c r="F271" s="1" t="s">
        <v>73</v>
      </c>
      <c r="G271" s="10">
        <v>1</v>
      </c>
      <c r="H271" s="10">
        <v>3</v>
      </c>
      <c r="I271" s="10">
        <v>2</v>
      </c>
      <c r="J271" s="13" t="s">
        <v>30</v>
      </c>
      <c r="K271" s="13">
        <v>30646</v>
      </c>
      <c r="L271" s="14" t="s">
        <v>61</v>
      </c>
      <c r="M271" s="16" t="s">
        <v>807</v>
      </c>
      <c r="N271" s="36" t="s">
        <v>20</v>
      </c>
      <c r="O271" s="1" t="s">
        <v>23</v>
      </c>
      <c r="P271" s="1" t="s">
        <v>23</v>
      </c>
      <c r="Q271" s="20" t="s">
        <v>23</v>
      </c>
      <c r="R271" s="15" t="s">
        <v>23</v>
      </c>
      <c r="S271" s="20" t="s">
        <v>23</v>
      </c>
    </row>
    <row r="272" spans="1:19" ht="15.75" customHeight="1">
      <c r="A272" s="10">
        <v>203</v>
      </c>
      <c r="B272" s="10">
        <v>2020</v>
      </c>
      <c r="C272" s="11" t="s">
        <v>102</v>
      </c>
      <c r="D272" s="12">
        <v>44160</v>
      </c>
      <c r="E272" s="11" t="s">
        <v>20</v>
      </c>
      <c r="F272" s="1" t="s">
        <v>73</v>
      </c>
      <c r="G272" s="10">
        <v>1</v>
      </c>
      <c r="H272" s="10">
        <v>3</v>
      </c>
      <c r="I272" s="10">
        <v>3</v>
      </c>
      <c r="J272" s="13" t="s">
        <v>30</v>
      </c>
      <c r="K272" s="13">
        <v>31746</v>
      </c>
      <c r="L272" s="14" t="s">
        <v>61</v>
      </c>
      <c r="M272" s="16" t="s">
        <v>808</v>
      </c>
      <c r="N272" s="36" t="s">
        <v>20</v>
      </c>
      <c r="O272" s="1" t="s">
        <v>23</v>
      </c>
      <c r="P272" s="1" t="s">
        <v>23</v>
      </c>
      <c r="Q272" s="20" t="s">
        <v>23</v>
      </c>
      <c r="R272" s="15" t="s">
        <v>23</v>
      </c>
      <c r="S272" s="20" t="s">
        <v>23</v>
      </c>
    </row>
    <row r="273" spans="1:19" ht="15.75" customHeight="1">
      <c r="A273" s="10">
        <v>204</v>
      </c>
      <c r="B273" s="10">
        <v>2020</v>
      </c>
      <c r="C273" s="11" t="s">
        <v>102</v>
      </c>
      <c r="D273" s="12">
        <v>44161</v>
      </c>
      <c r="E273" s="11" t="s">
        <v>33</v>
      </c>
      <c r="F273" s="6" t="s">
        <v>795</v>
      </c>
      <c r="G273" s="10">
        <v>3</v>
      </c>
      <c r="H273" s="10">
        <v>3</v>
      </c>
      <c r="I273" s="10">
        <v>1</v>
      </c>
      <c r="J273" s="13" t="s">
        <v>30</v>
      </c>
      <c r="K273" s="13">
        <v>31753</v>
      </c>
      <c r="L273" s="3" t="s">
        <v>31</v>
      </c>
      <c r="M273" s="16" t="s">
        <v>778</v>
      </c>
      <c r="N273" s="4" t="s">
        <v>33</v>
      </c>
      <c r="O273" s="1" t="s">
        <v>33</v>
      </c>
      <c r="P273" s="1">
        <v>2</v>
      </c>
      <c r="Q273" s="28" t="s">
        <v>809</v>
      </c>
      <c r="R273" s="29" t="s">
        <v>810</v>
      </c>
      <c r="S273" s="24" t="s">
        <v>811</v>
      </c>
    </row>
    <row r="274" spans="1:19" ht="15.75" customHeight="1">
      <c r="A274" s="10">
        <v>204</v>
      </c>
      <c r="B274" s="10">
        <v>2020</v>
      </c>
      <c r="C274" s="11" t="s">
        <v>102</v>
      </c>
      <c r="D274" s="12">
        <v>44161</v>
      </c>
      <c r="E274" s="11" t="s">
        <v>33</v>
      </c>
      <c r="F274" s="6" t="s">
        <v>795</v>
      </c>
      <c r="G274" s="10">
        <v>3</v>
      </c>
      <c r="H274" s="10">
        <v>3</v>
      </c>
      <c r="I274" s="10">
        <v>2</v>
      </c>
      <c r="J274" s="13" t="s">
        <v>30</v>
      </c>
      <c r="K274" s="13">
        <v>31754</v>
      </c>
      <c r="L274" s="3" t="s">
        <v>31</v>
      </c>
      <c r="M274" s="16" t="s">
        <v>782</v>
      </c>
      <c r="N274" s="4" t="s">
        <v>33</v>
      </c>
      <c r="O274" s="1" t="s">
        <v>23</v>
      </c>
      <c r="P274" s="1" t="s">
        <v>23</v>
      </c>
      <c r="Q274" s="20" t="s">
        <v>23</v>
      </c>
      <c r="R274" s="19" t="s">
        <v>23</v>
      </c>
      <c r="S274" s="20" t="s">
        <v>23</v>
      </c>
    </row>
    <row r="275" spans="1:19" ht="15.75" customHeight="1">
      <c r="A275" s="10">
        <v>204</v>
      </c>
      <c r="B275" s="10">
        <v>2020</v>
      </c>
      <c r="C275" s="11" t="s">
        <v>102</v>
      </c>
      <c r="D275" s="12">
        <v>44161</v>
      </c>
      <c r="E275" s="11" t="s">
        <v>33</v>
      </c>
      <c r="F275" s="6" t="s">
        <v>795</v>
      </c>
      <c r="G275" s="10">
        <v>3</v>
      </c>
      <c r="H275" s="10">
        <v>3</v>
      </c>
      <c r="I275" s="10">
        <v>3</v>
      </c>
      <c r="J275" s="13" t="s">
        <v>30</v>
      </c>
      <c r="K275" s="13">
        <v>31755</v>
      </c>
      <c r="L275" s="3" t="s">
        <v>31</v>
      </c>
      <c r="M275" s="16" t="s">
        <v>783</v>
      </c>
      <c r="N275" s="4" t="s">
        <v>33</v>
      </c>
      <c r="O275" s="1" t="s">
        <v>23</v>
      </c>
      <c r="P275" s="1" t="s">
        <v>23</v>
      </c>
      <c r="Q275" s="20" t="s">
        <v>23</v>
      </c>
      <c r="R275" s="19" t="s">
        <v>23</v>
      </c>
      <c r="S275" s="20" t="s">
        <v>23</v>
      </c>
    </row>
    <row r="276" spans="1:19" ht="15.75" customHeight="1">
      <c r="A276" s="10">
        <v>205</v>
      </c>
      <c r="B276" s="10">
        <v>2020</v>
      </c>
      <c r="C276" s="11" t="s">
        <v>102</v>
      </c>
      <c r="D276" s="12">
        <v>44161</v>
      </c>
      <c r="E276" s="11" t="s">
        <v>20</v>
      </c>
      <c r="F276" s="1" t="s">
        <v>41</v>
      </c>
      <c r="G276" s="10">
        <v>1</v>
      </c>
      <c r="H276" s="10">
        <v>3</v>
      </c>
      <c r="I276" s="10">
        <v>1</v>
      </c>
      <c r="J276" s="13" t="s">
        <v>30</v>
      </c>
      <c r="K276" s="13">
        <v>30684</v>
      </c>
      <c r="L276" s="3" t="s">
        <v>61</v>
      </c>
      <c r="M276" s="16" t="s">
        <v>812</v>
      </c>
      <c r="N276" s="4" t="s">
        <v>20</v>
      </c>
      <c r="O276" s="1" t="s">
        <v>20</v>
      </c>
      <c r="P276" s="1">
        <v>0</v>
      </c>
      <c r="Q276" s="28" t="s">
        <v>813</v>
      </c>
      <c r="R276" s="29" t="s">
        <v>814</v>
      </c>
      <c r="S276" s="17" t="s">
        <v>815</v>
      </c>
    </row>
    <row r="277" spans="1:19" ht="15.75" customHeight="1">
      <c r="A277" s="10">
        <v>205</v>
      </c>
      <c r="B277" s="10">
        <v>2020</v>
      </c>
      <c r="C277" s="11" t="s">
        <v>102</v>
      </c>
      <c r="D277" s="12">
        <v>44161</v>
      </c>
      <c r="E277" s="11" t="s">
        <v>20</v>
      </c>
      <c r="F277" s="1" t="s">
        <v>41</v>
      </c>
      <c r="G277" s="10">
        <v>1</v>
      </c>
      <c r="H277" s="10">
        <v>3</v>
      </c>
      <c r="I277" s="10">
        <v>2</v>
      </c>
      <c r="J277" s="13" t="s">
        <v>71</v>
      </c>
      <c r="K277" s="13">
        <v>30946</v>
      </c>
      <c r="L277" s="3" t="s">
        <v>61</v>
      </c>
      <c r="M277" s="16" t="s">
        <v>816</v>
      </c>
      <c r="N277" s="4" t="s">
        <v>20</v>
      </c>
      <c r="O277" s="1" t="s">
        <v>23</v>
      </c>
      <c r="P277" s="1" t="s">
        <v>23</v>
      </c>
      <c r="Q277" s="20" t="s">
        <v>23</v>
      </c>
      <c r="R277" s="15" t="s">
        <v>23</v>
      </c>
      <c r="S277" s="20" t="s">
        <v>23</v>
      </c>
    </row>
    <row r="278" spans="1:19" ht="15.75" customHeight="1">
      <c r="A278" s="10">
        <v>205</v>
      </c>
      <c r="B278" s="10">
        <v>2020</v>
      </c>
      <c r="C278" s="11" t="s">
        <v>102</v>
      </c>
      <c r="D278" s="12">
        <v>44161</v>
      </c>
      <c r="E278" s="11" t="s">
        <v>20</v>
      </c>
      <c r="F278" s="1" t="s">
        <v>41</v>
      </c>
      <c r="G278" s="10">
        <v>1</v>
      </c>
      <c r="H278" s="10">
        <v>3</v>
      </c>
      <c r="I278" s="10">
        <v>3</v>
      </c>
      <c r="J278" s="13" t="s">
        <v>30</v>
      </c>
      <c r="K278" s="13">
        <v>30947</v>
      </c>
      <c r="L278" s="3" t="s">
        <v>61</v>
      </c>
      <c r="M278" s="16" t="s">
        <v>817</v>
      </c>
      <c r="N278" s="4" t="s">
        <v>20</v>
      </c>
      <c r="O278" s="1" t="s">
        <v>23</v>
      </c>
      <c r="P278" s="1" t="s">
        <v>23</v>
      </c>
      <c r="Q278" s="20" t="s">
        <v>23</v>
      </c>
      <c r="R278" s="15" t="s">
        <v>23</v>
      </c>
      <c r="S278" s="20" t="s">
        <v>23</v>
      </c>
    </row>
    <row r="279" spans="1:19" ht="15.75" customHeight="1">
      <c r="A279" s="10">
        <v>206</v>
      </c>
      <c r="B279" s="10">
        <v>2020</v>
      </c>
      <c r="C279" s="11" t="s">
        <v>102</v>
      </c>
      <c r="D279" s="12">
        <v>44161</v>
      </c>
      <c r="E279" s="11" t="s">
        <v>33</v>
      </c>
      <c r="F279" s="6" t="s">
        <v>784</v>
      </c>
      <c r="G279" s="10">
        <v>4</v>
      </c>
      <c r="H279" s="10">
        <v>2</v>
      </c>
      <c r="I279" s="10">
        <v>1</v>
      </c>
      <c r="J279" s="13" t="s">
        <v>30</v>
      </c>
      <c r="K279" s="13">
        <v>31688</v>
      </c>
      <c r="L279" s="3" t="s">
        <v>31</v>
      </c>
      <c r="M279" s="16" t="s">
        <v>818</v>
      </c>
      <c r="N279" s="36" t="s">
        <v>20</v>
      </c>
      <c r="O279" s="1" t="s">
        <v>33</v>
      </c>
      <c r="P279" s="1">
        <v>4</v>
      </c>
      <c r="Q279" s="28" t="s">
        <v>819</v>
      </c>
      <c r="R279" s="29" t="s">
        <v>820</v>
      </c>
      <c r="S279" s="17" t="s">
        <v>821</v>
      </c>
    </row>
    <row r="280" spans="1:19" ht="15.75" customHeight="1">
      <c r="A280" s="10">
        <v>206</v>
      </c>
      <c r="B280" s="10">
        <v>2020</v>
      </c>
      <c r="C280" s="11" t="s">
        <v>102</v>
      </c>
      <c r="D280" s="12">
        <v>44161</v>
      </c>
      <c r="E280" s="11" t="s">
        <v>33</v>
      </c>
      <c r="F280" s="6" t="s">
        <v>784</v>
      </c>
      <c r="G280" s="10">
        <v>4</v>
      </c>
      <c r="H280" s="10">
        <v>2</v>
      </c>
      <c r="I280" s="10">
        <v>2</v>
      </c>
      <c r="J280" s="13" t="s">
        <v>30</v>
      </c>
      <c r="K280" s="13">
        <v>31652</v>
      </c>
      <c r="L280" s="3" t="s">
        <v>61</v>
      </c>
      <c r="M280" s="16" t="s">
        <v>803</v>
      </c>
      <c r="N280" s="36" t="s">
        <v>20</v>
      </c>
      <c r="O280" s="1" t="s">
        <v>23</v>
      </c>
      <c r="P280" s="1" t="s">
        <v>23</v>
      </c>
      <c r="Q280" s="20" t="s">
        <v>23</v>
      </c>
      <c r="R280" s="19" t="s">
        <v>23</v>
      </c>
      <c r="S280" s="20" t="s">
        <v>23</v>
      </c>
    </row>
    <row r="281" spans="1:19" ht="15.75" customHeight="1">
      <c r="A281" s="10">
        <v>207</v>
      </c>
      <c r="B281" s="10">
        <v>2020</v>
      </c>
      <c r="C281" s="11" t="s">
        <v>102</v>
      </c>
      <c r="D281" s="12">
        <v>44166</v>
      </c>
      <c r="E281" s="11" t="s">
        <v>33</v>
      </c>
      <c r="F281" s="6" t="s">
        <v>795</v>
      </c>
      <c r="G281" s="10">
        <v>3</v>
      </c>
      <c r="H281" s="10">
        <v>3</v>
      </c>
      <c r="I281" s="10">
        <v>1</v>
      </c>
      <c r="J281" s="13" t="s">
        <v>30</v>
      </c>
      <c r="K281" s="13">
        <v>31753</v>
      </c>
      <c r="L281" s="3" t="s">
        <v>31</v>
      </c>
      <c r="M281" s="16" t="s">
        <v>778</v>
      </c>
      <c r="N281" s="36" t="s">
        <v>20</v>
      </c>
      <c r="O281" s="1" t="s">
        <v>33</v>
      </c>
      <c r="P281" s="1">
        <v>2</v>
      </c>
      <c r="Q281" s="28" t="s">
        <v>822</v>
      </c>
      <c r="R281" s="29" t="s">
        <v>823</v>
      </c>
      <c r="S281" s="24" t="s">
        <v>824</v>
      </c>
    </row>
    <row r="282" spans="1:19" ht="15.75" customHeight="1">
      <c r="A282" s="10">
        <v>207</v>
      </c>
      <c r="B282" s="10">
        <v>2020</v>
      </c>
      <c r="C282" s="11" t="s">
        <v>102</v>
      </c>
      <c r="D282" s="12">
        <v>44166</v>
      </c>
      <c r="E282" s="11" t="s">
        <v>33</v>
      </c>
      <c r="F282" s="6" t="s">
        <v>795</v>
      </c>
      <c r="G282" s="10">
        <v>3</v>
      </c>
      <c r="H282" s="10">
        <v>3</v>
      </c>
      <c r="I282" s="10">
        <v>2</v>
      </c>
      <c r="J282" s="13" t="s">
        <v>30</v>
      </c>
      <c r="K282" s="13">
        <v>31754</v>
      </c>
      <c r="L282" s="3" t="s">
        <v>31</v>
      </c>
      <c r="M282" s="16" t="s">
        <v>782</v>
      </c>
      <c r="N282" s="36" t="s">
        <v>20</v>
      </c>
      <c r="O282" s="1" t="s">
        <v>23</v>
      </c>
      <c r="P282" s="1" t="s">
        <v>23</v>
      </c>
      <c r="Q282" s="20" t="s">
        <v>23</v>
      </c>
      <c r="R282" s="19" t="s">
        <v>23</v>
      </c>
      <c r="S282" s="20" t="s">
        <v>23</v>
      </c>
    </row>
    <row r="283" spans="1:19" ht="15.75" customHeight="1">
      <c r="A283" s="10">
        <v>207</v>
      </c>
      <c r="B283" s="10">
        <v>2020</v>
      </c>
      <c r="C283" s="11" t="s">
        <v>102</v>
      </c>
      <c r="D283" s="12">
        <v>44166</v>
      </c>
      <c r="E283" s="11" t="s">
        <v>33</v>
      </c>
      <c r="F283" s="6" t="s">
        <v>795</v>
      </c>
      <c r="G283" s="10">
        <v>3</v>
      </c>
      <c r="H283" s="10">
        <v>3</v>
      </c>
      <c r="I283" s="10">
        <v>3</v>
      </c>
      <c r="J283" s="13" t="s">
        <v>30</v>
      </c>
      <c r="K283" s="13">
        <v>31755</v>
      </c>
      <c r="L283" s="3" t="s">
        <v>31</v>
      </c>
      <c r="M283" s="16" t="s">
        <v>783</v>
      </c>
      <c r="N283" s="36" t="s">
        <v>20</v>
      </c>
      <c r="O283" s="1" t="s">
        <v>23</v>
      </c>
      <c r="P283" s="1" t="s">
        <v>23</v>
      </c>
      <c r="Q283" s="20" t="s">
        <v>23</v>
      </c>
      <c r="R283" s="19" t="s">
        <v>23</v>
      </c>
      <c r="S283" s="20" t="s">
        <v>23</v>
      </c>
    </row>
    <row r="284" spans="1:19" ht="15.75" customHeight="1">
      <c r="A284" s="10">
        <v>208</v>
      </c>
      <c r="B284" s="10">
        <v>2020</v>
      </c>
      <c r="C284" s="11" t="s">
        <v>102</v>
      </c>
      <c r="D284" s="12">
        <v>44166</v>
      </c>
      <c r="E284" s="11" t="s">
        <v>20</v>
      </c>
      <c r="F284" s="6" t="s">
        <v>124</v>
      </c>
      <c r="G284" s="10">
        <v>1</v>
      </c>
      <c r="H284" s="10">
        <v>1</v>
      </c>
      <c r="I284" s="10">
        <v>1</v>
      </c>
      <c r="J284" s="13" t="s">
        <v>22</v>
      </c>
      <c r="K284" s="4" t="s">
        <v>23</v>
      </c>
      <c r="L284" s="14" t="s">
        <v>23</v>
      </c>
      <c r="M284" s="15" t="s">
        <v>825</v>
      </c>
      <c r="N284" s="11" t="s">
        <v>23</v>
      </c>
      <c r="O284" s="1" t="s">
        <v>20</v>
      </c>
      <c r="P284" s="1">
        <v>0</v>
      </c>
      <c r="Q284" s="32" t="s">
        <v>826</v>
      </c>
      <c r="R284" s="29" t="s">
        <v>827</v>
      </c>
      <c r="S284" s="17" t="s">
        <v>828</v>
      </c>
    </row>
    <row r="285" spans="1:19" ht="15.75" customHeight="1">
      <c r="A285" s="10">
        <v>209</v>
      </c>
      <c r="B285" s="10">
        <v>2020</v>
      </c>
      <c r="C285" s="11" t="s">
        <v>102</v>
      </c>
      <c r="D285" s="12">
        <v>44166</v>
      </c>
      <c r="E285" s="11" t="s">
        <v>33</v>
      </c>
      <c r="F285" s="6" t="s">
        <v>784</v>
      </c>
      <c r="G285" s="10">
        <v>4</v>
      </c>
      <c r="H285" s="10">
        <v>2</v>
      </c>
      <c r="I285" s="10">
        <v>1</v>
      </c>
      <c r="J285" s="13" t="s">
        <v>30</v>
      </c>
      <c r="K285" s="13">
        <v>31688</v>
      </c>
      <c r="L285" s="3" t="s">
        <v>31</v>
      </c>
      <c r="M285" s="16" t="s">
        <v>818</v>
      </c>
      <c r="N285" s="36" t="s">
        <v>33</v>
      </c>
      <c r="O285" s="1" t="s">
        <v>20</v>
      </c>
      <c r="P285" s="1">
        <v>0</v>
      </c>
      <c r="Q285" s="28" t="s">
        <v>829</v>
      </c>
      <c r="R285" s="29" t="s">
        <v>830</v>
      </c>
      <c r="S285" s="17" t="s">
        <v>831</v>
      </c>
    </row>
    <row r="286" spans="1:19" ht="15.75" customHeight="1">
      <c r="A286" s="10">
        <v>209</v>
      </c>
      <c r="B286" s="10">
        <v>2020</v>
      </c>
      <c r="C286" s="11" t="s">
        <v>102</v>
      </c>
      <c r="D286" s="12">
        <v>44166</v>
      </c>
      <c r="E286" s="11" t="s">
        <v>33</v>
      </c>
      <c r="F286" s="6" t="s">
        <v>784</v>
      </c>
      <c r="G286" s="10">
        <v>4</v>
      </c>
      <c r="H286" s="10">
        <v>2</v>
      </c>
      <c r="I286" s="10">
        <v>2</v>
      </c>
      <c r="J286" s="13" t="s">
        <v>30</v>
      </c>
      <c r="K286" s="13">
        <v>31652</v>
      </c>
      <c r="L286" s="3" t="s">
        <v>61</v>
      </c>
      <c r="M286" s="16" t="s">
        <v>803</v>
      </c>
      <c r="N286" s="4" t="s">
        <v>33</v>
      </c>
      <c r="O286" s="1" t="s">
        <v>23</v>
      </c>
      <c r="P286" s="1" t="s">
        <v>23</v>
      </c>
      <c r="Q286" s="20" t="s">
        <v>23</v>
      </c>
      <c r="R286" s="19" t="s">
        <v>23</v>
      </c>
      <c r="S286" s="20" t="s">
        <v>23</v>
      </c>
    </row>
    <row r="287" spans="1:19" ht="15.75" customHeight="1">
      <c r="A287" s="10">
        <v>210</v>
      </c>
      <c r="B287" s="10">
        <v>2020</v>
      </c>
      <c r="C287" s="11" t="s">
        <v>102</v>
      </c>
      <c r="D287" s="12">
        <v>44167</v>
      </c>
      <c r="E287" s="11" t="s">
        <v>20</v>
      </c>
      <c r="F287" s="1" t="s">
        <v>21</v>
      </c>
      <c r="G287" s="10">
        <v>1</v>
      </c>
      <c r="H287" s="10">
        <v>2</v>
      </c>
      <c r="I287" s="10">
        <v>1</v>
      </c>
      <c r="J287" s="13" t="s">
        <v>30</v>
      </c>
      <c r="K287" s="13">
        <v>31707</v>
      </c>
      <c r="L287" s="14" t="s">
        <v>61</v>
      </c>
      <c r="M287" s="16" t="s">
        <v>832</v>
      </c>
      <c r="N287" s="36" t="s">
        <v>20</v>
      </c>
      <c r="O287" s="1" t="s">
        <v>33</v>
      </c>
      <c r="P287" s="1">
        <v>4</v>
      </c>
      <c r="Q287" s="28" t="s">
        <v>833</v>
      </c>
      <c r="R287" s="29" t="s">
        <v>834</v>
      </c>
      <c r="S287" s="17" t="s">
        <v>835</v>
      </c>
    </row>
    <row r="288" spans="1:19" ht="15.75" customHeight="1">
      <c r="A288" s="10">
        <v>210</v>
      </c>
      <c r="B288" s="10">
        <v>2020</v>
      </c>
      <c r="C288" s="11" t="s">
        <v>102</v>
      </c>
      <c r="D288" s="12">
        <v>44167</v>
      </c>
      <c r="E288" s="11" t="s">
        <v>20</v>
      </c>
      <c r="F288" s="1" t="s">
        <v>21</v>
      </c>
      <c r="G288" s="10">
        <v>1</v>
      </c>
      <c r="H288" s="10">
        <v>2</v>
      </c>
      <c r="I288" s="10">
        <v>2</v>
      </c>
      <c r="J288" s="13" t="s">
        <v>30</v>
      </c>
      <c r="K288" s="13">
        <v>31748</v>
      </c>
      <c r="L288" s="14" t="s">
        <v>61</v>
      </c>
      <c r="M288" s="16" t="s">
        <v>836</v>
      </c>
      <c r="N288" s="36" t="s">
        <v>20</v>
      </c>
      <c r="O288" s="1" t="s">
        <v>23</v>
      </c>
      <c r="P288" s="1" t="s">
        <v>23</v>
      </c>
      <c r="Q288" s="20" t="s">
        <v>23</v>
      </c>
      <c r="R288" s="15" t="s">
        <v>23</v>
      </c>
      <c r="S288" s="20" t="s">
        <v>23</v>
      </c>
    </row>
    <row r="289" spans="1:19" ht="15.75" customHeight="1">
      <c r="A289" s="10">
        <v>211</v>
      </c>
      <c r="B289" s="10">
        <v>2020</v>
      </c>
      <c r="C289" s="11" t="s">
        <v>102</v>
      </c>
      <c r="D289" s="12">
        <v>44168</v>
      </c>
      <c r="E289" s="11" t="s">
        <v>33</v>
      </c>
      <c r="F289" s="6" t="s">
        <v>98</v>
      </c>
      <c r="G289" s="10">
        <v>2</v>
      </c>
      <c r="H289" s="10">
        <v>2</v>
      </c>
      <c r="I289" s="10">
        <v>1</v>
      </c>
      <c r="J289" s="13" t="s">
        <v>30</v>
      </c>
      <c r="K289" s="13">
        <v>31911</v>
      </c>
      <c r="L289" s="3" t="s">
        <v>31</v>
      </c>
      <c r="M289" s="16" t="s">
        <v>837</v>
      </c>
      <c r="N289" s="36" t="s">
        <v>20</v>
      </c>
      <c r="O289" s="1" t="s">
        <v>33</v>
      </c>
      <c r="P289" s="1">
        <v>2</v>
      </c>
      <c r="Q289" s="28" t="s">
        <v>838</v>
      </c>
      <c r="R289" s="15" t="s">
        <v>23</v>
      </c>
      <c r="S289" s="24" t="s">
        <v>839</v>
      </c>
    </row>
    <row r="290" spans="1:19" ht="15.75" customHeight="1">
      <c r="A290" s="10">
        <v>211</v>
      </c>
      <c r="B290" s="10">
        <v>2020</v>
      </c>
      <c r="C290" s="11" t="s">
        <v>102</v>
      </c>
      <c r="D290" s="12">
        <v>44168</v>
      </c>
      <c r="E290" s="11" t="s">
        <v>33</v>
      </c>
      <c r="F290" s="6" t="s">
        <v>98</v>
      </c>
      <c r="G290" s="10">
        <v>2</v>
      </c>
      <c r="H290" s="10">
        <v>2</v>
      </c>
      <c r="I290" s="10">
        <v>2</v>
      </c>
      <c r="J290" s="13" t="s">
        <v>30</v>
      </c>
      <c r="K290" s="13">
        <v>31912</v>
      </c>
      <c r="L290" s="3" t="s">
        <v>31</v>
      </c>
      <c r="M290" s="16" t="s">
        <v>840</v>
      </c>
      <c r="N290" s="36" t="s">
        <v>20</v>
      </c>
      <c r="O290" s="1" t="s">
        <v>23</v>
      </c>
      <c r="P290" s="1" t="s">
        <v>23</v>
      </c>
      <c r="Q290" s="20" t="s">
        <v>23</v>
      </c>
      <c r="R290" s="15" t="s">
        <v>23</v>
      </c>
      <c r="S290" s="20" t="s">
        <v>23</v>
      </c>
    </row>
    <row r="291" spans="1:19" ht="15.75" customHeight="1">
      <c r="A291" s="10">
        <v>212</v>
      </c>
      <c r="B291" s="10">
        <v>2020</v>
      </c>
      <c r="C291" s="11" t="s">
        <v>102</v>
      </c>
      <c r="D291" s="12">
        <v>44168</v>
      </c>
      <c r="E291" s="11" t="s">
        <v>33</v>
      </c>
      <c r="F291" s="6" t="s">
        <v>841</v>
      </c>
      <c r="G291" s="10">
        <v>2</v>
      </c>
      <c r="H291" s="10">
        <v>1</v>
      </c>
      <c r="I291" s="10">
        <v>1</v>
      </c>
      <c r="J291" s="13" t="s">
        <v>30</v>
      </c>
      <c r="K291" s="13">
        <v>31797</v>
      </c>
      <c r="L291" s="3" t="s">
        <v>61</v>
      </c>
      <c r="M291" s="16" t="s">
        <v>842</v>
      </c>
      <c r="N291" s="4" t="s">
        <v>20</v>
      </c>
      <c r="O291" s="1" t="s">
        <v>20</v>
      </c>
      <c r="P291" s="1">
        <v>0</v>
      </c>
      <c r="Q291" s="28" t="s">
        <v>843</v>
      </c>
      <c r="R291" s="29" t="s">
        <v>844</v>
      </c>
      <c r="S291" s="17" t="s">
        <v>845</v>
      </c>
    </row>
    <row r="292" spans="1:19" ht="15.75" customHeight="1">
      <c r="A292" s="10">
        <v>213</v>
      </c>
      <c r="B292" s="10">
        <v>2020</v>
      </c>
      <c r="C292" s="11" t="s">
        <v>102</v>
      </c>
      <c r="D292" s="12">
        <v>44168</v>
      </c>
      <c r="E292" s="11" t="s">
        <v>20</v>
      </c>
      <c r="F292" s="1" t="s">
        <v>73</v>
      </c>
      <c r="G292" s="10">
        <v>1</v>
      </c>
      <c r="H292" s="10">
        <v>2</v>
      </c>
      <c r="I292" s="10">
        <v>1</v>
      </c>
      <c r="J292" s="13" t="s">
        <v>30</v>
      </c>
      <c r="K292" s="13">
        <v>30646</v>
      </c>
      <c r="L292" s="14" t="s">
        <v>61</v>
      </c>
      <c r="M292" s="16" t="s">
        <v>807</v>
      </c>
      <c r="N292" s="36" t="s">
        <v>33</v>
      </c>
      <c r="O292" s="1" t="s">
        <v>20</v>
      </c>
      <c r="P292" s="1">
        <v>0</v>
      </c>
      <c r="Q292" s="28" t="s">
        <v>846</v>
      </c>
      <c r="R292" s="15" t="s">
        <v>23</v>
      </c>
      <c r="S292" s="17" t="s">
        <v>847</v>
      </c>
    </row>
    <row r="293" spans="1:19" ht="15.75" customHeight="1">
      <c r="A293" s="10">
        <v>213</v>
      </c>
      <c r="B293" s="10">
        <v>2020</v>
      </c>
      <c r="C293" s="11" t="s">
        <v>102</v>
      </c>
      <c r="D293" s="12">
        <v>44168</v>
      </c>
      <c r="E293" s="11" t="s">
        <v>20</v>
      </c>
      <c r="F293" s="1" t="s">
        <v>73</v>
      </c>
      <c r="G293" s="10">
        <v>1</v>
      </c>
      <c r="H293" s="10">
        <v>2</v>
      </c>
      <c r="I293" s="10">
        <v>2</v>
      </c>
      <c r="J293" s="13" t="s">
        <v>30</v>
      </c>
      <c r="K293" s="13">
        <v>31746</v>
      </c>
      <c r="L293" s="14" t="s">
        <v>61</v>
      </c>
      <c r="M293" s="16" t="s">
        <v>808</v>
      </c>
      <c r="N293" s="36" t="s">
        <v>33</v>
      </c>
      <c r="O293" s="1" t="s">
        <v>23</v>
      </c>
      <c r="P293" s="1" t="s">
        <v>23</v>
      </c>
      <c r="Q293" s="20" t="s">
        <v>23</v>
      </c>
      <c r="R293" s="15" t="s">
        <v>23</v>
      </c>
      <c r="S293" s="20" t="s">
        <v>23</v>
      </c>
    </row>
    <row r="294" spans="1:19" ht="15.75" customHeight="1">
      <c r="A294" s="10">
        <v>214</v>
      </c>
      <c r="B294" s="10">
        <v>2020</v>
      </c>
      <c r="C294" s="11" t="s">
        <v>102</v>
      </c>
      <c r="D294" s="12">
        <v>44168</v>
      </c>
      <c r="E294" s="11" t="s">
        <v>33</v>
      </c>
      <c r="F294" s="6" t="s">
        <v>777</v>
      </c>
      <c r="G294" s="10">
        <v>3</v>
      </c>
      <c r="H294" s="10">
        <v>3</v>
      </c>
      <c r="I294" s="10">
        <v>1</v>
      </c>
      <c r="J294" s="13" t="s">
        <v>30</v>
      </c>
      <c r="K294" s="13">
        <v>31753</v>
      </c>
      <c r="L294" s="3" t="s">
        <v>31</v>
      </c>
      <c r="M294" s="16" t="s">
        <v>778</v>
      </c>
      <c r="N294" s="36" t="s">
        <v>33</v>
      </c>
      <c r="O294" s="1" t="s">
        <v>20</v>
      </c>
      <c r="P294" s="1">
        <v>0</v>
      </c>
      <c r="Q294" s="28" t="s">
        <v>848</v>
      </c>
      <c r="R294" s="15" t="s">
        <v>23</v>
      </c>
      <c r="S294" s="24" t="s">
        <v>849</v>
      </c>
    </row>
    <row r="295" spans="1:19" ht="15.75" customHeight="1">
      <c r="A295" s="10">
        <v>214</v>
      </c>
      <c r="B295" s="10">
        <v>2020</v>
      </c>
      <c r="C295" s="11" t="s">
        <v>102</v>
      </c>
      <c r="D295" s="12">
        <v>44168</v>
      </c>
      <c r="E295" s="11" t="s">
        <v>33</v>
      </c>
      <c r="F295" s="6" t="s">
        <v>777</v>
      </c>
      <c r="G295" s="10">
        <v>3</v>
      </c>
      <c r="H295" s="10">
        <v>3</v>
      </c>
      <c r="I295" s="10">
        <v>2</v>
      </c>
      <c r="J295" s="13" t="s">
        <v>30</v>
      </c>
      <c r="K295" s="13">
        <v>31754</v>
      </c>
      <c r="L295" s="3" t="s">
        <v>31</v>
      </c>
      <c r="M295" s="16" t="s">
        <v>782</v>
      </c>
      <c r="N295" s="36" t="s">
        <v>33</v>
      </c>
      <c r="O295" s="1" t="s">
        <v>23</v>
      </c>
      <c r="P295" s="1" t="s">
        <v>23</v>
      </c>
      <c r="Q295" s="20" t="s">
        <v>23</v>
      </c>
      <c r="R295" s="15" t="s">
        <v>23</v>
      </c>
      <c r="S295" s="20" t="s">
        <v>23</v>
      </c>
    </row>
    <row r="296" spans="1:19" ht="15.75" customHeight="1">
      <c r="A296" s="10">
        <v>214</v>
      </c>
      <c r="B296" s="10">
        <v>2020</v>
      </c>
      <c r="C296" s="11" t="s">
        <v>102</v>
      </c>
      <c r="D296" s="12">
        <v>44168</v>
      </c>
      <c r="E296" s="11" t="s">
        <v>33</v>
      </c>
      <c r="F296" s="6" t="s">
        <v>777</v>
      </c>
      <c r="G296" s="10">
        <v>3</v>
      </c>
      <c r="H296" s="10">
        <v>3</v>
      </c>
      <c r="I296" s="10">
        <v>3</v>
      </c>
      <c r="J296" s="13" t="s">
        <v>30</v>
      </c>
      <c r="K296" s="13">
        <v>31755</v>
      </c>
      <c r="L296" s="3" t="s">
        <v>31</v>
      </c>
      <c r="M296" s="16" t="s">
        <v>783</v>
      </c>
      <c r="N296" s="36" t="s">
        <v>33</v>
      </c>
      <c r="O296" s="1" t="s">
        <v>23</v>
      </c>
      <c r="P296" s="1" t="s">
        <v>23</v>
      </c>
      <c r="Q296" s="20" t="s">
        <v>23</v>
      </c>
      <c r="R296" s="15" t="s">
        <v>23</v>
      </c>
      <c r="S296" s="20" t="s">
        <v>23</v>
      </c>
    </row>
    <row r="297" spans="1:19" ht="15.75" customHeight="1">
      <c r="A297" s="10">
        <v>215</v>
      </c>
      <c r="B297" s="10">
        <v>2020</v>
      </c>
      <c r="C297" s="11" t="s">
        <v>102</v>
      </c>
      <c r="D297" s="12">
        <v>44174</v>
      </c>
      <c r="E297" s="11" t="s">
        <v>33</v>
      </c>
      <c r="F297" s="6" t="s">
        <v>98</v>
      </c>
      <c r="G297" s="10">
        <v>2</v>
      </c>
      <c r="H297" s="10">
        <v>1</v>
      </c>
      <c r="I297" s="10">
        <v>1</v>
      </c>
      <c r="J297" s="13" t="s">
        <v>30</v>
      </c>
      <c r="K297" s="13">
        <v>31862</v>
      </c>
      <c r="L297" s="3" t="s">
        <v>31</v>
      </c>
      <c r="M297" s="16" t="s">
        <v>850</v>
      </c>
      <c r="N297" s="4" t="s">
        <v>33</v>
      </c>
      <c r="O297" s="1" t="s">
        <v>20</v>
      </c>
      <c r="P297" s="1">
        <v>0</v>
      </c>
      <c r="Q297" s="28" t="s">
        <v>851</v>
      </c>
      <c r="R297" s="38" t="s">
        <v>852</v>
      </c>
      <c r="S297" s="17" t="s">
        <v>853</v>
      </c>
    </row>
    <row r="298" spans="1:19" ht="15.75" customHeight="1">
      <c r="A298" s="10">
        <v>216</v>
      </c>
      <c r="B298" s="10">
        <v>2020</v>
      </c>
      <c r="C298" s="11" t="s">
        <v>102</v>
      </c>
      <c r="D298" s="12">
        <v>44175</v>
      </c>
      <c r="E298" s="11" t="s">
        <v>20</v>
      </c>
      <c r="F298" s="1" t="s">
        <v>39</v>
      </c>
      <c r="G298" s="10">
        <v>1</v>
      </c>
      <c r="H298" s="10">
        <v>2</v>
      </c>
      <c r="I298" s="10">
        <v>1</v>
      </c>
      <c r="J298" s="13" t="s">
        <v>22</v>
      </c>
      <c r="K298" s="4" t="s">
        <v>23</v>
      </c>
      <c r="L298" s="3" t="s">
        <v>23</v>
      </c>
      <c r="M298" s="16" t="s">
        <v>854</v>
      </c>
      <c r="N298" s="11" t="s">
        <v>23</v>
      </c>
      <c r="O298" s="1" t="s">
        <v>33</v>
      </c>
      <c r="P298" s="6">
        <v>2</v>
      </c>
      <c r="Q298" s="32" t="s">
        <v>855</v>
      </c>
      <c r="R298" s="29" t="s">
        <v>856</v>
      </c>
      <c r="S298" s="17" t="s">
        <v>857</v>
      </c>
    </row>
    <row r="299" spans="1:19" ht="15.75" customHeight="1">
      <c r="A299" s="10">
        <v>216</v>
      </c>
      <c r="B299" s="10">
        <v>2020</v>
      </c>
      <c r="C299" s="11" t="s">
        <v>102</v>
      </c>
      <c r="D299" s="12">
        <v>44175</v>
      </c>
      <c r="E299" s="11" t="s">
        <v>20</v>
      </c>
      <c r="F299" s="1" t="s">
        <v>39</v>
      </c>
      <c r="G299" s="10">
        <v>1</v>
      </c>
      <c r="H299" s="10">
        <v>2</v>
      </c>
      <c r="I299" s="10">
        <v>2</v>
      </c>
      <c r="J299" s="13" t="s">
        <v>71</v>
      </c>
      <c r="K299" s="13">
        <v>31525</v>
      </c>
      <c r="L299" s="3" t="s">
        <v>61</v>
      </c>
      <c r="M299" s="16" t="s">
        <v>858</v>
      </c>
      <c r="N299" s="4" t="s">
        <v>20</v>
      </c>
      <c r="O299" s="1" t="s">
        <v>23</v>
      </c>
      <c r="P299" s="1" t="s">
        <v>23</v>
      </c>
      <c r="Q299" s="7" t="s">
        <v>23</v>
      </c>
      <c r="R299" s="15" t="s">
        <v>23</v>
      </c>
      <c r="S299" s="20" t="s">
        <v>23</v>
      </c>
    </row>
    <row r="300" spans="1:19" ht="15.75" customHeight="1">
      <c r="A300" s="10">
        <v>217</v>
      </c>
      <c r="B300" s="10">
        <v>2020</v>
      </c>
      <c r="C300" s="11" t="s">
        <v>102</v>
      </c>
      <c r="D300" s="12">
        <v>44175</v>
      </c>
      <c r="E300" s="11" t="s">
        <v>33</v>
      </c>
      <c r="F300" s="6" t="s">
        <v>60</v>
      </c>
      <c r="G300" s="10">
        <v>2</v>
      </c>
      <c r="H300" s="10">
        <v>3</v>
      </c>
      <c r="I300" s="10">
        <v>1</v>
      </c>
      <c r="J300" s="13" t="s">
        <v>30</v>
      </c>
      <c r="K300" s="13">
        <v>30646</v>
      </c>
      <c r="L300" s="14" t="s">
        <v>61</v>
      </c>
      <c r="M300" s="16" t="s">
        <v>807</v>
      </c>
      <c r="N300" s="36" t="s">
        <v>33</v>
      </c>
      <c r="O300" s="1" t="s">
        <v>20</v>
      </c>
      <c r="P300" s="1">
        <v>0</v>
      </c>
      <c r="Q300" s="28" t="s">
        <v>859</v>
      </c>
      <c r="R300" s="38" t="s">
        <v>860</v>
      </c>
      <c r="S300" s="17" t="s">
        <v>861</v>
      </c>
    </row>
    <row r="301" spans="1:19" ht="15.75" customHeight="1">
      <c r="A301" s="10">
        <v>217</v>
      </c>
      <c r="B301" s="10">
        <v>2020</v>
      </c>
      <c r="C301" s="11" t="s">
        <v>102</v>
      </c>
      <c r="D301" s="12">
        <v>44175</v>
      </c>
      <c r="E301" s="11" t="s">
        <v>33</v>
      </c>
      <c r="F301" s="6" t="s">
        <v>60</v>
      </c>
      <c r="G301" s="10">
        <v>2</v>
      </c>
      <c r="H301" s="10">
        <v>3</v>
      </c>
      <c r="I301" s="10">
        <v>2</v>
      </c>
      <c r="J301" s="13" t="s">
        <v>30</v>
      </c>
      <c r="K301" s="13">
        <v>31746</v>
      </c>
      <c r="L301" s="14" t="s">
        <v>61</v>
      </c>
      <c r="M301" s="16" t="s">
        <v>808</v>
      </c>
      <c r="N301" s="4" t="s">
        <v>33</v>
      </c>
      <c r="O301" s="1" t="s">
        <v>23</v>
      </c>
      <c r="P301" s="1" t="s">
        <v>23</v>
      </c>
      <c r="Q301" s="7" t="s">
        <v>23</v>
      </c>
      <c r="R301" s="15" t="s">
        <v>23</v>
      </c>
      <c r="S301" s="20" t="s">
        <v>23</v>
      </c>
    </row>
    <row r="302" spans="1:19" ht="15.75" customHeight="1">
      <c r="A302" s="10">
        <v>217</v>
      </c>
      <c r="B302" s="10">
        <v>2020</v>
      </c>
      <c r="C302" s="11" t="s">
        <v>102</v>
      </c>
      <c r="D302" s="12">
        <v>44175</v>
      </c>
      <c r="E302" s="11" t="s">
        <v>33</v>
      </c>
      <c r="F302" s="6" t="s">
        <v>60</v>
      </c>
      <c r="G302" s="10">
        <v>2</v>
      </c>
      <c r="H302" s="10">
        <v>3</v>
      </c>
      <c r="I302" s="10">
        <v>3</v>
      </c>
      <c r="J302" s="13" t="s">
        <v>30</v>
      </c>
      <c r="K302" s="13">
        <v>31817</v>
      </c>
      <c r="L302" s="3" t="s">
        <v>31</v>
      </c>
      <c r="M302" s="16" t="s">
        <v>862</v>
      </c>
      <c r="N302" s="36" t="s">
        <v>20</v>
      </c>
      <c r="O302" s="1" t="s">
        <v>23</v>
      </c>
      <c r="P302" s="1" t="s">
        <v>23</v>
      </c>
      <c r="Q302" s="7" t="s">
        <v>23</v>
      </c>
      <c r="R302" s="15" t="s">
        <v>23</v>
      </c>
      <c r="S302" s="20" t="s">
        <v>23</v>
      </c>
    </row>
    <row r="303" spans="1:19" ht="15.75" customHeight="1">
      <c r="A303" s="10">
        <v>218</v>
      </c>
      <c r="B303" s="10">
        <v>2020</v>
      </c>
      <c r="C303" s="11" t="s">
        <v>102</v>
      </c>
      <c r="D303" s="12">
        <v>44175</v>
      </c>
      <c r="E303" s="11" t="s">
        <v>33</v>
      </c>
      <c r="F303" s="6" t="s">
        <v>98</v>
      </c>
      <c r="G303" s="10">
        <v>2</v>
      </c>
      <c r="H303" s="10">
        <v>2</v>
      </c>
      <c r="I303" s="10">
        <v>1</v>
      </c>
      <c r="J303" s="13" t="s">
        <v>30</v>
      </c>
      <c r="K303" s="13">
        <v>31911</v>
      </c>
      <c r="L303" s="3" t="s">
        <v>31</v>
      </c>
      <c r="M303" s="16" t="s">
        <v>837</v>
      </c>
      <c r="N303" s="36" t="s">
        <v>20</v>
      </c>
      <c r="O303" s="1" t="s">
        <v>20</v>
      </c>
      <c r="P303" s="1">
        <v>0</v>
      </c>
      <c r="Q303" s="28" t="s">
        <v>863</v>
      </c>
      <c r="R303" s="15" t="s">
        <v>23</v>
      </c>
      <c r="S303" s="17" t="s">
        <v>864</v>
      </c>
    </row>
    <row r="304" spans="1:19" ht="15.75" customHeight="1">
      <c r="A304" s="10">
        <v>218</v>
      </c>
      <c r="B304" s="10">
        <v>2020</v>
      </c>
      <c r="C304" s="11" t="s">
        <v>102</v>
      </c>
      <c r="D304" s="12">
        <v>44175</v>
      </c>
      <c r="E304" s="11" t="s">
        <v>33</v>
      </c>
      <c r="F304" s="6" t="s">
        <v>98</v>
      </c>
      <c r="G304" s="10">
        <v>2</v>
      </c>
      <c r="H304" s="10">
        <v>2</v>
      </c>
      <c r="I304" s="10">
        <v>2</v>
      </c>
      <c r="J304" s="13" t="s">
        <v>30</v>
      </c>
      <c r="K304" s="13">
        <v>31912</v>
      </c>
      <c r="L304" s="3" t="s">
        <v>31</v>
      </c>
      <c r="M304" s="16" t="s">
        <v>840</v>
      </c>
      <c r="N304" s="36" t="s">
        <v>20</v>
      </c>
      <c r="O304" s="1" t="s">
        <v>23</v>
      </c>
      <c r="P304" s="1" t="s">
        <v>23</v>
      </c>
      <c r="Q304" s="20" t="s">
        <v>23</v>
      </c>
      <c r="R304" s="15" t="s">
        <v>23</v>
      </c>
      <c r="S304" s="20" t="s">
        <v>23</v>
      </c>
    </row>
    <row r="305" spans="1:19" ht="15.75" customHeight="1">
      <c r="A305" s="10">
        <v>219</v>
      </c>
      <c r="B305" s="10">
        <v>2020</v>
      </c>
      <c r="C305" s="11" t="s">
        <v>102</v>
      </c>
      <c r="D305" s="12">
        <v>44180</v>
      </c>
      <c r="E305" s="11" t="s">
        <v>20</v>
      </c>
      <c r="F305" s="1" t="s">
        <v>26</v>
      </c>
      <c r="G305" s="10">
        <v>1</v>
      </c>
      <c r="H305" s="10">
        <v>1</v>
      </c>
      <c r="I305" s="10">
        <v>1</v>
      </c>
      <c r="J305" s="13" t="s">
        <v>22</v>
      </c>
      <c r="K305" s="4" t="s">
        <v>23</v>
      </c>
      <c r="L305" s="14" t="s">
        <v>23</v>
      </c>
      <c r="M305" s="15" t="s">
        <v>865</v>
      </c>
      <c r="N305" s="11" t="s">
        <v>23</v>
      </c>
      <c r="O305" s="1" t="s">
        <v>33</v>
      </c>
      <c r="P305" s="1">
        <v>1</v>
      </c>
      <c r="Q305" s="32" t="s">
        <v>866</v>
      </c>
      <c r="R305" s="29" t="s">
        <v>867</v>
      </c>
      <c r="S305" s="17" t="s">
        <v>868</v>
      </c>
    </row>
    <row r="306" spans="1:19" ht="15.75" customHeight="1">
      <c r="A306" s="10">
        <v>220</v>
      </c>
      <c r="B306" s="10">
        <v>2020</v>
      </c>
      <c r="C306" s="11" t="s">
        <v>102</v>
      </c>
      <c r="D306" s="12">
        <v>44180</v>
      </c>
      <c r="E306" s="11" t="s">
        <v>33</v>
      </c>
      <c r="F306" s="6" t="s">
        <v>60</v>
      </c>
      <c r="G306" s="10">
        <v>2</v>
      </c>
      <c r="H306" s="10">
        <v>1</v>
      </c>
      <c r="I306" s="10">
        <v>1</v>
      </c>
      <c r="J306" s="13" t="s">
        <v>30</v>
      </c>
      <c r="K306" s="13">
        <v>31817</v>
      </c>
      <c r="L306" s="3" t="s">
        <v>31</v>
      </c>
      <c r="M306" s="16" t="s">
        <v>869</v>
      </c>
      <c r="N306" s="36" t="s">
        <v>33</v>
      </c>
      <c r="O306" s="1" t="s">
        <v>20</v>
      </c>
      <c r="P306" s="1">
        <v>0</v>
      </c>
      <c r="Q306" s="28" t="s">
        <v>870</v>
      </c>
      <c r="R306" s="38" t="s">
        <v>871</v>
      </c>
      <c r="S306" s="24" t="s">
        <v>872</v>
      </c>
    </row>
    <row r="307" spans="1:19" ht="15.75" customHeight="1">
      <c r="A307" s="10">
        <v>221</v>
      </c>
      <c r="B307" s="10">
        <v>2020</v>
      </c>
      <c r="C307" s="11" t="s">
        <v>102</v>
      </c>
      <c r="D307" s="12">
        <v>44180</v>
      </c>
      <c r="E307" s="11" t="s">
        <v>20</v>
      </c>
      <c r="F307" s="1" t="s">
        <v>21</v>
      </c>
      <c r="G307" s="10">
        <v>1</v>
      </c>
      <c r="H307" s="10">
        <v>2</v>
      </c>
      <c r="I307" s="10">
        <v>1</v>
      </c>
      <c r="J307" s="13" t="s">
        <v>30</v>
      </c>
      <c r="K307" s="13">
        <v>31707</v>
      </c>
      <c r="L307" s="14" t="s">
        <v>61</v>
      </c>
      <c r="M307" s="16" t="s">
        <v>832</v>
      </c>
      <c r="N307" s="36" t="s">
        <v>20</v>
      </c>
      <c r="O307" s="1" t="s">
        <v>33</v>
      </c>
      <c r="P307" s="1">
        <v>10</v>
      </c>
      <c r="Q307" s="28" t="s">
        <v>873</v>
      </c>
      <c r="R307" s="15" t="s">
        <v>23</v>
      </c>
      <c r="S307" s="17" t="s">
        <v>874</v>
      </c>
    </row>
    <row r="308" spans="1:19" ht="15.75" customHeight="1">
      <c r="A308" s="10">
        <v>221</v>
      </c>
      <c r="B308" s="10">
        <v>2020</v>
      </c>
      <c r="C308" s="11" t="s">
        <v>102</v>
      </c>
      <c r="D308" s="12">
        <v>44180</v>
      </c>
      <c r="E308" s="11" t="s">
        <v>20</v>
      </c>
      <c r="F308" s="1" t="s">
        <v>21</v>
      </c>
      <c r="G308" s="10">
        <v>1</v>
      </c>
      <c r="H308" s="10">
        <v>2</v>
      </c>
      <c r="I308" s="10">
        <v>2</v>
      </c>
      <c r="J308" s="13" t="s">
        <v>30</v>
      </c>
      <c r="K308" s="13">
        <v>31749</v>
      </c>
      <c r="L308" s="3" t="s">
        <v>61</v>
      </c>
      <c r="M308" s="16" t="s">
        <v>875</v>
      </c>
      <c r="N308" s="4" t="s">
        <v>33</v>
      </c>
      <c r="O308" s="1" t="s">
        <v>23</v>
      </c>
      <c r="P308" s="1" t="s">
        <v>23</v>
      </c>
      <c r="Q308" s="20" t="s">
        <v>23</v>
      </c>
      <c r="R308" s="15" t="s">
        <v>23</v>
      </c>
      <c r="S308" s="20" t="s">
        <v>23</v>
      </c>
    </row>
    <row r="309" spans="1:19" ht="15.75" customHeight="1">
      <c r="A309" s="10">
        <v>222</v>
      </c>
      <c r="B309" s="10">
        <v>2020</v>
      </c>
      <c r="C309" s="11" t="s">
        <v>102</v>
      </c>
      <c r="D309" s="12">
        <v>44180</v>
      </c>
      <c r="E309" s="11" t="s">
        <v>33</v>
      </c>
      <c r="F309" s="6" t="s">
        <v>98</v>
      </c>
      <c r="G309" s="10">
        <v>2</v>
      </c>
      <c r="H309" s="10">
        <v>2</v>
      </c>
      <c r="I309" s="10">
        <v>1</v>
      </c>
      <c r="J309" s="13" t="s">
        <v>30</v>
      </c>
      <c r="K309" s="13">
        <v>31911</v>
      </c>
      <c r="L309" s="3" t="s">
        <v>31</v>
      </c>
      <c r="M309" s="16" t="s">
        <v>837</v>
      </c>
      <c r="N309" s="36" t="s">
        <v>20</v>
      </c>
      <c r="O309" s="1" t="s">
        <v>20</v>
      </c>
      <c r="P309" s="1">
        <v>0</v>
      </c>
      <c r="Q309" s="28" t="s">
        <v>876</v>
      </c>
      <c r="R309" s="38" t="s">
        <v>877</v>
      </c>
      <c r="S309" s="24" t="s">
        <v>878</v>
      </c>
    </row>
    <row r="310" spans="1:19" ht="15.75" customHeight="1">
      <c r="A310" s="10">
        <v>222</v>
      </c>
      <c r="B310" s="10">
        <v>2020</v>
      </c>
      <c r="C310" s="11" t="s">
        <v>102</v>
      </c>
      <c r="D310" s="12">
        <v>44180</v>
      </c>
      <c r="E310" s="11" t="s">
        <v>33</v>
      </c>
      <c r="F310" s="6" t="s">
        <v>98</v>
      </c>
      <c r="G310" s="10">
        <v>2</v>
      </c>
      <c r="H310" s="10">
        <v>2</v>
      </c>
      <c r="I310" s="10">
        <v>2</v>
      </c>
      <c r="J310" s="13" t="s">
        <v>30</v>
      </c>
      <c r="K310" s="13">
        <v>31912</v>
      </c>
      <c r="L310" s="3" t="s">
        <v>31</v>
      </c>
      <c r="M310" s="16" t="s">
        <v>840</v>
      </c>
      <c r="N310" s="36" t="s">
        <v>20</v>
      </c>
      <c r="O310" s="1" t="s">
        <v>23</v>
      </c>
      <c r="P310" s="1" t="s">
        <v>23</v>
      </c>
      <c r="Q310" s="20" t="s">
        <v>23</v>
      </c>
      <c r="R310" s="15" t="s">
        <v>23</v>
      </c>
      <c r="S310" s="20" t="s">
        <v>23</v>
      </c>
    </row>
    <row r="311" spans="1:19" ht="15.75" customHeight="1">
      <c r="A311" s="10">
        <v>223</v>
      </c>
      <c r="B311" s="10">
        <v>2020</v>
      </c>
      <c r="C311" s="11" t="s">
        <v>102</v>
      </c>
      <c r="D311" s="12">
        <v>44181</v>
      </c>
      <c r="E311" s="11" t="s">
        <v>20</v>
      </c>
      <c r="F311" s="1" t="s">
        <v>73</v>
      </c>
      <c r="G311" s="10">
        <v>1</v>
      </c>
      <c r="H311" s="10">
        <v>1</v>
      </c>
      <c r="I311" s="10">
        <v>1</v>
      </c>
      <c r="J311" s="13" t="s">
        <v>85</v>
      </c>
      <c r="K311" s="4">
        <v>31968</v>
      </c>
      <c r="L311" s="14" t="s">
        <v>61</v>
      </c>
      <c r="M311" s="16" t="s">
        <v>879</v>
      </c>
      <c r="N311" s="36" t="s">
        <v>20</v>
      </c>
      <c r="O311" s="1" t="s">
        <v>33</v>
      </c>
      <c r="P311" s="1">
        <v>1</v>
      </c>
      <c r="Q311" s="28" t="s">
        <v>880</v>
      </c>
      <c r="R311" s="15" t="s">
        <v>23</v>
      </c>
      <c r="S311" s="17" t="s">
        <v>881</v>
      </c>
    </row>
    <row r="312" spans="1:19" ht="15.75" customHeight="1">
      <c r="A312" s="10">
        <v>224</v>
      </c>
      <c r="B312" s="10">
        <v>2020</v>
      </c>
      <c r="C312" s="11" t="s">
        <v>102</v>
      </c>
      <c r="D312" s="12">
        <v>44182</v>
      </c>
      <c r="E312" s="11" t="s">
        <v>20</v>
      </c>
      <c r="F312" s="1" t="s">
        <v>55</v>
      </c>
      <c r="G312" s="10">
        <v>1</v>
      </c>
      <c r="H312" s="10">
        <v>1</v>
      </c>
      <c r="I312" s="10">
        <v>1</v>
      </c>
      <c r="J312" s="13" t="s">
        <v>30</v>
      </c>
      <c r="K312" s="13">
        <v>31988</v>
      </c>
      <c r="L312" s="3" t="s">
        <v>31</v>
      </c>
      <c r="M312" s="16" t="s">
        <v>882</v>
      </c>
      <c r="N312" s="36" t="s">
        <v>20</v>
      </c>
      <c r="O312" s="1" t="s">
        <v>20</v>
      </c>
      <c r="P312" s="1">
        <v>0</v>
      </c>
      <c r="Q312" s="28" t="s">
        <v>883</v>
      </c>
      <c r="R312" s="29" t="s">
        <v>884</v>
      </c>
      <c r="S312" s="17" t="s">
        <v>885</v>
      </c>
    </row>
    <row r="313" spans="1:19" ht="15.75" customHeight="1">
      <c r="A313" s="10">
        <v>225</v>
      </c>
      <c r="B313" s="10">
        <v>2020</v>
      </c>
      <c r="C313" s="11" t="s">
        <v>102</v>
      </c>
      <c r="D313" s="12">
        <v>44182</v>
      </c>
      <c r="E313" s="11" t="s">
        <v>20</v>
      </c>
      <c r="F313" s="1" t="s">
        <v>28</v>
      </c>
      <c r="G313" s="10">
        <v>1</v>
      </c>
      <c r="H313" s="10">
        <v>2</v>
      </c>
      <c r="I313" s="10">
        <v>1</v>
      </c>
      <c r="J313" s="13" t="s">
        <v>30</v>
      </c>
      <c r="K313" s="13">
        <v>31990</v>
      </c>
      <c r="L313" s="3" t="s">
        <v>31</v>
      </c>
      <c r="M313" s="16" t="s">
        <v>886</v>
      </c>
      <c r="N313" s="36" t="s">
        <v>20</v>
      </c>
      <c r="O313" s="1" t="s">
        <v>20</v>
      </c>
      <c r="P313" s="1">
        <v>0</v>
      </c>
      <c r="Q313" s="28" t="s">
        <v>887</v>
      </c>
      <c r="R313" s="15" t="s">
        <v>23</v>
      </c>
      <c r="S313" s="17" t="s">
        <v>888</v>
      </c>
    </row>
    <row r="314" spans="1:19" ht="15.75" customHeight="1">
      <c r="A314" s="10">
        <v>225</v>
      </c>
      <c r="B314" s="10">
        <v>2020</v>
      </c>
      <c r="C314" s="11" t="s">
        <v>102</v>
      </c>
      <c r="D314" s="12">
        <v>44182</v>
      </c>
      <c r="E314" s="11" t="s">
        <v>20</v>
      </c>
      <c r="F314" s="1" t="s">
        <v>28</v>
      </c>
      <c r="G314" s="10">
        <v>1</v>
      </c>
      <c r="H314" s="10">
        <v>2</v>
      </c>
      <c r="I314" s="10">
        <v>2</v>
      </c>
      <c r="J314" s="13" t="s">
        <v>30</v>
      </c>
      <c r="K314" s="13">
        <v>31991</v>
      </c>
      <c r="L314" s="3" t="s">
        <v>31</v>
      </c>
      <c r="M314" s="16" t="s">
        <v>889</v>
      </c>
      <c r="N314" s="36" t="s">
        <v>20</v>
      </c>
      <c r="O314" s="1" t="s">
        <v>23</v>
      </c>
      <c r="P314" s="1" t="s">
        <v>23</v>
      </c>
      <c r="Q314" s="7" t="s">
        <v>23</v>
      </c>
      <c r="R314" s="15" t="s">
        <v>23</v>
      </c>
      <c r="S314" s="20" t="s">
        <v>23</v>
      </c>
    </row>
    <row r="315" spans="1:19" ht="15.75" customHeight="1">
      <c r="A315" s="10">
        <v>226</v>
      </c>
      <c r="B315" s="10">
        <v>2020</v>
      </c>
      <c r="C315" s="11" t="s">
        <v>102</v>
      </c>
      <c r="D315" s="12">
        <v>44182</v>
      </c>
      <c r="E315" s="11" t="s">
        <v>33</v>
      </c>
      <c r="F315" s="6" t="s">
        <v>98</v>
      </c>
      <c r="G315" s="10">
        <v>2</v>
      </c>
      <c r="H315" s="10">
        <v>2</v>
      </c>
      <c r="I315" s="10">
        <v>1</v>
      </c>
      <c r="J315" s="13" t="s">
        <v>30</v>
      </c>
      <c r="K315" s="13">
        <v>31911</v>
      </c>
      <c r="L315" s="3" t="s">
        <v>31</v>
      </c>
      <c r="M315" s="16" t="s">
        <v>837</v>
      </c>
      <c r="N315" s="36" t="s">
        <v>20</v>
      </c>
      <c r="O315" s="1" t="s">
        <v>20</v>
      </c>
      <c r="P315" s="1">
        <v>0</v>
      </c>
      <c r="Q315" s="28" t="s">
        <v>890</v>
      </c>
      <c r="R315" s="15" t="s">
        <v>23</v>
      </c>
      <c r="S315" s="17" t="s">
        <v>891</v>
      </c>
    </row>
    <row r="316" spans="1:19" ht="15.75" customHeight="1">
      <c r="A316" s="10">
        <v>226</v>
      </c>
      <c r="B316" s="10">
        <v>2020</v>
      </c>
      <c r="C316" s="11" t="s">
        <v>102</v>
      </c>
      <c r="D316" s="12">
        <v>44182</v>
      </c>
      <c r="E316" s="11" t="s">
        <v>33</v>
      </c>
      <c r="F316" s="6" t="s">
        <v>98</v>
      </c>
      <c r="G316" s="10">
        <v>2</v>
      </c>
      <c r="H316" s="10">
        <v>2</v>
      </c>
      <c r="I316" s="10">
        <v>2</v>
      </c>
      <c r="J316" s="13" t="s">
        <v>30</v>
      </c>
      <c r="K316" s="13">
        <v>31912</v>
      </c>
      <c r="L316" s="3" t="s">
        <v>31</v>
      </c>
      <c r="M316" s="16" t="s">
        <v>840</v>
      </c>
      <c r="N316" s="36" t="s">
        <v>20</v>
      </c>
      <c r="O316" s="1" t="s">
        <v>23</v>
      </c>
      <c r="P316" s="1" t="s">
        <v>23</v>
      </c>
      <c r="Q316" s="20" t="s">
        <v>23</v>
      </c>
      <c r="R316" s="15" t="s">
        <v>23</v>
      </c>
      <c r="S316" s="20" t="s">
        <v>23</v>
      </c>
    </row>
    <row r="317" spans="1:19" ht="15.75" customHeight="1">
      <c r="A317" s="10">
        <v>227</v>
      </c>
      <c r="B317" s="10">
        <v>2020</v>
      </c>
      <c r="C317" s="11" t="s">
        <v>102</v>
      </c>
      <c r="D317" s="12">
        <v>44182</v>
      </c>
      <c r="E317" s="11" t="s">
        <v>20</v>
      </c>
      <c r="F317" s="1" t="s">
        <v>41</v>
      </c>
      <c r="G317" s="10">
        <v>1</v>
      </c>
      <c r="H317" s="10">
        <v>1</v>
      </c>
      <c r="I317" s="10">
        <v>1</v>
      </c>
      <c r="J317" s="13" t="s">
        <v>22</v>
      </c>
      <c r="K317" s="4" t="s">
        <v>23</v>
      </c>
      <c r="L317" s="14" t="s">
        <v>23</v>
      </c>
      <c r="M317" s="15" t="s">
        <v>892</v>
      </c>
      <c r="N317" s="11" t="s">
        <v>23</v>
      </c>
      <c r="O317" s="1" t="s">
        <v>33</v>
      </c>
      <c r="P317" s="1">
        <v>2</v>
      </c>
      <c r="Q317" s="7" t="s">
        <v>23</v>
      </c>
      <c r="R317" s="15" t="s">
        <v>23</v>
      </c>
      <c r="S317" s="17" t="s">
        <v>893</v>
      </c>
    </row>
    <row r="318" spans="1:19" ht="15.75" customHeight="1">
      <c r="A318" s="10">
        <v>228</v>
      </c>
      <c r="B318" s="10">
        <v>2020</v>
      </c>
      <c r="C318" s="11" t="s">
        <v>102</v>
      </c>
      <c r="D318" s="12">
        <v>44187</v>
      </c>
      <c r="E318" s="6" t="s">
        <v>33</v>
      </c>
      <c r="F318" s="6" t="s">
        <v>143</v>
      </c>
      <c r="G318" s="18">
        <v>2</v>
      </c>
      <c r="H318" s="10">
        <v>2</v>
      </c>
      <c r="I318" s="10">
        <v>1</v>
      </c>
      <c r="J318" s="13" t="s">
        <v>30</v>
      </c>
      <c r="K318" s="13">
        <v>31990</v>
      </c>
      <c r="L318" s="3" t="s">
        <v>31</v>
      </c>
      <c r="M318" s="16" t="s">
        <v>886</v>
      </c>
      <c r="N318" s="36" t="s">
        <v>33</v>
      </c>
      <c r="O318" s="1" t="s">
        <v>20</v>
      </c>
      <c r="P318" s="1">
        <v>0</v>
      </c>
      <c r="Q318" s="7" t="s">
        <v>23</v>
      </c>
      <c r="R318" s="29" t="s">
        <v>894</v>
      </c>
      <c r="S318" s="34" t="s">
        <v>895</v>
      </c>
    </row>
    <row r="319" spans="1:19" ht="15.75" customHeight="1">
      <c r="A319" s="10">
        <v>228</v>
      </c>
      <c r="B319" s="10">
        <v>2020</v>
      </c>
      <c r="C319" s="11" t="s">
        <v>102</v>
      </c>
      <c r="D319" s="12">
        <v>44187</v>
      </c>
      <c r="E319" s="6" t="s">
        <v>33</v>
      </c>
      <c r="F319" s="11" t="s">
        <v>143</v>
      </c>
      <c r="G319" s="18">
        <v>2</v>
      </c>
      <c r="H319" s="10">
        <v>2</v>
      </c>
      <c r="I319" s="10">
        <v>2</v>
      </c>
      <c r="J319" s="13" t="s">
        <v>30</v>
      </c>
      <c r="K319" s="13">
        <v>31991</v>
      </c>
      <c r="L319" s="3" t="s">
        <v>31</v>
      </c>
      <c r="M319" s="16" t="s">
        <v>889</v>
      </c>
      <c r="N319" s="36" t="s">
        <v>33</v>
      </c>
      <c r="O319" s="1" t="s">
        <v>23</v>
      </c>
      <c r="P319" s="1" t="s">
        <v>23</v>
      </c>
      <c r="Q319" s="7" t="s">
        <v>23</v>
      </c>
      <c r="R319" s="15" t="s">
        <v>23</v>
      </c>
      <c r="S319" s="20" t="s">
        <v>23</v>
      </c>
    </row>
    <row r="320" spans="1:19" ht="15.75" customHeight="1">
      <c r="A320" s="10">
        <v>229</v>
      </c>
      <c r="B320" s="10">
        <v>2020</v>
      </c>
      <c r="C320" s="11" t="s">
        <v>102</v>
      </c>
      <c r="D320" s="12">
        <v>44187</v>
      </c>
      <c r="E320" s="11" t="s">
        <v>33</v>
      </c>
      <c r="F320" s="6" t="s">
        <v>896</v>
      </c>
      <c r="G320" s="10">
        <v>4</v>
      </c>
      <c r="H320" s="10">
        <v>1</v>
      </c>
      <c r="I320" s="10">
        <v>1</v>
      </c>
      <c r="J320" s="13" t="s">
        <v>30</v>
      </c>
      <c r="K320" s="13">
        <v>31904</v>
      </c>
      <c r="L320" s="3" t="s">
        <v>31</v>
      </c>
      <c r="M320" s="16" t="s">
        <v>897</v>
      </c>
      <c r="N320" s="36" t="s">
        <v>20</v>
      </c>
      <c r="O320" s="1" t="s">
        <v>33</v>
      </c>
      <c r="P320" s="1">
        <v>1</v>
      </c>
      <c r="Q320" s="28" t="s">
        <v>898</v>
      </c>
      <c r="R320" s="29" t="s">
        <v>894</v>
      </c>
      <c r="S320" s="39" t="s">
        <v>899</v>
      </c>
    </row>
    <row r="321" spans="1:19" ht="15.75" customHeight="1">
      <c r="A321" s="10">
        <v>230</v>
      </c>
      <c r="B321" s="10">
        <v>2020</v>
      </c>
      <c r="C321" s="11" t="s">
        <v>102</v>
      </c>
      <c r="D321" s="12">
        <v>44187</v>
      </c>
      <c r="E321" s="11" t="s">
        <v>20</v>
      </c>
      <c r="F321" s="1" t="s">
        <v>55</v>
      </c>
      <c r="G321" s="10">
        <v>1</v>
      </c>
      <c r="H321" s="18">
        <v>3</v>
      </c>
      <c r="I321" s="10">
        <v>1</v>
      </c>
      <c r="J321" s="13" t="s">
        <v>30</v>
      </c>
      <c r="K321" s="13">
        <v>31988</v>
      </c>
      <c r="L321" s="3" t="s">
        <v>31</v>
      </c>
      <c r="M321" s="16" t="s">
        <v>882</v>
      </c>
      <c r="N321" s="36" t="s">
        <v>33</v>
      </c>
      <c r="O321" s="1" t="s">
        <v>20</v>
      </c>
      <c r="P321" s="1">
        <v>0</v>
      </c>
      <c r="Q321" s="32" t="s">
        <v>900</v>
      </c>
      <c r="R321" s="29" t="s">
        <v>901</v>
      </c>
      <c r="S321" s="34" t="s">
        <v>902</v>
      </c>
    </row>
    <row r="322" spans="1:19" ht="15.75" customHeight="1">
      <c r="A322" s="18">
        <v>231</v>
      </c>
      <c r="B322" s="10">
        <v>2020</v>
      </c>
      <c r="C322" s="11" t="s">
        <v>102</v>
      </c>
      <c r="D322" s="12">
        <v>44187</v>
      </c>
      <c r="E322" s="11" t="s">
        <v>33</v>
      </c>
      <c r="F322" s="6" t="s">
        <v>98</v>
      </c>
      <c r="G322" s="10">
        <v>2</v>
      </c>
      <c r="H322" s="10">
        <v>2</v>
      </c>
      <c r="I322" s="10">
        <v>1</v>
      </c>
      <c r="J322" s="13" t="s">
        <v>30</v>
      </c>
      <c r="K322" s="13">
        <v>31911</v>
      </c>
      <c r="L322" s="3" t="s">
        <v>31</v>
      </c>
      <c r="M322" s="16" t="s">
        <v>837</v>
      </c>
      <c r="N322" s="36" t="s">
        <v>33</v>
      </c>
      <c r="O322" s="1" t="s">
        <v>20</v>
      </c>
      <c r="P322" s="1">
        <v>0</v>
      </c>
      <c r="Q322" s="28" t="s">
        <v>903</v>
      </c>
      <c r="R322" s="29" t="s">
        <v>904</v>
      </c>
      <c r="S322" s="17" t="s">
        <v>905</v>
      </c>
    </row>
    <row r="323" spans="1:19" ht="15.75" customHeight="1">
      <c r="A323" s="18">
        <v>231</v>
      </c>
      <c r="B323" s="10">
        <v>2020</v>
      </c>
      <c r="C323" s="11" t="s">
        <v>102</v>
      </c>
      <c r="D323" s="12">
        <v>44187</v>
      </c>
      <c r="E323" s="11" t="s">
        <v>33</v>
      </c>
      <c r="F323" s="6" t="s">
        <v>98</v>
      </c>
      <c r="G323" s="10">
        <v>2</v>
      </c>
      <c r="H323" s="10">
        <v>2</v>
      </c>
      <c r="I323" s="10">
        <v>2</v>
      </c>
      <c r="J323" s="13" t="s">
        <v>30</v>
      </c>
      <c r="K323" s="13">
        <v>31912</v>
      </c>
      <c r="L323" s="3" t="s">
        <v>31</v>
      </c>
      <c r="M323" s="16" t="s">
        <v>840</v>
      </c>
      <c r="N323" s="36" t="s">
        <v>33</v>
      </c>
      <c r="O323" s="1" t="s">
        <v>23</v>
      </c>
      <c r="P323" s="1" t="s">
        <v>23</v>
      </c>
      <c r="Q323" s="20" t="s">
        <v>23</v>
      </c>
      <c r="R323" s="19" t="s">
        <v>23</v>
      </c>
      <c r="S323" s="20" t="s">
        <v>23</v>
      </c>
    </row>
    <row r="324" spans="1:19" ht="15.75" customHeight="1">
      <c r="A324" s="18">
        <v>232</v>
      </c>
      <c r="B324" s="10">
        <v>2020</v>
      </c>
      <c r="C324" s="11" t="s">
        <v>102</v>
      </c>
      <c r="D324" s="12">
        <v>44188</v>
      </c>
      <c r="E324" s="11" t="s">
        <v>33</v>
      </c>
      <c r="F324" s="6" t="s">
        <v>60</v>
      </c>
      <c r="G324" s="10">
        <v>2</v>
      </c>
      <c r="H324" s="10">
        <v>1</v>
      </c>
      <c r="I324" s="10">
        <v>1</v>
      </c>
      <c r="J324" s="13" t="s">
        <v>30</v>
      </c>
      <c r="K324" s="13">
        <v>31936</v>
      </c>
      <c r="L324" s="3" t="s">
        <v>31</v>
      </c>
      <c r="M324" s="16" t="s">
        <v>906</v>
      </c>
      <c r="N324" s="36" t="s">
        <v>20</v>
      </c>
      <c r="O324" s="1" t="s">
        <v>20</v>
      </c>
      <c r="P324" s="1">
        <v>0</v>
      </c>
      <c r="Q324" s="28" t="s">
        <v>907</v>
      </c>
      <c r="R324" s="29" t="s">
        <v>908</v>
      </c>
      <c r="S324" s="17" t="s">
        <v>909</v>
      </c>
    </row>
    <row r="325" spans="1:19" ht="15.75" customHeight="1">
      <c r="A325" s="18">
        <v>233</v>
      </c>
      <c r="B325" s="10">
        <v>2020</v>
      </c>
      <c r="C325" s="11" t="s">
        <v>102</v>
      </c>
      <c r="D325" s="12">
        <v>44194</v>
      </c>
      <c r="E325" s="11" t="s">
        <v>33</v>
      </c>
      <c r="F325" s="6" t="s">
        <v>676</v>
      </c>
      <c r="G325" s="10">
        <v>2</v>
      </c>
      <c r="H325" s="10">
        <v>1</v>
      </c>
      <c r="I325" s="10">
        <v>1</v>
      </c>
      <c r="J325" s="13" t="s">
        <v>30</v>
      </c>
      <c r="K325" s="13">
        <v>31411</v>
      </c>
      <c r="L325" s="14" t="s">
        <v>61</v>
      </c>
      <c r="M325" s="16" t="s">
        <v>910</v>
      </c>
      <c r="N325" s="40" t="s">
        <v>33</v>
      </c>
      <c r="O325" s="1" t="s">
        <v>20</v>
      </c>
      <c r="P325" s="1">
        <v>0</v>
      </c>
      <c r="Q325" s="28" t="s">
        <v>911</v>
      </c>
      <c r="R325" s="29" t="s">
        <v>912</v>
      </c>
      <c r="S325" s="24" t="s">
        <v>913</v>
      </c>
    </row>
    <row r="326" spans="1:19" ht="15.75" customHeight="1">
      <c r="A326" s="18">
        <v>234</v>
      </c>
      <c r="B326" s="10">
        <v>2020</v>
      </c>
      <c r="C326" s="11" t="s">
        <v>102</v>
      </c>
      <c r="D326" s="12">
        <v>44194</v>
      </c>
      <c r="E326" s="11" t="s">
        <v>33</v>
      </c>
      <c r="F326" s="6" t="s">
        <v>60</v>
      </c>
      <c r="G326" s="10">
        <v>2</v>
      </c>
      <c r="H326" s="10">
        <v>1</v>
      </c>
      <c r="I326" s="10">
        <v>1</v>
      </c>
      <c r="J326" s="13" t="s">
        <v>30</v>
      </c>
      <c r="K326" s="13">
        <v>31936</v>
      </c>
      <c r="L326" s="3" t="s">
        <v>31</v>
      </c>
      <c r="M326" s="16" t="s">
        <v>906</v>
      </c>
      <c r="N326" s="36" t="s">
        <v>33</v>
      </c>
      <c r="O326" s="1" t="s">
        <v>20</v>
      </c>
      <c r="P326" s="1">
        <v>0</v>
      </c>
      <c r="Q326" s="28" t="s">
        <v>914</v>
      </c>
      <c r="R326" s="29" t="s">
        <v>915</v>
      </c>
      <c r="S326" s="24" t="s">
        <v>916</v>
      </c>
    </row>
    <row r="327" spans="1:19" ht="15.75" customHeight="1">
      <c r="A327" s="18">
        <v>235</v>
      </c>
      <c r="B327" s="10">
        <v>2020</v>
      </c>
      <c r="C327" s="11" t="s">
        <v>102</v>
      </c>
      <c r="D327" s="12">
        <v>44194</v>
      </c>
      <c r="E327" s="11" t="s">
        <v>20</v>
      </c>
      <c r="F327" s="1" t="s">
        <v>21</v>
      </c>
      <c r="G327" s="10">
        <v>1</v>
      </c>
      <c r="H327" s="10">
        <v>2</v>
      </c>
      <c r="I327" s="10">
        <v>1</v>
      </c>
      <c r="J327" s="13" t="s">
        <v>30</v>
      </c>
      <c r="K327" s="13">
        <v>31707</v>
      </c>
      <c r="L327" s="14" t="s">
        <v>61</v>
      </c>
      <c r="M327" s="16" t="s">
        <v>832</v>
      </c>
      <c r="N327" s="36" t="s">
        <v>33</v>
      </c>
      <c r="O327" s="1" t="s">
        <v>20</v>
      </c>
      <c r="P327" s="1">
        <v>0</v>
      </c>
      <c r="Q327" s="28" t="s">
        <v>917</v>
      </c>
      <c r="R327" s="15" t="s">
        <v>23</v>
      </c>
      <c r="S327" s="17" t="s">
        <v>918</v>
      </c>
    </row>
    <row r="328" spans="1:19" ht="15.75" customHeight="1">
      <c r="A328" s="18">
        <v>235</v>
      </c>
      <c r="B328" s="10">
        <v>2020</v>
      </c>
      <c r="C328" s="11" t="s">
        <v>102</v>
      </c>
      <c r="D328" s="12">
        <v>44194</v>
      </c>
      <c r="E328" s="11" t="s">
        <v>20</v>
      </c>
      <c r="F328" s="1" t="s">
        <v>21</v>
      </c>
      <c r="G328" s="10">
        <v>1</v>
      </c>
      <c r="H328" s="10">
        <v>2</v>
      </c>
      <c r="I328" s="10">
        <v>2</v>
      </c>
      <c r="J328" s="13" t="s">
        <v>30</v>
      </c>
      <c r="K328" s="13">
        <v>31748</v>
      </c>
      <c r="L328" s="14" t="s">
        <v>61</v>
      </c>
      <c r="M328" s="1" t="s">
        <v>919</v>
      </c>
      <c r="N328" s="36" t="s">
        <v>33</v>
      </c>
      <c r="O328" s="1" t="s">
        <v>23</v>
      </c>
      <c r="P328" s="1" t="s">
        <v>23</v>
      </c>
      <c r="Q328" s="20" t="s">
        <v>23</v>
      </c>
      <c r="R328" s="15" t="s">
        <v>23</v>
      </c>
      <c r="S328" s="20" t="s">
        <v>23</v>
      </c>
    </row>
    <row r="329" spans="1:19" ht="15.75" customHeight="1">
      <c r="A329" s="18">
        <v>236</v>
      </c>
      <c r="B329" s="10">
        <v>2020</v>
      </c>
      <c r="C329" s="11" t="s">
        <v>102</v>
      </c>
      <c r="D329" s="12">
        <v>44194</v>
      </c>
      <c r="E329" s="11" t="s">
        <v>33</v>
      </c>
      <c r="F329" s="6" t="s">
        <v>896</v>
      </c>
      <c r="G329" s="10">
        <v>4</v>
      </c>
      <c r="H329" s="10">
        <v>1</v>
      </c>
      <c r="I329" s="10">
        <v>1</v>
      </c>
      <c r="J329" s="13" t="s">
        <v>30</v>
      </c>
      <c r="K329" s="13">
        <v>31904</v>
      </c>
      <c r="L329" s="3" t="s">
        <v>31</v>
      </c>
      <c r="M329" s="16" t="s">
        <v>920</v>
      </c>
      <c r="N329" s="36" t="s">
        <v>33</v>
      </c>
      <c r="O329" s="1" t="s">
        <v>20</v>
      </c>
      <c r="P329" s="1">
        <v>0</v>
      </c>
      <c r="Q329" s="28" t="s">
        <v>921</v>
      </c>
      <c r="R329" s="15" t="s">
        <v>23</v>
      </c>
      <c r="S329" s="23" t="s">
        <v>922</v>
      </c>
    </row>
    <row r="330" spans="1:19" ht="15.75" customHeight="1">
      <c r="A330" s="18">
        <v>237</v>
      </c>
      <c r="B330" s="10">
        <v>2020</v>
      </c>
      <c r="C330" s="11" t="s">
        <v>102</v>
      </c>
      <c r="D330" s="12">
        <v>44195</v>
      </c>
      <c r="E330" s="11" t="s">
        <v>33</v>
      </c>
      <c r="F330" s="6" t="s">
        <v>497</v>
      </c>
      <c r="G330" s="10">
        <v>2</v>
      </c>
      <c r="H330" s="10">
        <v>2</v>
      </c>
      <c r="I330" s="10">
        <v>1</v>
      </c>
      <c r="J330" s="13" t="s">
        <v>30</v>
      </c>
      <c r="K330" s="13">
        <v>32034</v>
      </c>
      <c r="L330" s="3" t="s">
        <v>31</v>
      </c>
      <c r="M330" s="16" t="s">
        <v>923</v>
      </c>
      <c r="N330" s="4" t="s">
        <v>20</v>
      </c>
      <c r="O330" s="1" t="s">
        <v>20</v>
      </c>
      <c r="P330" s="1">
        <v>0</v>
      </c>
      <c r="Q330" s="28" t="s">
        <v>924</v>
      </c>
      <c r="R330" s="29" t="s">
        <v>925</v>
      </c>
      <c r="S330" s="17" t="s">
        <v>926</v>
      </c>
    </row>
    <row r="331" spans="1:19" ht="15.75" customHeight="1">
      <c r="A331" s="18">
        <v>237</v>
      </c>
      <c r="B331" s="10">
        <v>2020</v>
      </c>
      <c r="C331" s="11" t="s">
        <v>102</v>
      </c>
      <c r="D331" s="12">
        <v>44195</v>
      </c>
      <c r="E331" s="11" t="s">
        <v>33</v>
      </c>
      <c r="F331" s="6" t="s">
        <v>497</v>
      </c>
      <c r="G331" s="10">
        <v>2</v>
      </c>
      <c r="H331" s="10">
        <v>2</v>
      </c>
      <c r="I331" s="10">
        <v>2</v>
      </c>
      <c r="J331" s="13" t="s">
        <v>30</v>
      </c>
      <c r="K331" s="13">
        <v>32035</v>
      </c>
      <c r="L331" s="3" t="s">
        <v>31</v>
      </c>
      <c r="M331" s="16" t="s">
        <v>927</v>
      </c>
      <c r="N331" s="4" t="s">
        <v>20</v>
      </c>
      <c r="O331" s="1" t="s">
        <v>23</v>
      </c>
      <c r="P331" s="1" t="s">
        <v>23</v>
      </c>
      <c r="Q331" s="7" t="s">
        <v>23</v>
      </c>
      <c r="R331" s="19" t="s">
        <v>23</v>
      </c>
      <c r="S331" s="20" t="s">
        <v>23</v>
      </c>
    </row>
    <row r="332" spans="1:19" ht="12.75">
      <c r="A332" s="41">
        <v>1</v>
      </c>
      <c r="B332" s="41">
        <v>2021</v>
      </c>
      <c r="C332" s="1" t="s">
        <v>102</v>
      </c>
      <c r="D332" s="42">
        <v>44231</v>
      </c>
      <c r="E332" s="1" t="s">
        <v>20</v>
      </c>
      <c r="F332" s="1" t="s">
        <v>53</v>
      </c>
      <c r="G332" s="41">
        <v>1</v>
      </c>
      <c r="H332" s="41">
        <v>2</v>
      </c>
      <c r="I332" s="41">
        <v>1</v>
      </c>
      <c r="J332" s="3" t="s">
        <v>30</v>
      </c>
      <c r="K332" s="3">
        <v>31707</v>
      </c>
      <c r="L332" s="14" t="s">
        <v>61</v>
      </c>
      <c r="M332" s="1" t="s">
        <v>928</v>
      </c>
      <c r="N332" s="4" t="s">
        <v>20</v>
      </c>
      <c r="O332" s="1" t="s">
        <v>20</v>
      </c>
      <c r="P332" s="1">
        <v>0</v>
      </c>
      <c r="Q332" s="7" t="s">
        <v>23</v>
      </c>
      <c r="R332" s="43" t="s">
        <v>929</v>
      </c>
      <c r="S332" s="17" t="s">
        <v>930</v>
      </c>
    </row>
    <row r="333" spans="1:19" ht="12.75">
      <c r="A333" s="41">
        <v>1</v>
      </c>
      <c r="B333" s="41">
        <v>2021</v>
      </c>
      <c r="C333" s="1" t="s">
        <v>102</v>
      </c>
      <c r="D333" s="42">
        <v>44231</v>
      </c>
      <c r="E333" s="1" t="s">
        <v>20</v>
      </c>
      <c r="F333" s="1" t="s">
        <v>53</v>
      </c>
      <c r="G333" s="41">
        <v>1</v>
      </c>
      <c r="H333" s="41">
        <v>2</v>
      </c>
      <c r="I333" s="41">
        <v>2</v>
      </c>
      <c r="J333" s="3" t="s">
        <v>30</v>
      </c>
      <c r="K333" s="3">
        <v>31748</v>
      </c>
      <c r="L333" s="14" t="s">
        <v>61</v>
      </c>
      <c r="M333" s="1" t="s">
        <v>919</v>
      </c>
      <c r="N333" s="4" t="s">
        <v>20</v>
      </c>
      <c r="O333" s="1" t="s">
        <v>23</v>
      </c>
      <c r="P333" s="1" t="s">
        <v>23</v>
      </c>
      <c r="Q333" s="7" t="s">
        <v>23</v>
      </c>
      <c r="R333" s="8" t="s">
        <v>23</v>
      </c>
      <c r="S333" s="20" t="s">
        <v>23</v>
      </c>
    </row>
    <row r="334" spans="1:19" ht="12.75">
      <c r="A334" s="41">
        <v>2</v>
      </c>
      <c r="B334" s="41">
        <v>2021</v>
      </c>
      <c r="C334" s="1" t="s">
        <v>102</v>
      </c>
      <c r="D334" s="42">
        <v>44231</v>
      </c>
      <c r="E334" s="1" t="s">
        <v>20</v>
      </c>
      <c r="F334" s="1" t="s">
        <v>47</v>
      </c>
      <c r="G334" s="41">
        <v>1</v>
      </c>
      <c r="H334" s="41">
        <v>1</v>
      </c>
      <c r="I334" s="41">
        <v>1</v>
      </c>
      <c r="J334" s="3" t="s">
        <v>30</v>
      </c>
      <c r="K334" s="3">
        <v>31976</v>
      </c>
      <c r="L334" s="3" t="s">
        <v>31</v>
      </c>
      <c r="M334" s="1" t="s">
        <v>931</v>
      </c>
      <c r="N334" s="25" t="s">
        <v>33</v>
      </c>
      <c r="O334" s="1" t="s">
        <v>20</v>
      </c>
      <c r="P334" s="1">
        <v>0</v>
      </c>
      <c r="Q334" s="28" t="s">
        <v>932</v>
      </c>
      <c r="R334" s="44" t="s">
        <v>933</v>
      </c>
      <c r="S334" s="17" t="s">
        <v>934</v>
      </c>
    </row>
    <row r="335" spans="1:19" ht="12.75">
      <c r="A335" s="41">
        <v>3</v>
      </c>
      <c r="B335" s="41">
        <v>2021</v>
      </c>
      <c r="C335" s="1" t="s">
        <v>102</v>
      </c>
      <c r="D335" s="42">
        <v>44236</v>
      </c>
      <c r="E335" s="1" t="s">
        <v>20</v>
      </c>
      <c r="F335" s="1" t="s">
        <v>37</v>
      </c>
      <c r="G335" s="41">
        <v>1</v>
      </c>
      <c r="H335" s="41">
        <v>1</v>
      </c>
      <c r="I335" s="41">
        <v>1</v>
      </c>
      <c r="J335" s="3" t="s">
        <v>30</v>
      </c>
      <c r="K335" s="3">
        <v>31707</v>
      </c>
      <c r="L335" s="14" t="s">
        <v>61</v>
      </c>
      <c r="M335" s="1" t="s">
        <v>928</v>
      </c>
      <c r="N335" s="4" t="s">
        <v>33</v>
      </c>
      <c r="O335" s="1" t="s">
        <v>20</v>
      </c>
      <c r="P335" s="1">
        <v>0</v>
      </c>
      <c r="Q335" s="28" t="s">
        <v>935</v>
      </c>
      <c r="R335" s="44" t="s">
        <v>936</v>
      </c>
      <c r="S335" s="17" t="s">
        <v>937</v>
      </c>
    </row>
    <row r="336" spans="1:19" ht="12.75">
      <c r="A336" s="41">
        <v>4</v>
      </c>
      <c r="B336" s="41">
        <v>2021</v>
      </c>
      <c r="C336" s="1" t="s">
        <v>102</v>
      </c>
      <c r="D336" s="42">
        <v>44236</v>
      </c>
      <c r="E336" s="1" t="s">
        <v>20</v>
      </c>
      <c r="F336" s="1" t="s">
        <v>41</v>
      </c>
      <c r="G336" s="41">
        <v>1</v>
      </c>
      <c r="H336" s="41">
        <v>1</v>
      </c>
      <c r="I336" s="41">
        <v>1</v>
      </c>
      <c r="J336" s="3" t="s">
        <v>30</v>
      </c>
      <c r="K336" s="3">
        <v>31937</v>
      </c>
      <c r="L336" s="3" t="s">
        <v>31</v>
      </c>
      <c r="M336" s="1" t="s">
        <v>938</v>
      </c>
      <c r="N336" s="4" t="s">
        <v>33</v>
      </c>
      <c r="O336" s="1" t="s">
        <v>20</v>
      </c>
      <c r="P336" s="1">
        <v>0</v>
      </c>
      <c r="Q336" s="28" t="s">
        <v>939</v>
      </c>
      <c r="R336" s="44" t="s">
        <v>940</v>
      </c>
      <c r="S336" s="17" t="s">
        <v>941</v>
      </c>
    </row>
    <row r="337" spans="1:19" ht="12.75">
      <c r="A337" s="41">
        <v>5</v>
      </c>
      <c r="B337" s="41">
        <v>2021</v>
      </c>
      <c r="C337" s="1" t="s">
        <v>102</v>
      </c>
      <c r="D337" s="42">
        <v>44238</v>
      </c>
      <c r="E337" s="1" t="s">
        <v>20</v>
      </c>
      <c r="F337" s="1" t="s">
        <v>53</v>
      </c>
      <c r="G337" s="41">
        <v>1</v>
      </c>
      <c r="H337" s="41">
        <v>2</v>
      </c>
      <c r="I337" s="41">
        <v>1</v>
      </c>
      <c r="J337" s="3" t="s">
        <v>30</v>
      </c>
      <c r="K337" s="3">
        <v>31976</v>
      </c>
      <c r="L337" s="3" t="s">
        <v>31</v>
      </c>
      <c r="M337" s="1" t="s">
        <v>931</v>
      </c>
      <c r="N337" s="4" t="s">
        <v>20</v>
      </c>
      <c r="O337" s="1" t="s">
        <v>20</v>
      </c>
      <c r="P337" s="1">
        <v>0</v>
      </c>
      <c r="Q337" s="7" t="s">
        <v>23</v>
      </c>
      <c r="R337" s="44" t="s">
        <v>942</v>
      </c>
      <c r="S337" s="17" t="s">
        <v>943</v>
      </c>
    </row>
    <row r="338" spans="1:19" ht="12.75">
      <c r="A338" s="41">
        <v>5</v>
      </c>
      <c r="B338" s="41">
        <v>2021</v>
      </c>
      <c r="C338" s="1" t="s">
        <v>102</v>
      </c>
      <c r="D338" s="42">
        <v>44238</v>
      </c>
      <c r="E338" s="1" t="s">
        <v>20</v>
      </c>
      <c r="F338" s="1" t="s">
        <v>53</v>
      </c>
      <c r="G338" s="41">
        <v>1</v>
      </c>
      <c r="H338" s="41">
        <v>2</v>
      </c>
      <c r="I338" s="41">
        <v>2</v>
      </c>
      <c r="J338" s="3" t="s">
        <v>30</v>
      </c>
      <c r="K338" s="3">
        <v>31937</v>
      </c>
      <c r="L338" s="3" t="s">
        <v>31</v>
      </c>
      <c r="M338" s="1" t="s">
        <v>938</v>
      </c>
      <c r="N338" s="4" t="s">
        <v>20</v>
      </c>
      <c r="O338" s="1" t="s">
        <v>23</v>
      </c>
      <c r="P338" s="1" t="s">
        <v>23</v>
      </c>
      <c r="Q338" s="7" t="s">
        <v>23</v>
      </c>
      <c r="R338" s="8" t="s">
        <v>23</v>
      </c>
      <c r="S338" s="20" t="s">
        <v>23</v>
      </c>
    </row>
    <row r="339" spans="1:19" ht="12.75">
      <c r="A339" s="41">
        <v>6</v>
      </c>
      <c r="B339" s="41">
        <v>2021</v>
      </c>
      <c r="C339" s="1" t="s">
        <v>102</v>
      </c>
      <c r="D339" s="42">
        <v>44238</v>
      </c>
      <c r="E339" s="1" t="s">
        <v>20</v>
      </c>
      <c r="F339" s="1" t="s">
        <v>47</v>
      </c>
      <c r="G339" s="41">
        <v>1</v>
      </c>
      <c r="H339" s="41">
        <v>1</v>
      </c>
      <c r="I339" s="41">
        <v>1</v>
      </c>
      <c r="J339" s="3" t="s">
        <v>30</v>
      </c>
      <c r="K339" s="3">
        <v>31973</v>
      </c>
      <c r="L339" s="3" t="s">
        <v>31</v>
      </c>
      <c r="M339" s="1" t="s">
        <v>944</v>
      </c>
      <c r="N339" s="25" t="s">
        <v>33</v>
      </c>
      <c r="O339" s="1" t="s">
        <v>20</v>
      </c>
      <c r="P339" s="1">
        <v>0</v>
      </c>
      <c r="Q339" s="28" t="s">
        <v>945</v>
      </c>
      <c r="R339" s="44" t="s">
        <v>946</v>
      </c>
      <c r="S339" s="17" t="s">
        <v>947</v>
      </c>
    </row>
    <row r="340" spans="1:19" ht="12.75">
      <c r="A340" s="41">
        <v>7</v>
      </c>
      <c r="B340" s="41">
        <v>2021</v>
      </c>
      <c r="C340" s="1" t="s">
        <v>102</v>
      </c>
      <c r="D340" s="42">
        <v>44244</v>
      </c>
      <c r="E340" s="1" t="s">
        <v>20</v>
      </c>
      <c r="F340" s="1" t="s">
        <v>53</v>
      </c>
      <c r="G340" s="41">
        <v>1</v>
      </c>
      <c r="H340" s="41">
        <v>1</v>
      </c>
      <c r="I340" s="41">
        <v>1</v>
      </c>
      <c r="J340" s="3" t="s">
        <v>30</v>
      </c>
      <c r="K340" s="3">
        <v>31973</v>
      </c>
      <c r="L340" s="3" t="s">
        <v>31</v>
      </c>
      <c r="M340" s="1" t="s">
        <v>944</v>
      </c>
      <c r="N340" s="4" t="s">
        <v>20</v>
      </c>
      <c r="O340" s="1" t="s">
        <v>20</v>
      </c>
      <c r="P340" s="1">
        <v>0</v>
      </c>
      <c r="Q340" s="7" t="s">
        <v>23</v>
      </c>
      <c r="R340" s="45" t="s">
        <v>23</v>
      </c>
      <c r="S340" s="17" t="s">
        <v>948</v>
      </c>
    </row>
    <row r="341" spans="1:19" ht="12.75">
      <c r="A341" s="41">
        <v>8</v>
      </c>
      <c r="B341" s="41">
        <v>2021</v>
      </c>
      <c r="C341" s="1" t="s">
        <v>102</v>
      </c>
      <c r="D341" s="42">
        <v>44244</v>
      </c>
      <c r="E341" s="1" t="s">
        <v>20</v>
      </c>
      <c r="F341" s="1" t="s">
        <v>51</v>
      </c>
      <c r="G341" s="41">
        <v>1</v>
      </c>
      <c r="H341" s="41">
        <v>1</v>
      </c>
      <c r="I341" s="41">
        <v>1</v>
      </c>
      <c r="J341" s="3" t="s">
        <v>71</v>
      </c>
      <c r="K341" s="3">
        <v>32112</v>
      </c>
      <c r="L341" s="14" t="s">
        <v>61</v>
      </c>
      <c r="M341" s="1" t="s">
        <v>949</v>
      </c>
      <c r="N341" s="4" t="s">
        <v>20</v>
      </c>
      <c r="O341" s="1" t="s">
        <v>33</v>
      </c>
      <c r="P341" s="1">
        <v>4</v>
      </c>
      <c r="Q341" s="7" t="s">
        <v>23</v>
      </c>
      <c r="R341" s="44" t="s">
        <v>950</v>
      </c>
      <c r="S341" s="17" t="s">
        <v>951</v>
      </c>
    </row>
    <row r="342" spans="1:19" ht="12.75">
      <c r="A342" s="41">
        <v>9</v>
      </c>
      <c r="B342" s="41">
        <v>2021</v>
      </c>
      <c r="C342" s="1" t="s">
        <v>102</v>
      </c>
      <c r="D342" s="42">
        <v>44245</v>
      </c>
      <c r="E342" s="1" t="s">
        <v>20</v>
      </c>
      <c r="F342" s="1" t="s">
        <v>37</v>
      </c>
      <c r="G342" s="41">
        <v>1</v>
      </c>
      <c r="H342" s="41">
        <v>3</v>
      </c>
      <c r="I342" s="41">
        <v>1</v>
      </c>
      <c r="J342" s="3" t="s">
        <v>64</v>
      </c>
      <c r="K342" s="3">
        <v>32056</v>
      </c>
      <c r="L342" s="3" t="s">
        <v>31</v>
      </c>
      <c r="M342" s="1" t="s">
        <v>952</v>
      </c>
      <c r="N342" s="4" t="s">
        <v>33</v>
      </c>
      <c r="O342" s="1" t="s">
        <v>20</v>
      </c>
      <c r="P342" s="1">
        <v>0</v>
      </c>
      <c r="Q342" s="28" t="s">
        <v>953</v>
      </c>
      <c r="R342" s="44" t="s">
        <v>954</v>
      </c>
      <c r="S342" s="17" t="s">
        <v>955</v>
      </c>
    </row>
    <row r="343" spans="1:19" ht="12.75">
      <c r="A343" s="41">
        <v>9</v>
      </c>
      <c r="B343" s="41">
        <v>2021</v>
      </c>
      <c r="C343" s="1" t="s">
        <v>102</v>
      </c>
      <c r="D343" s="42">
        <v>44245</v>
      </c>
      <c r="E343" s="1" t="s">
        <v>20</v>
      </c>
      <c r="F343" s="1" t="s">
        <v>37</v>
      </c>
      <c r="G343" s="41">
        <v>1</v>
      </c>
      <c r="H343" s="41">
        <v>3</v>
      </c>
      <c r="I343" s="41">
        <v>2</v>
      </c>
      <c r="J343" s="3" t="s">
        <v>64</v>
      </c>
      <c r="K343" s="3">
        <v>32057</v>
      </c>
      <c r="L343" s="3" t="s">
        <v>31</v>
      </c>
      <c r="M343" s="1" t="s">
        <v>956</v>
      </c>
      <c r="N343" s="4" t="s">
        <v>33</v>
      </c>
      <c r="O343" s="1" t="s">
        <v>23</v>
      </c>
      <c r="P343" s="1" t="s">
        <v>23</v>
      </c>
      <c r="Q343" s="7" t="s">
        <v>23</v>
      </c>
      <c r="R343" s="8" t="s">
        <v>23</v>
      </c>
      <c r="S343" s="20" t="s">
        <v>23</v>
      </c>
    </row>
    <row r="344" spans="1:19" ht="12.75">
      <c r="A344" s="41">
        <v>9</v>
      </c>
      <c r="B344" s="41">
        <v>2021</v>
      </c>
      <c r="C344" s="1" t="s">
        <v>102</v>
      </c>
      <c r="D344" s="42">
        <v>44245</v>
      </c>
      <c r="E344" s="1" t="s">
        <v>20</v>
      </c>
      <c r="F344" s="1" t="s">
        <v>37</v>
      </c>
      <c r="G344" s="41">
        <v>1</v>
      </c>
      <c r="H344" s="41">
        <v>3</v>
      </c>
      <c r="I344" s="41">
        <v>3</v>
      </c>
      <c r="J344" s="3" t="s">
        <v>64</v>
      </c>
      <c r="K344" s="3">
        <v>32060</v>
      </c>
      <c r="L344" s="3" t="s">
        <v>31</v>
      </c>
      <c r="M344" s="1" t="s">
        <v>957</v>
      </c>
      <c r="N344" s="4" t="s">
        <v>33</v>
      </c>
      <c r="O344" s="1" t="s">
        <v>23</v>
      </c>
      <c r="P344" s="1" t="s">
        <v>23</v>
      </c>
      <c r="Q344" s="7" t="s">
        <v>23</v>
      </c>
      <c r="R344" s="8" t="s">
        <v>23</v>
      </c>
      <c r="S344" s="20" t="s">
        <v>23</v>
      </c>
    </row>
    <row r="345" spans="1:19" ht="12.75">
      <c r="A345" s="41">
        <v>10</v>
      </c>
      <c r="B345" s="41">
        <v>2021</v>
      </c>
      <c r="C345" s="1" t="s">
        <v>102</v>
      </c>
      <c r="D345" s="42">
        <v>44245</v>
      </c>
      <c r="E345" s="1" t="s">
        <v>20</v>
      </c>
      <c r="F345" s="1" t="s">
        <v>471</v>
      </c>
      <c r="G345" s="41">
        <v>1</v>
      </c>
      <c r="H345" s="41">
        <v>1</v>
      </c>
      <c r="I345" s="41">
        <v>1</v>
      </c>
      <c r="J345" s="3" t="s">
        <v>23</v>
      </c>
      <c r="K345" s="3" t="s">
        <v>23</v>
      </c>
      <c r="L345" s="3" t="s">
        <v>23</v>
      </c>
      <c r="M345" s="1" t="s">
        <v>958</v>
      </c>
      <c r="N345" s="1" t="s">
        <v>23</v>
      </c>
      <c r="O345" s="1" t="s">
        <v>20</v>
      </c>
      <c r="P345" s="1">
        <v>0</v>
      </c>
      <c r="Q345" s="28" t="s">
        <v>959</v>
      </c>
      <c r="R345" s="44" t="s">
        <v>960</v>
      </c>
      <c r="S345" s="17" t="s">
        <v>961</v>
      </c>
    </row>
    <row r="346" spans="1:19" ht="12.75">
      <c r="A346" s="41">
        <v>11</v>
      </c>
      <c r="B346" s="41">
        <v>2021</v>
      </c>
      <c r="C346" s="1" t="s">
        <v>102</v>
      </c>
      <c r="D346" s="42">
        <v>44245</v>
      </c>
      <c r="E346" s="1" t="s">
        <v>20</v>
      </c>
      <c r="F346" s="1" t="s">
        <v>370</v>
      </c>
      <c r="G346" s="41">
        <v>1</v>
      </c>
      <c r="H346" s="41">
        <v>1</v>
      </c>
      <c r="I346" s="41">
        <v>1</v>
      </c>
      <c r="J346" s="3" t="s">
        <v>23</v>
      </c>
      <c r="K346" s="3" t="s">
        <v>23</v>
      </c>
      <c r="L346" s="3" t="s">
        <v>23</v>
      </c>
      <c r="M346" s="1" t="s">
        <v>962</v>
      </c>
      <c r="N346" s="1" t="s">
        <v>23</v>
      </c>
      <c r="O346" s="1" t="s">
        <v>33</v>
      </c>
      <c r="P346" s="1">
        <v>3</v>
      </c>
      <c r="Q346" s="28" t="s">
        <v>963</v>
      </c>
      <c r="R346" s="44" t="s">
        <v>964</v>
      </c>
      <c r="S346" s="17" t="s">
        <v>965</v>
      </c>
    </row>
    <row r="347" spans="1:19" ht="12.75">
      <c r="A347" s="41">
        <v>12</v>
      </c>
      <c r="B347" s="41">
        <v>2021</v>
      </c>
      <c r="C347" s="1" t="s">
        <v>102</v>
      </c>
      <c r="D347" s="42">
        <v>44245</v>
      </c>
      <c r="E347" s="1" t="s">
        <v>20</v>
      </c>
      <c r="F347" s="1" t="s">
        <v>47</v>
      </c>
      <c r="G347" s="41">
        <v>1</v>
      </c>
      <c r="H347" s="41">
        <v>1</v>
      </c>
      <c r="I347" s="41">
        <v>1</v>
      </c>
      <c r="J347" s="3" t="s">
        <v>30</v>
      </c>
      <c r="K347" s="3">
        <v>31975</v>
      </c>
      <c r="L347" s="3" t="s">
        <v>31</v>
      </c>
      <c r="M347" s="1" t="s">
        <v>966</v>
      </c>
      <c r="N347" s="25" t="s">
        <v>33</v>
      </c>
      <c r="O347" s="1" t="s">
        <v>20</v>
      </c>
      <c r="P347" s="1">
        <v>0</v>
      </c>
      <c r="Q347" s="28" t="s">
        <v>967</v>
      </c>
      <c r="R347" s="44" t="s">
        <v>968</v>
      </c>
      <c r="S347" s="17" t="s">
        <v>969</v>
      </c>
    </row>
    <row r="348" spans="1:19" ht="12.75">
      <c r="A348" s="41">
        <v>13</v>
      </c>
      <c r="B348" s="41">
        <v>2021</v>
      </c>
      <c r="C348" s="1" t="s">
        <v>102</v>
      </c>
      <c r="D348" s="42">
        <v>44250</v>
      </c>
      <c r="E348" s="1" t="s">
        <v>20</v>
      </c>
      <c r="F348" s="1" t="s">
        <v>26</v>
      </c>
      <c r="G348" s="41">
        <v>1</v>
      </c>
      <c r="H348" s="41">
        <v>1</v>
      </c>
      <c r="I348" s="41">
        <v>1</v>
      </c>
      <c r="J348" s="3" t="s">
        <v>30</v>
      </c>
      <c r="K348" s="3">
        <v>32088</v>
      </c>
      <c r="L348" s="14" t="s">
        <v>61</v>
      </c>
      <c r="M348" s="1" t="s">
        <v>970</v>
      </c>
      <c r="N348" s="4" t="s">
        <v>20</v>
      </c>
      <c r="O348" s="1" t="s">
        <v>20</v>
      </c>
      <c r="P348" s="1">
        <v>0</v>
      </c>
      <c r="Q348" s="28" t="s">
        <v>971</v>
      </c>
      <c r="R348" s="44" t="s">
        <v>972</v>
      </c>
      <c r="S348" s="17" t="s">
        <v>973</v>
      </c>
    </row>
    <row r="349" spans="1:19" ht="12.75">
      <c r="A349" s="41">
        <v>14</v>
      </c>
      <c r="B349" s="41">
        <v>2021</v>
      </c>
      <c r="C349" s="1" t="s">
        <v>102</v>
      </c>
      <c r="D349" s="42">
        <v>44250</v>
      </c>
      <c r="E349" s="1" t="s">
        <v>20</v>
      </c>
      <c r="F349" s="1" t="s">
        <v>28</v>
      </c>
      <c r="G349" s="41">
        <v>1</v>
      </c>
      <c r="H349" s="41">
        <v>1</v>
      </c>
      <c r="I349" s="41">
        <v>1</v>
      </c>
      <c r="J349" s="3" t="s">
        <v>30</v>
      </c>
      <c r="K349" s="3">
        <v>32063</v>
      </c>
      <c r="L349" s="3" t="s">
        <v>31</v>
      </c>
      <c r="M349" s="1" t="s">
        <v>974</v>
      </c>
      <c r="N349" s="4" t="s">
        <v>20</v>
      </c>
      <c r="O349" s="1" t="s">
        <v>20</v>
      </c>
      <c r="P349" s="1">
        <v>0</v>
      </c>
      <c r="Q349" s="28" t="s">
        <v>975</v>
      </c>
      <c r="R349" s="44" t="s">
        <v>976</v>
      </c>
      <c r="S349" s="17" t="s">
        <v>977</v>
      </c>
    </row>
    <row r="350" spans="1:19" ht="12.75">
      <c r="A350" s="41">
        <v>15</v>
      </c>
      <c r="B350" s="41">
        <v>2021</v>
      </c>
      <c r="C350" s="1" t="s">
        <v>102</v>
      </c>
      <c r="D350" s="42">
        <v>44250</v>
      </c>
      <c r="E350" s="1" t="s">
        <v>33</v>
      </c>
      <c r="F350" s="6" t="s">
        <v>978</v>
      </c>
      <c r="G350" s="41">
        <v>3</v>
      </c>
      <c r="H350" s="41">
        <v>1</v>
      </c>
      <c r="I350" s="41">
        <v>1</v>
      </c>
      <c r="J350" s="3" t="s">
        <v>71</v>
      </c>
      <c r="K350" s="3">
        <v>31619</v>
      </c>
      <c r="L350" s="3" t="s">
        <v>61</v>
      </c>
      <c r="M350" s="1" t="s">
        <v>979</v>
      </c>
      <c r="N350" s="4" t="s">
        <v>20</v>
      </c>
      <c r="O350" s="1" t="s">
        <v>33</v>
      </c>
      <c r="P350" s="1">
        <v>2</v>
      </c>
      <c r="Q350" s="28" t="s">
        <v>980</v>
      </c>
      <c r="R350" s="44" t="s">
        <v>981</v>
      </c>
      <c r="S350" s="17" t="s">
        <v>982</v>
      </c>
    </row>
    <row r="351" spans="1:19" ht="12.75">
      <c r="A351" s="41">
        <v>16</v>
      </c>
      <c r="B351" s="41">
        <v>2021</v>
      </c>
      <c r="C351" s="1" t="s">
        <v>102</v>
      </c>
      <c r="D351" s="42">
        <v>44251</v>
      </c>
      <c r="E351" s="1" t="s">
        <v>20</v>
      </c>
      <c r="F351" s="1" t="s">
        <v>21</v>
      </c>
      <c r="G351" s="41">
        <v>1</v>
      </c>
      <c r="H351" s="41">
        <v>1</v>
      </c>
      <c r="I351" s="41">
        <v>1</v>
      </c>
      <c r="J351" s="3" t="s">
        <v>23</v>
      </c>
      <c r="K351" s="3" t="s">
        <v>23</v>
      </c>
      <c r="L351" s="3" t="s">
        <v>23</v>
      </c>
      <c r="M351" s="1" t="s">
        <v>983</v>
      </c>
      <c r="N351" s="1" t="s">
        <v>23</v>
      </c>
      <c r="O351" s="1" t="s">
        <v>20</v>
      </c>
      <c r="P351" s="1">
        <v>0</v>
      </c>
      <c r="Q351" s="28" t="s">
        <v>984</v>
      </c>
      <c r="R351" s="44" t="s">
        <v>985</v>
      </c>
      <c r="S351" s="17" t="s">
        <v>986</v>
      </c>
    </row>
    <row r="352" spans="1:19" ht="12.75">
      <c r="A352" s="41">
        <v>17</v>
      </c>
      <c r="B352" s="41">
        <v>2021</v>
      </c>
      <c r="C352" s="1" t="s">
        <v>102</v>
      </c>
      <c r="D352" s="42">
        <v>44252</v>
      </c>
      <c r="E352" s="1" t="s">
        <v>20</v>
      </c>
      <c r="F352" s="1" t="s">
        <v>37</v>
      </c>
      <c r="G352" s="41">
        <v>1</v>
      </c>
      <c r="H352" s="41">
        <v>3</v>
      </c>
      <c r="I352" s="41">
        <v>1</v>
      </c>
      <c r="J352" s="3" t="s">
        <v>64</v>
      </c>
      <c r="K352" s="3">
        <v>32058</v>
      </c>
      <c r="L352" s="3" t="s">
        <v>31</v>
      </c>
      <c r="M352" s="1" t="s">
        <v>987</v>
      </c>
      <c r="N352" s="4" t="s">
        <v>33</v>
      </c>
      <c r="O352" s="1" t="s">
        <v>20</v>
      </c>
      <c r="P352" s="1">
        <v>0</v>
      </c>
      <c r="Q352" s="28" t="s">
        <v>988</v>
      </c>
      <c r="R352" s="44" t="s">
        <v>989</v>
      </c>
      <c r="S352" s="17" t="s">
        <v>990</v>
      </c>
    </row>
    <row r="353" spans="1:19" ht="12.75">
      <c r="A353" s="1">
        <v>17</v>
      </c>
      <c r="B353" s="1">
        <v>2021</v>
      </c>
      <c r="C353" s="1" t="s">
        <v>102</v>
      </c>
      <c r="D353" s="2">
        <v>44252</v>
      </c>
      <c r="E353" s="1" t="s">
        <v>20</v>
      </c>
      <c r="F353" s="1" t="s">
        <v>37</v>
      </c>
      <c r="G353" s="41">
        <v>1</v>
      </c>
      <c r="H353" s="41">
        <v>3</v>
      </c>
      <c r="I353" s="41">
        <v>2</v>
      </c>
      <c r="J353" s="3" t="s">
        <v>64</v>
      </c>
      <c r="K353" s="3">
        <v>32059</v>
      </c>
      <c r="L353" s="3" t="s">
        <v>31</v>
      </c>
      <c r="M353" s="1" t="s">
        <v>991</v>
      </c>
      <c r="N353" s="4" t="s">
        <v>33</v>
      </c>
      <c r="O353" s="1" t="s">
        <v>23</v>
      </c>
      <c r="P353" s="1" t="s">
        <v>23</v>
      </c>
      <c r="Q353" s="7" t="s">
        <v>23</v>
      </c>
      <c r="R353" s="8" t="s">
        <v>23</v>
      </c>
      <c r="S353" s="20" t="s">
        <v>23</v>
      </c>
    </row>
    <row r="354" spans="1:19" ht="12.75">
      <c r="A354" s="1">
        <v>17</v>
      </c>
      <c r="B354" s="1">
        <v>2021</v>
      </c>
      <c r="C354" s="1" t="s">
        <v>102</v>
      </c>
      <c r="D354" s="2">
        <v>44252</v>
      </c>
      <c r="E354" s="1" t="s">
        <v>20</v>
      </c>
      <c r="F354" s="1" t="s">
        <v>37</v>
      </c>
      <c r="G354" s="41">
        <v>1</v>
      </c>
      <c r="H354" s="41">
        <v>3</v>
      </c>
      <c r="I354" s="41">
        <v>3</v>
      </c>
      <c r="J354" s="3" t="s">
        <v>64</v>
      </c>
      <c r="K354" s="3">
        <v>32141</v>
      </c>
      <c r="L354" s="3" t="s">
        <v>31</v>
      </c>
      <c r="M354" s="1" t="s">
        <v>992</v>
      </c>
      <c r="N354" s="4" t="s">
        <v>20</v>
      </c>
      <c r="O354" s="1" t="s">
        <v>23</v>
      </c>
      <c r="P354" s="1" t="s">
        <v>23</v>
      </c>
      <c r="Q354" s="7" t="s">
        <v>23</v>
      </c>
      <c r="R354" s="8" t="s">
        <v>23</v>
      </c>
      <c r="S354" s="20" t="s">
        <v>23</v>
      </c>
    </row>
    <row r="355" spans="1:19" ht="12.75">
      <c r="A355" s="41">
        <v>18</v>
      </c>
      <c r="B355" s="41">
        <v>2021</v>
      </c>
      <c r="C355" s="1" t="s">
        <v>102</v>
      </c>
      <c r="D355" s="42">
        <v>44252</v>
      </c>
      <c r="E355" s="1" t="s">
        <v>20</v>
      </c>
      <c r="F355" s="1" t="s">
        <v>47</v>
      </c>
      <c r="G355" s="41">
        <v>1</v>
      </c>
      <c r="H355" s="41">
        <v>1</v>
      </c>
      <c r="I355" s="41">
        <v>1</v>
      </c>
      <c r="J355" s="3" t="s">
        <v>23</v>
      </c>
      <c r="K355" s="3" t="s">
        <v>23</v>
      </c>
      <c r="L355" s="3" t="s">
        <v>23</v>
      </c>
      <c r="M355" s="1" t="s">
        <v>993</v>
      </c>
      <c r="N355" s="5" t="s">
        <v>23</v>
      </c>
      <c r="O355" s="1" t="s">
        <v>33</v>
      </c>
      <c r="P355" s="1">
        <v>1</v>
      </c>
      <c r="Q355" s="28" t="s">
        <v>994</v>
      </c>
      <c r="R355" s="44" t="s">
        <v>995</v>
      </c>
      <c r="S355" s="17" t="s">
        <v>996</v>
      </c>
    </row>
    <row r="356" spans="1:19" ht="12.75">
      <c r="A356" s="41">
        <v>19</v>
      </c>
      <c r="B356" s="41">
        <v>2021</v>
      </c>
      <c r="C356" s="1" t="s">
        <v>102</v>
      </c>
      <c r="D356" s="42">
        <v>44252</v>
      </c>
      <c r="E356" s="1" t="s">
        <v>20</v>
      </c>
      <c r="F356" s="1" t="s">
        <v>55</v>
      </c>
      <c r="G356" s="41">
        <v>1</v>
      </c>
      <c r="H356" s="41">
        <v>1</v>
      </c>
      <c r="I356" s="41">
        <v>1</v>
      </c>
      <c r="J356" s="3" t="s">
        <v>30</v>
      </c>
      <c r="K356" s="3">
        <v>32063</v>
      </c>
      <c r="L356" s="3" t="s">
        <v>31</v>
      </c>
      <c r="M356" s="1" t="s">
        <v>974</v>
      </c>
      <c r="N356" s="4" t="s">
        <v>20</v>
      </c>
      <c r="O356" s="1" t="s">
        <v>20</v>
      </c>
      <c r="P356" s="1">
        <v>0</v>
      </c>
      <c r="Q356" s="28" t="s">
        <v>997</v>
      </c>
      <c r="R356" s="44" t="s">
        <v>998</v>
      </c>
      <c r="S356" s="17" t="s">
        <v>999</v>
      </c>
    </row>
    <row r="357" spans="1:19" ht="12.75">
      <c r="A357" s="41">
        <v>20</v>
      </c>
      <c r="B357" s="41">
        <v>2021</v>
      </c>
      <c r="C357" s="1" t="s">
        <v>102</v>
      </c>
      <c r="D357" s="42">
        <v>44257</v>
      </c>
      <c r="E357" s="1" t="s">
        <v>20</v>
      </c>
      <c r="F357" s="1" t="s">
        <v>26</v>
      </c>
      <c r="G357" s="41">
        <v>1</v>
      </c>
      <c r="H357" s="41">
        <v>1</v>
      </c>
      <c r="I357" s="41">
        <v>1</v>
      </c>
      <c r="J357" s="3" t="s">
        <v>30</v>
      </c>
      <c r="K357" s="3">
        <v>32088</v>
      </c>
      <c r="L357" s="14" t="s">
        <v>61</v>
      </c>
      <c r="M357" s="1" t="s">
        <v>970</v>
      </c>
      <c r="N357" s="4" t="s">
        <v>20</v>
      </c>
      <c r="O357" s="1" t="s">
        <v>33</v>
      </c>
      <c r="P357" s="1">
        <v>10</v>
      </c>
      <c r="Q357" s="28" t="s">
        <v>1000</v>
      </c>
      <c r="R357" s="44" t="s">
        <v>1001</v>
      </c>
      <c r="S357" s="17" t="s">
        <v>1002</v>
      </c>
    </row>
    <row r="358" spans="1:19" ht="12.75">
      <c r="A358" s="41">
        <v>21</v>
      </c>
      <c r="B358" s="41">
        <v>2021</v>
      </c>
      <c r="C358" s="1" t="s">
        <v>102</v>
      </c>
      <c r="D358" s="42">
        <v>44257</v>
      </c>
      <c r="E358" s="1" t="s">
        <v>20</v>
      </c>
      <c r="F358" s="1" t="s">
        <v>148</v>
      </c>
      <c r="G358" s="41">
        <v>1</v>
      </c>
      <c r="H358" s="41">
        <v>1</v>
      </c>
      <c r="I358" s="41">
        <v>1</v>
      </c>
      <c r="J358" s="3" t="s">
        <v>71</v>
      </c>
      <c r="K358" s="3">
        <v>32151</v>
      </c>
      <c r="L358" s="14" t="s">
        <v>61</v>
      </c>
      <c r="M358" s="1" t="s">
        <v>1003</v>
      </c>
      <c r="N358" s="4" t="s">
        <v>20</v>
      </c>
      <c r="O358" s="1" t="s">
        <v>33</v>
      </c>
      <c r="P358" s="1">
        <v>1</v>
      </c>
      <c r="Q358" s="32" t="s">
        <v>1004</v>
      </c>
      <c r="R358" s="44" t="s">
        <v>1005</v>
      </c>
      <c r="S358" s="17" t="s">
        <v>1006</v>
      </c>
    </row>
    <row r="359" spans="1:19" ht="12.75">
      <c r="A359" s="41">
        <v>22</v>
      </c>
      <c r="B359" s="41">
        <v>2021</v>
      </c>
      <c r="C359" s="1" t="s">
        <v>102</v>
      </c>
      <c r="D359" s="42">
        <v>44257</v>
      </c>
      <c r="E359" s="1" t="s">
        <v>33</v>
      </c>
      <c r="F359" s="6" t="s">
        <v>1007</v>
      </c>
      <c r="G359" s="41">
        <v>3</v>
      </c>
      <c r="H359" s="41">
        <v>1</v>
      </c>
      <c r="I359" s="41">
        <v>1</v>
      </c>
      <c r="J359" s="3" t="s">
        <v>30</v>
      </c>
      <c r="K359" s="3">
        <v>15563</v>
      </c>
      <c r="L359" s="3" t="s">
        <v>61</v>
      </c>
      <c r="M359" s="1" t="s">
        <v>1008</v>
      </c>
      <c r="N359" s="4" t="s">
        <v>20</v>
      </c>
      <c r="O359" s="1" t="s">
        <v>33</v>
      </c>
      <c r="P359" s="1">
        <v>1</v>
      </c>
      <c r="Q359" s="28" t="s">
        <v>1009</v>
      </c>
      <c r="R359" s="44" t="s">
        <v>1010</v>
      </c>
      <c r="S359" s="26" t="s">
        <v>1011</v>
      </c>
    </row>
    <row r="360" spans="1:19" ht="12.75">
      <c r="A360" s="41">
        <v>23</v>
      </c>
      <c r="B360" s="41">
        <v>2021</v>
      </c>
      <c r="C360" s="1" t="s">
        <v>102</v>
      </c>
      <c r="D360" s="42">
        <v>44257</v>
      </c>
      <c r="E360" s="1" t="s">
        <v>20</v>
      </c>
      <c r="F360" s="1" t="s">
        <v>37</v>
      </c>
      <c r="G360" s="41">
        <v>1</v>
      </c>
      <c r="H360" s="41">
        <v>2</v>
      </c>
      <c r="I360" s="41">
        <v>1</v>
      </c>
      <c r="J360" s="3" t="s">
        <v>64</v>
      </c>
      <c r="K360" s="3">
        <v>32061</v>
      </c>
      <c r="L360" s="3" t="s">
        <v>31</v>
      </c>
      <c r="M360" s="1" t="s">
        <v>1012</v>
      </c>
      <c r="N360" s="4" t="s">
        <v>33</v>
      </c>
      <c r="O360" s="1" t="s">
        <v>20</v>
      </c>
      <c r="P360" s="1">
        <v>0</v>
      </c>
      <c r="Q360" s="28" t="s">
        <v>1013</v>
      </c>
      <c r="R360" s="44" t="s">
        <v>1014</v>
      </c>
      <c r="S360" s="17" t="s">
        <v>1015</v>
      </c>
    </row>
    <row r="361" spans="1:19" ht="12.75">
      <c r="A361" s="1">
        <v>23</v>
      </c>
      <c r="B361" s="1">
        <v>2021</v>
      </c>
      <c r="C361" s="1" t="s">
        <v>102</v>
      </c>
      <c r="D361" s="2">
        <v>44257</v>
      </c>
      <c r="E361" s="1" t="s">
        <v>20</v>
      </c>
      <c r="F361" s="1" t="s">
        <v>37</v>
      </c>
      <c r="G361" s="41">
        <v>1</v>
      </c>
      <c r="H361" s="41">
        <v>2</v>
      </c>
      <c r="I361" s="41">
        <v>2</v>
      </c>
      <c r="J361" s="3" t="s">
        <v>64</v>
      </c>
      <c r="K361" s="3">
        <v>32062</v>
      </c>
      <c r="L361" s="3" t="s">
        <v>31</v>
      </c>
      <c r="M361" s="1" t="s">
        <v>1016</v>
      </c>
      <c r="N361" s="4" t="s">
        <v>33</v>
      </c>
      <c r="O361" s="1" t="s">
        <v>23</v>
      </c>
      <c r="P361" s="1" t="s">
        <v>23</v>
      </c>
      <c r="Q361" s="7" t="s">
        <v>23</v>
      </c>
      <c r="R361" s="8" t="s">
        <v>23</v>
      </c>
      <c r="S361" s="20" t="s">
        <v>23</v>
      </c>
    </row>
    <row r="362" spans="1:19" ht="12.75">
      <c r="A362" s="41">
        <v>24</v>
      </c>
      <c r="B362" s="41">
        <v>2021</v>
      </c>
      <c r="C362" s="1" t="s">
        <v>102</v>
      </c>
      <c r="D362" s="42">
        <v>44258</v>
      </c>
      <c r="E362" s="1" t="s">
        <v>20</v>
      </c>
      <c r="F362" s="1" t="s">
        <v>53</v>
      </c>
      <c r="G362" s="41">
        <v>1</v>
      </c>
      <c r="H362" s="41">
        <v>1</v>
      </c>
      <c r="I362" s="41">
        <v>1</v>
      </c>
      <c r="J362" s="3" t="s">
        <v>30</v>
      </c>
      <c r="K362" s="3">
        <v>31975</v>
      </c>
      <c r="L362" s="3" t="s">
        <v>31</v>
      </c>
      <c r="M362" s="1" t="s">
        <v>1017</v>
      </c>
      <c r="N362" s="4" t="s">
        <v>20</v>
      </c>
      <c r="O362" s="1" t="s">
        <v>20</v>
      </c>
      <c r="P362" s="1">
        <v>0</v>
      </c>
      <c r="Q362" s="7" t="s">
        <v>23</v>
      </c>
      <c r="R362" s="44" t="s">
        <v>1018</v>
      </c>
      <c r="S362" s="17" t="s">
        <v>1019</v>
      </c>
    </row>
    <row r="363" spans="1:19" ht="12.75">
      <c r="A363" s="41">
        <v>25</v>
      </c>
      <c r="B363" s="41">
        <v>2021</v>
      </c>
      <c r="C363" s="1" t="s">
        <v>102</v>
      </c>
      <c r="D363" s="42">
        <v>44259</v>
      </c>
      <c r="E363" s="1" t="s">
        <v>20</v>
      </c>
      <c r="F363" s="1" t="s">
        <v>41</v>
      </c>
      <c r="G363" s="41">
        <v>1</v>
      </c>
      <c r="H363" s="41">
        <v>1</v>
      </c>
      <c r="I363" s="41">
        <v>1</v>
      </c>
      <c r="J363" s="3" t="s">
        <v>23</v>
      </c>
      <c r="K363" s="3" t="s">
        <v>23</v>
      </c>
      <c r="L363" s="3" t="s">
        <v>23</v>
      </c>
      <c r="M363" s="1" t="s">
        <v>1020</v>
      </c>
      <c r="N363" s="1" t="s">
        <v>23</v>
      </c>
      <c r="O363" s="1" t="s">
        <v>33</v>
      </c>
      <c r="P363" s="1">
        <v>17</v>
      </c>
      <c r="Q363" s="28" t="s">
        <v>1021</v>
      </c>
      <c r="R363" s="45" t="s">
        <v>23</v>
      </c>
      <c r="S363" s="17" t="s">
        <v>1022</v>
      </c>
    </row>
    <row r="364" spans="1:19" ht="12.75">
      <c r="A364" s="41">
        <v>26</v>
      </c>
      <c r="B364" s="41">
        <v>2021</v>
      </c>
      <c r="C364" s="1" t="s">
        <v>102</v>
      </c>
      <c r="D364" s="42">
        <v>44259</v>
      </c>
      <c r="E364" s="1" t="s">
        <v>20</v>
      </c>
      <c r="F364" s="1" t="s">
        <v>190</v>
      </c>
      <c r="G364" s="41">
        <v>1</v>
      </c>
      <c r="H364" s="41">
        <v>1</v>
      </c>
      <c r="I364" s="41">
        <v>1</v>
      </c>
      <c r="J364" s="3" t="s">
        <v>23</v>
      </c>
      <c r="K364" s="3" t="s">
        <v>23</v>
      </c>
      <c r="L364" s="3" t="s">
        <v>23</v>
      </c>
      <c r="M364" s="1" t="s">
        <v>1023</v>
      </c>
      <c r="N364" s="1" t="s">
        <v>23</v>
      </c>
      <c r="O364" s="1" t="s">
        <v>33</v>
      </c>
      <c r="P364" s="1">
        <v>8</v>
      </c>
      <c r="Q364" s="28" t="s">
        <v>1024</v>
      </c>
      <c r="R364" s="44" t="s">
        <v>1025</v>
      </c>
      <c r="S364" s="17" t="s">
        <v>1026</v>
      </c>
    </row>
    <row r="365" spans="1:19" ht="12.75">
      <c r="A365" s="41">
        <v>27</v>
      </c>
      <c r="B365" s="41">
        <v>2021</v>
      </c>
      <c r="C365" s="1" t="s">
        <v>102</v>
      </c>
      <c r="D365" s="42">
        <v>44259</v>
      </c>
      <c r="E365" s="1" t="s">
        <v>20</v>
      </c>
      <c r="F365" s="1" t="s">
        <v>43</v>
      </c>
      <c r="G365" s="41">
        <v>1</v>
      </c>
      <c r="H365" s="41">
        <v>1</v>
      </c>
      <c r="I365" s="41">
        <v>1</v>
      </c>
      <c r="J365" s="3" t="s">
        <v>30</v>
      </c>
      <c r="K365" s="3">
        <v>31797</v>
      </c>
      <c r="L365" s="3" t="s">
        <v>61</v>
      </c>
      <c r="M365" s="1" t="s">
        <v>1027</v>
      </c>
      <c r="N365" s="4" t="s">
        <v>20</v>
      </c>
      <c r="O365" s="1" t="s">
        <v>20</v>
      </c>
      <c r="P365" s="1">
        <v>0</v>
      </c>
      <c r="Q365" s="28" t="s">
        <v>1028</v>
      </c>
      <c r="R365" s="44" t="s">
        <v>1029</v>
      </c>
      <c r="S365" s="17" t="s">
        <v>1030</v>
      </c>
    </row>
    <row r="366" spans="1:19" ht="12.75">
      <c r="A366" s="41">
        <v>28</v>
      </c>
      <c r="B366" s="41">
        <v>2021</v>
      </c>
      <c r="C366" s="1" t="s">
        <v>102</v>
      </c>
      <c r="D366" s="42">
        <v>44259</v>
      </c>
      <c r="E366" s="1" t="s">
        <v>20</v>
      </c>
      <c r="F366" s="1" t="s">
        <v>471</v>
      </c>
      <c r="G366" s="41">
        <v>1</v>
      </c>
      <c r="H366" s="41">
        <v>1</v>
      </c>
      <c r="I366" s="41">
        <v>1</v>
      </c>
      <c r="J366" s="3" t="s">
        <v>23</v>
      </c>
      <c r="K366" s="3" t="s">
        <v>23</v>
      </c>
      <c r="L366" s="3" t="s">
        <v>23</v>
      </c>
      <c r="M366" s="1" t="s">
        <v>1031</v>
      </c>
      <c r="N366" s="1" t="s">
        <v>23</v>
      </c>
      <c r="O366" s="1" t="s">
        <v>33</v>
      </c>
      <c r="P366" s="1">
        <v>6</v>
      </c>
      <c r="Q366" s="28" t="s">
        <v>1032</v>
      </c>
      <c r="R366" s="44" t="s">
        <v>1033</v>
      </c>
      <c r="S366" s="17" t="s">
        <v>1034</v>
      </c>
    </row>
    <row r="367" spans="1:19" ht="12.75">
      <c r="A367" s="41">
        <v>29</v>
      </c>
      <c r="B367" s="41">
        <v>2021</v>
      </c>
      <c r="C367" s="1" t="s">
        <v>102</v>
      </c>
      <c r="D367" s="42">
        <v>44264</v>
      </c>
      <c r="E367" s="1" t="s">
        <v>33</v>
      </c>
      <c r="F367" s="6" t="s">
        <v>567</v>
      </c>
      <c r="G367" s="41">
        <v>2</v>
      </c>
      <c r="H367" s="41">
        <v>1</v>
      </c>
      <c r="I367" s="41">
        <v>1</v>
      </c>
      <c r="J367" s="3" t="s">
        <v>30</v>
      </c>
      <c r="K367" s="3">
        <v>32220</v>
      </c>
      <c r="L367" s="14" t="s">
        <v>61</v>
      </c>
      <c r="M367" s="1" t="s">
        <v>1035</v>
      </c>
      <c r="N367" s="4" t="s">
        <v>33</v>
      </c>
      <c r="O367" s="1" t="s">
        <v>20</v>
      </c>
      <c r="P367" s="1">
        <v>0</v>
      </c>
      <c r="Q367" s="28" t="s">
        <v>1036</v>
      </c>
      <c r="R367" s="44" t="s">
        <v>1037</v>
      </c>
      <c r="S367" s="26" t="s">
        <v>1038</v>
      </c>
    </row>
    <row r="368" spans="1:19" ht="12.75">
      <c r="A368" s="41">
        <v>30</v>
      </c>
      <c r="B368" s="41">
        <v>2021</v>
      </c>
      <c r="C368" s="1" t="s">
        <v>102</v>
      </c>
      <c r="D368" s="42">
        <v>44264</v>
      </c>
      <c r="E368" s="1" t="s">
        <v>33</v>
      </c>
      <c r="F368" s="6" t="s">
        <v>1039</v>
      </c>
      <c r="G368" s="41">
        <v>2</v>
      </c>
      <c r="H368" s="41">
        <v>2</v>
      </c>
      <c r="I368" s="41">
        <v>1</v>
      </c>
      <c r="J368" s="3" t="s">
        <v>30</v>
      </c>
      <c r="K368" s="3">
        <v>32063</v>
      </c>
      <c r="L368" s="3" t="s">
        <v>31</v>
      </c>
      <c r="M368" s="1" t="s">
        <v>974</v>
      </c>
      <c r="N368" s="4" t="s">
        <v>20</v>
      </c>
      <c r="O368" s="1" t="s">
        <v>33</v>
      </c>
      <c r="P368" s="1">
        <v>1</v>
      </c>
      <c r="Q368" s="28" t="s">
        <v>1040</v>
      </c>
      <c r="R368" s="44" t="s">
        <v>1041</v>
      </c>
      <c r="S368" s="24" t="s">
        <v>1042</v>
      </c>
    </row>
    <row r="369" spans="1:19" ht="12.75">
      <c r="A369" s="41">
        <v>30</v>
      </c>
      <c r="B369" s="41">
        <v>2021</v>
      </c>
      <c r="C369" s="1" t="s">
        <v>102</v>
      </c>
      <c r="D369" s="42">
        <v>44264</v>
      </c>
      <c r="E369" s="1" t="s">
        <v>33</v>
      </c>
      <c r="F369" s="6" t="s">
        <v>1039</v>
      </c>
      <c r="G369" s="41">
        <v>2</v>
      </c>
      <c r="H369" s="41">
        <v>2</v>
      </c>
      <c r="I369" s="41">
        <v>2</v>
      </c>
      <c r="J369" s="3" t="s">
        <v>30</v>
      </c>
      <c r="K369" s="3">
        <v>31989</v>
      </c>
      <c r="L369" s="3" t="s">
        <v>31</v>
      </c>
      <c r="M369" s="1" t="s">
        <v>1043</v>
      </c>
      <c r="N369" s="4" t="s">
        <v>33</v>
      </c>
      <c r="O369" s="1" t="s">
        <v>23</v>
      </c>
      <c r="P369" s="1" t="s">
        <v>23</v>
      </c>
      <c r="Q369" s="7" t="s">
        <v>23</v>
      </c>
      <c r="R369" s="8" t="s">
        <v>23</v>
      </c>
      <c r="S369" s="20" t="s">
        <v>23</v>
      </c>
    </row>
    <row r="370" spans="1:19" ht="12.75">
      <c r="A370" s="41">
        <v>31</v>
      </c>
      <c r="B370" s="41">
        <v>2021</v>
      </c>
      <c r="C370" s="1" t="s">
        <v>102</v>
      </c>
      <c r="D370" s="42">
        <v>44264</v>
      </c>
      <c r="E370" s="1" t="s">
        <v>20</v>
      </c>
      <c r="F370" s="1" t="s">
        <v>55</v>
      </c>
      <c r="G370" s="41">
        <v>1</v>
      </c>
      <c r="H370" s="41">
        <v>2</v>
      </c>
      <c r="I370" s="41">
        <v>1</v>
      </c>
      <c r="J370" s="3" t="s">
        <v>71</v>
      </c>
      <c r="K370" s="3">
        <v>32014</v>
      </c>
      <c r="L370" s="14" t="s">
        <v>61</v>
      </c>
      <c r="M370" s="1" t="s">
        <v>1044</v>
      </c>
      <c r="N370" s="4" t="s">
        <v>20</v>
      </c>
      <c r="O370" s="1" t="s">
        <v>33</v>
      </c>
      <c r="P370" s="1">
        <v>1</v>
      </c>
      <c r="Q370" s="28" t="s">
        <v>1045</v>
      </c>
      <c r="R370" s="44" t="s">
        <v>1041</v>
      </c>
      <c r="S370" s="17" t="s">
        <v>1046</v>
      </c>
    </row>
    <row r="371" spans="1:19" ht="12.75">
      <c r="A371" s="1">
        <v>31</v>
      </c>
      <c r="B371" s="1">
        <v>2021</v>
      </c>
      <c r="C371" s="1" t="s">
        <v>102</v>
      </c>
      <c r="D371" s="2">
        <v>44264</v>
      </c>
      <c r="E371" s="1" t="s">
        <v>20</v>
      </c>
      <c r="F371" s="1" t="s">
        <v>55</v>
      </c>
      <c r="G371" s="41">
        <v>1</v>
      </c>
      <c r="H371" s="41">
        <v>2</v>
      </c>
      <c r="I371" s="41">
        <v>2</v>
      </c>
      <c r="J371" s="3" t="s">
        <v>71</v>
      </c>
      <c r="K371" s="3">
        <v>32015</v>
      </c>
      <c r="L371" s="14" t="s">
        <v>61</v>
      </c>
      <c r="M371" s="1" t="s">
        <v>1047</v>
      </c>
      <c r="N371" s="4" t="s">
        <v>20</v>
      </c>
      <c r="O371" s="1" t="s">
        <v>23</v>
      </c>
      <c r="P371" s="1" t="s">
        <v>23</v>
      </c>
      <c r="Q371" s="7" t="s">
        <v>23</v>
      </c>
      <c r="R371" s="8" t="s">
        <v>23</v>
      </c>
      <c r="S371" s="20" t="s">
        <v>23</v>
      </c>
    </row>
    <row r="372" spans="1:19" ht="12.75">
      <c r="A372" s="41">
        <v>32</v>
      </c>
      <c r="B372" s="41">
        <v>2021</v>
      </c>
      <c r="C372" s="1" t="s">
        <v>102</v>
      </c>
      <c r="D372" s="42">
        <v>44264</v>
      </c>
      <c r="E372" s="1" t="s">
        <v>20</v>
      </c>
      <c r="F372" s="1" t="s">
        <v>37</v>
      </c>
      <c r="G372" s="41">
        <v>1</v>
      </c>
      <c r="H372" s="41">
        <v>2</v>
      </c>
      <c r="I372" s="41">
        <v>1</v>
      </c>
      <c r="J372" s="3" t="s">
        <v>30</v>
      </c>
      <c r="K372" s="3">
        <v>32045</v>
      </c>
      <c r="L372" s="3" t="s">
        <v>31</v>
      </c>
      <c r="M372" s="1" t="s">
        <v>1048</v>
      </c>
      <c r="N372" s="4" t="s">
        <v>20</v>
      </c>
      <c r="O372" s="1" t="s">
        <v>20</v>
      </c>
      <c r="P372" s="1">
        <v>0</v>
      </c>
      <c r="Q372" s="28" t="s">
        <v>1049</v>
      </c>
      <c r="R372" s="44" t="s">
        <v>1050</v>
      </c>
      <c r="S372" s="17" t="s">
        <v>1051</v>
      </c>
    </row>
    <row r="373" spans="1:19" ht="12.75">
      <c r="A373" s="1">
        <v>32</v>
      </c>
      <c r="B373" s="1">
        <v>2021</v>
      </c>
      <c r="C373" s="1" t="s">
        <v>102</v>
      </c>
      <c r="D373" s="2">
        <v>44264</v>
      </c>
      <c r="E373" s="1" t="s">
        <v>20</v>
      </c>
      <c r="F373" s="1" t="s">
        <v>37</v>
      </c>
      <c r="G373" s="41">
        <v>1</v>
      </c>
      <c r="H373" s="41">
        <v>2</v>
      </c>
      <c r="I373" s="41">
        <v>2</v>
      </c>
      <c r="J373" s="3" t="s">
        <v>64</v>
      </c>
      <c r="K373" s="3">
        <v>32245</v>
      </c>
      <c r="L373" s="3" t="s">
        <v>31</v>
      </c>
      <c r="M373" s="1" t="s">
        <v>1052</v>
      </c>
      <c r="N373" s="4" t="s">
        <v>20</v>
      </c>
      <c r="O373" s="1" t="s">
        <v>23</v>
      </c>
      <c r="P373" s="1" t="s">
        <v>23</v>
      </c>
      <c r="Q373" s="7" t="s">
        <v>23</v>
      </c>
      <c r="R373" s="8" t="s">
        <v>23</v>
      </c>
      <c r="S373" s="20" t="s">
        <v>23</v>
      </c>
    </row>
    <row r="374" spans="1:19" ht="12.75">
      <c r="A374" s="41">
        <v>33</v>
      </c>
      <c r="B374" s="41">
        <v>2021</v>
      </c>
      <c r="C374" s="1" t="s">
        <v>102</v>
      </c>
      <c r="D374" s="42">
        <v>44266</v>
      </c>
      <c r="E374" s="1" t="s">
        <v>20</v>
      </c>
      <c r="F374" s="6" t="s">
        <v>124</v>
      </c>
      <c r="G374" s="41">
        <v>1</v>
      </c>
      <c r="H374" s="41">
        <v>1</v>
      </c>
      <c r="I374" s="41">
        <v>1</v>
      </c>
      <c r="J374" s="3" t="s">
        <v>23</v>
      </c>
      <c r="K374" s="3" t="s">
        <v>23</v>
      </c>
      <c r="L374" s="3" t="s">
        <v>23</v>
      </c>
      <c r="M374" s="1" t="s">
        <v>1053</v>
      </c>
      <c r="N374" s="1" t="s">
        <v>23</v>
      </c>
      <c r="O374" s="1" t="s">
        <v>20</v>
      </c>
      <c r="P374" s="1">
        <v>0</v>
      </c>
      <c r="Q374" s="28" t="s">
        <v>1054</v>
      </c>
      <c r="R374" s="44" t="s">
        <v>706</v>
      </c>
      <c r="S374" s="17" t="s">
        <v>1055</v>
      </c>
    </row>
    <row r="375" spans="1:19" ht="12.75">
      <c r="A375" s="41">
        <v>34</v>
      </c>
      <c r="B375" s="41">
        <v>2021</v>
      </c>
      <c r="C375" s="1" t="s">
        <v>102</v>
      </c>
      <c r="D375" s="42">
        <v>44266</v>
      </c>
      <c r="E375" s="1" t="s">
        <v>33</v>
      </c>
      <c r="F375" s="6" t="s">
        <v>1056</v>
      </c>
      <c r="G375" s="41">
        <v>2</v>
      </c>
      <c r="H375" s="41">
        <v>1</v>
      </c>
      <c r="I375" s="41">
        <v>1</v>
      </c>
      <c r="J375" s="3" t="s">
        <v>30</v>
      </c>
      <c r="K375" s="3">
        <v>32236</v>
      </c>
      <c r="L375" s="14" t="s">
        <v>61</v>
      </c>
      <c r="M375" s="1" t="s">
        <v>1057</v>
      </c>
      <c r="N375" s="4" t="s">
        <v>20</v>
      </c>
      <c r="O375" s="1" t="s">
        <v>33</v>
      </c>
      <c r="P375" s="1">
        <v>4</v>
      </c>
      <c r="Q375" s="28" t="s">
        <v>1058</v>
      </c>
      <c r="R375" s="44" t="s">
        <v>1059</v>
      </c>
      <c r="S375" s="26" t="s">
        <v>1060</v>
      </c>
    </row>
    <row r="376" spans="1:19" ht="12.75">
      <c r="A376" s="41">
        <v>35</v>
      </c>
      <c r="B376" s="41">
        <v>2021</v>
      </c>
      <c r="C376" s="1" t="s">
        <v>102</v>
      </c>
      <c r="D376" s="42">
        <v>44266</v>
      </c>
      <c r="E376" s="1" t="s">
        <v>20</v>
      </c>
      <c r="F376" s="1" t="s">
        <v>370</v>
      </c>
      <c r="G376" s="41">
        <v>1</v>
      </c>
      <c r="H376" s="41">
        <v>1</v>
      </c>
      <c r="I376" s="41">
        <v>1</v>
      </c>
      <c r="J376" s="3" t="s">
        <v>23</v>
      </c>
      <c r="K376" s="3" t="s">
        <v>23</v>
      </c>
      <c r="L376" s="3" t="s">
        <v>23</v>
      </c>
      <c r="M376" s="1" t="s">
        <v>1061</v>
      </c>
      <c r="N376" s="1" t="s">
        <v>23</v>
      </c>
      <c r="O376" s="1" t="s">
        <v>33</v>
      </c>
      <c r="P376" s="1">
        <v>1</v>
      </c>
      <c r="Q376" s="28" t="s">
        <v>1062</v>
      </c>
      <c r="R376" s="45" t="s">
        <v>23</v>
      </c>
      <c r="S376" s="17" t="s">
        <v>1063</v>
      </c>
    </row>
    <row r="377" spans="1:19" ht="12.75">
      <c r="A377" s="41">
        <v>36</v>
      </c>
      <c r="B377" s="41">
        <v>2021</v>
      </c>
      <c r="C377" s="1" t="s">
        <v>102</v>
      </c>
      <c r="D377" s="42">
        <v>44271</v>
      </c>
      <c r="E377" s="1" t="s">
        <v>20</v>
      </c>
      <c r="F377" s="1" t="s">
        <v>37</v>
      </c>
      <c r="G377" s="41">
        <v>1</v>
      </c>
      <c r="H377" s="41">
        <v>1</v>
      </c>
      <c r="I377" s="41">
        <v>1</v>
      </c>
      <c r="J377" s="3" t="s">
        <v>64</v>
      </c>
      <c r="K377" s="3">
        <v>32245</v>
      </c>
      <c r="L377" s="3" t="s">
        <v>31</v>
      </c>
      <c r="M377" s="1" t="s">
        <v>1052</v>
      </c>
      <c r="N377" s="4" t="s">
        <v>33</v>
      </c>
      <c r="O377" s="1" t="s">
        <v>20</v>
      </c>
      <c r="P377" s="1">
        <v>0</v>
      </c>
      <c r="Q377" s="28" t="s">
        <v>1064</v>
      </c>
      <c r="R377" s="44" t="s">
        <v>1065</v>
      </c>
      <c r="S377" s="17" t="s">
        <v>1066</v>
      </c>
    </row>
    <row r="378" spans="1:19" ht="12.75">
      <c r="A378" s="41">
        <v>37</v>
      </c>
      <c r="B378" s="41">
        <v>2021</v>
      </c>
      <c r="C378" s="1" t="s">
        <v>102</v>
      </c>
      <c r="D378" s="42">
        <v>44271</v>
      </c>
      <c r="E378" s="1" t="s">
        <v>20</v>
      </c>
      <c r="F378" s="1" t="s">
        <v>39</v>
      </c>
      <c r="G378" s="41">
        <v>1</v>
      </c>
      <c r="H378" s="41">
        <v>2</v>
      </c>
      <c r="I378" s="41">
        <v>1</v>
      </c>
      <c r="J378" s="3" t="s">
        <v>71</v>
      </c>
      <c r="K378" s="3">
        <v>32081</v>
      </c>
      <c r="L378" s="3" t="s">
        <v>61</v>
      </c>
      <c r="M378" s="1" t="s">
        <v>1067</v>
      </c>
      <c r="N378" s="4" t="s">
        <v>20</v>
      </c>
      <c r="O378" s="1" t="s">
        <v>33</v>
      </c>
      <c r="P378" s="1">
        <v>3</v>
      </c>
      <c r="Q378" s="28" t="s">
        <v>1068</v>
      </c>
      <c r="R378" s="44" t="s">
        <v>1069</v>
      </c>
      <c r="S378" s="17" t="s">
        <v>1070</v>
      </c>
    </row>
    <row r="379" spans="1:19" ht="12.75">
      <c r="A379" s="41">
        <v>37</v>
      </c>
      <c r="B379" s="41">
        <v>2021</v>
      </c>
      <c r="C379" s="1" t="s">
        <v>102</v>
      </c>
      <c r="D379" s="42">
        <v>44271</v>
      </c>
      <c r="E379" s="1" t="s">
        <v>20</v>
      </c>
      <c r="F379" s="1" t="s">
        <v>39</v>
      </c>
      <c r="G379" s="41">
        <v>1</v>
      </c>
      <c r="H379" s="41">
        <v>2</v>
      </c>
      <c r="I379" s="41">
        <v>2</v>
      </c>
      <c r="J379" s="3" t="s">
        <v>71</v>
      </c>
      <c r="K379" s="3">
        <v>31110</v>
      </c>
      <c r="L379" s="14" t="s">
        <v>61</v>
      </c>
      <c r="M379" s="1" t="s">
        <v>1071</v>
      </c>
      <c r="N379" s="4" t="s">
        <v>20</v>
      </c>
      <c r="O379" s="1" t="s">
        <v>23</v>
      </c>
      <c r="P379" s="1" t="s">
        <v>23</v>
      </c>
      <c r="Q379" s="7" t="s">
        <v>23</v>
      </c>
      <c r="R379" s="8" t="s">
        <v>23</v>
      </c>
      <c r="S379" s="20" t="s">
        <v>23</v>
      </c>
    </row>
    <row r="380" spans="1:19" ht="12.75">
      <c r="A380" s="41">
        <v>38</v>
      </c>
      <c r="B380" s="41">
        <v>2021</v>
      </c>
      <c r="C380" s="1" t="s">
        <v>102</v>
      </c>
      <c r="D380" s="42">
        <v>44271</v>
      </c>
      <c r="E380" s="1" t="s">
        <v>20</v>
      </c>
      <c r="F380" s="1" t="s">
        <v>148</v>
      </c>
      <c r="G380" s="41">
        <v>1</v>
      </c>
      <c r="H380" s="41">
        <v>1</v>
      </c>
      <c r="I380" s="41">
        <v>1</v>
      </c>
      <c r="J380" s="3" t="s">
        <v>30</v>
      </c>
      <c r="K380" s="3">
        <v>31698</v>
      </c>
      <c r="L380" s="3" t="s">
        <v>61</v>
      </c>
      <c r="M380" s="1" t="s">
        <v>1072</v>
      </c>
      <c r="N380" s="4" t="s">
        <v>20</v>
      </c>
      <c r="O380" s="1" t="s">
        <v>20</v>
      </c>
      <c r="P380" s="1">
        <v>0</v>
      </c>
      <c r="Q380" s="32" t="s">
        <v>1073</v>
      </c>
      <c r="R380" s="44" t="s">
        <v>1074</v>
      </c>
      <c r="S380" s="17" t="s">
        <v>1075</v>
      </c>
    </row>
    <row r="381" spans="1:19" ht="12.75">
      <c r="A381" s="41">
        <v>39</v>
      </c>
      <c r="B381" s="41">
        <v>2021</v>
      </c>
      <c r="C381" s="1" t="s">
        <v>102</v>
      </c>
      <c r="D381" s="42">
        <v>44272</v>
      </c>
      <c r="E381" s="1" t="s">
        <v>33</v>
      </c>
      <c r="F381" s="6" t="s">
        <v>1076</v>
      </c>
      <c r="G381" s="41">
        <v>6</v>
      </c>
      <c r="H381" s="41">
        <v>1</v>
      </c>
      <c r="I381" s="41">
        <v>1</v>
      </c>
      <c r="J381" s="3" t="s">
        <v>23</v>
      </c>
      <c r="K381" s="3" t="s">
        <v>23</v>
      </c>
      <c r="L381" s="3" t="s">
        <v>23</v>
      </c>
      <c r="M381" s="1" t="s">
        <v>1077</v>
      </c>
      <c r="N381" s="1" t="s">
        <v>23</v>
      </c>
      <c r="O381" s="1" t="s">
        <v>33</v>
      </c>
      <c r="P381" s="1">
        <v>3</v>
      </c>
      <c r="Q381" s="28" t="s">
        <v>1078</v>
      </c>
      <c r="R381" s="44" t="s">
        <v>1079</v>
      </c>
      <c r="S381" s="26" t="s">
        <v>1080</v>
      </c>
    </row>
    <row r="382" spans="1:19" ht="12.75">
      <c r="A382" s="41">
        <v>40</v>
      </c>
      <c r="B382" s="41">
        <v>2021</v>
      </c>
      <c r="C382" s="1" t="s">
        <v>102</v>
      </c>
      <c r="D382" s="42">
        <v>44273</v>
      </c>
      <c r="E382" s="1" t="s">
        <v>20</v>
      </c>
      <c r="F382" s="1" t="s">
        <v>41</v>
      </c>
      <c r="G382" s="41">
        <v>1</v>
      </c>
      <c r="H382" s="41">
        <v>1</v>
      </c>
      <c r="I382" s="41">
        <v>1</v>
      </c>
      <c r="J382" s="3" t="s">
        <v>23</v>
      </c>
      <c r="K382" s="3" t="s">
        <v>23</v>
      </c>
      <c r="L382" s="3" t="s">
        <v>23</v>
      </c>
      <c r="M382" s="1" t="s">
        <v>1081</v>
      </c>
      <c r="N382" s="1" t="s">
        <v>23</v>
      </c>
      <c r="O382" s="1" t="s">
        <v>33</v>
      </c>
      <c r="P382" s="1">
        <v>4</v>
      </c>
      <c r="Q382" s="28" t="s">
        <v>1082</v>
      </c>
      <c r="R382" s="44" t="s">
        <v>1083</v>
      </c>
      <c r="S382" s="17" t="s">
        <v>1084</v>
      </c>
    </row>
    <row r="383" spans="1:19" ht="12.75">
      <c r="A383" s="41">
        <v>41</v>
      </c>
      <c r="B383" s="41">
        <v>2021</v>
      </c>
      <c r="C383" s="1" t="s">
        <v>102</v>
      </c>
      <c r="D383" s="42">
        <v>44273</v>
      </c>
      <c r="E383" s="1" t="s">
        <v>20</v>
      </c>
      <c r="F383" s="1" t="s">
        <v>471</v>
      </c>
      <c r="G383" s="41">
        <v>1</v>
      </c>
      <c r="H383" s="41">
        <v>1</v>
      </c>
      <c r="I383" s="41">
        <v>1</v>
      </c>
      <c r="J383" s="3" t="s">
        <v>23</v>
      </c>
      <c r="K383" s="3" t="s">
        <v>23</v>
      </c>
      <c r="L383" s="3" t="s">
        <v>23</v>
      </c>
      <c r="M383" s="1" t="s">
        <v>1085</v>
      </c>
      <c r="N383" s="1" t="s">
        <v>23</v>
      </c>
      <c r="O383" s="1" t="s">
        <v>33</v>
      </c>
      <c r="P383" s="1">
        <v>1</v>
      </c>
      <c r="Q383" s="28" t="s">
        <v>1086</v>
      </c>
      <c r="R383" s="44" t="s">
        <v>1087</v>
      </c>
      <c r="S383" s="17" t="s">
        <v>1088</v>
      </c>
    </row>
    <row r="384" spans="1:19" ht="12.75">
      <c r="A384" s="41">
        <v>42</v>
      </c>
      <c r="B384" s="41">
        <v>2021</v>
      </c>
      <c r="C384" s="1" t="s">
        <v>102</v>
      </c>
      <c r="D384" s="42">
        <v>44273</v>
      </c>
      <c r="E384" s="1" t="s">
        <v>33</v>
      </c>
      <c r="F384" s="6" t="s">
        <v>1056</v>
      </c>
      <c r="G384" s="41">
        <v>2</v>
      </c>
      <c r="H384" s="41">
        <v>1</v>
      </c>
      <c r="I384" s="41">
        <v>1</v>
      </c>
      <c r="J384" s="3" t="s">
        <v>30</v>
      </c>
      <c r="K384" s="3">
        <v>32236</v>
      </c>
      <c r="L384" s="14" t="s">
        <v>61</v>
      </c>
      <c r="M384" s="1" t="s">
        <v>1057</v>
      </c>
      <c r="N384" s="4" t="s">
        <v>33</v>
      </c>
      <c r="O384" s="1" t="s">
        <v>20</v>
      </c>
      <c r="P384" s="1">
        <v>0</v>
      </c>
      <c r="Q384" s="28" t="s">
        <v>1089</v>
      </c>
      <c r="R384" s="44" t="s">
        <v>1090</v>
      </c>
      <c r="S384" s="30" t="s">
        <v>1091</v>
      </c>
    </row>
    <row r="385" spans="1:19" ht="12.75">
      <c r="A385" s="41">
        <v>43</v>
      </c>
      <c r="B385" s="41">
        <v>2021</v>
      </c>
      <c r="C385" s="1" t="s">
        <v>102</v>
      </c>
      <c r="D385" s="42">
        <v>44280</v>
      </c>
      <c r="E385" s="1" t="s">
        <v>33</v>
      </c>
      <c r="F385" s="6" t="s">
        <v>244</v>
      </c>
      <c r="G385" s="41">
        <v>2</v>
      </c>
      <c r="H385" s="41">
        <v>1</v>
      </c>
      <c r="I385" s="41">
        <v>1</v>
      </c>
      <c r="J385" s="3" t="s">
        <v>30</v>
      </c>
      <c r="K385" s="3">
        <v>32265</v>
      </c>
      <c r="L385" s="3" t="s">
        <v>31</v>
      </c>
      <c r="M385" s="1" t="s">
        <v>1092</v>
      </c>
      <c r="N385" s="4" t="s">
        <v>33</v>
      </c>
      <c r="O385" s="1" t="s">
        <v>20</v>
      </c>
      <c r="P385" s="1">
        <v>0</v>
      </c>
      <c r="Q385" s="28" t="s">
        <v>1093</v>
      </c>
      <c r="R385" s="44" t="s">
        <v>1094</v>
      </c>
      <c r="S385" s="24" t="s">
        <v>1095</v>
      </c>
    </row>
    <row r="386" spans="1:19" ht="12.75">
      <c r="A386" s="41">
        <v>44</v>
      </c>
      <c r="B386" s="41">
        <v>2021</v>
      </c>
      <c r="C386" s="1" t="s">
        <v>102</v>
      </c>
      <c r="D386" s="42">
        <v>44280</v>
      </c>
      <c r="E386" s="1" t="s">
        <v>33</v>
      </c>
      <c r="F386" s="6" t="s">
        <v>1076</v>
      </c>
      <c r="G386" s="41">
        <v>6</v>
      </c>
      <c r="H386" s="41">
        <v>1</v>
      </c>
      <c r="I386" s="41">
        <v>1</v>
      </c>
      <c r="J386" s="3" t="s">
        <v>23</v>
      </c>
      <c r="K386" s="3" t="s">
        <v>23</v>
      </c>
      <c r="L386" s="3" t="s">
        <v>23</v>
      </c>
      <c r="M386" s="1" t="s">
        <v>1096</v>
      </c>
      <c r="N386" s="1" t="s">
        <v>23</v>
      </c>
      <c r="O386" s="1" t="s">
        <v>33</v>
      </c>
      <c r="P386" s="1">
        <v>3</v>
      </c>
      <c r="Q386" s="28" t="s">
        <v>1097</v>
      </c>
      <c r="R386" s="44" t="s">
        <v>1098</v>
      </c>
      <c r="S386" s="17" t="s">
        <v>1099</v>
      </c>
    </row>
    <row r="387" spans="1:19" ht="12.75">
      <c r="A387" s="41">
        <v>45</v>
      </c>
      <c r="B387" s="41">
        <v>2021</v>
      </c>
      <c r="C387" s="1" t="s">
        <v>102</v>
      </c>
      <c r="D387" s="42">
        <v>44280</v>
      </c>
      <c r="E387" s="1" t="s">
        <v>20</v>
      </c>
      <c r="F387" s="1" t="s">
        <v>148</v>
      </c>
      <c r="G387" s="41">
        <v>1</v>
      </c>
      <c r="H387" s="41">
        <v>1</v>
      </c>
      <c r="I387" s="41">
        <v>1</v>
      </c>
      <c r="J387" s="3" t="s">
        <v>30</v>
      </c>
      <c r="K387" s="3">
        <v>31698</v>
      </c>
      <c r="L387" s="3" t="s">
        <v>61</v>
      </c>
      <c r="M387" s="1" t="s">
        <v>1100</v>
      </c>
      <c r="N387" s="4" t="s">
        <v>20</v>
      </c>
      <c r="O387" s="1" t="s">
        <v>33</v>
      </c>
      <c r="P387" s="1">
        <v>1</v>
      </c>
      <c r="Q387" s="32" t="s">
        <v>1101</v>
      </c>
      <c r="R387" s="44" t="s">
        <v>1102</v>
      </c>
      <c r="S387" s="17" t="s">
        <v>1103</v>
      </c>
    </row>
    <row r="388" spans="1:19" ht="12.75">
      <c r="A388" s="41">
        <v>46</v>
      </c>
      <c r="B388" s="41">
        <v>2021</v>
      </c>
      <c r="C388" s="1" t="s">
        <v>102</v>
      </c>
      <c r="D388" s="42">
        <v>44280</v>
      </c>
      <c r="E388" s="1" t="s">
        <v>20</v>
      </c>
      <c r="F388" s="1" t="s">
        <v>37</v>
      </c>
      <c r="G388" s="41">
        <v>1</v>
      </c>
      <c r="H388" s="41">
        <v>1</v>
      </c>
      <c r="I388" s="41">
        <v>1</v>
      </c>
      <c r="J388" s="3" t="s">
        <v>30</v>
      </c>
      <c r="K388" s="3">
        <v>32045</v>
      </c>
      <c r="L388" s="3" t="s">
        <v>31</v>
      </c>
      <c r="M388" s="1" t="s">
        <v>1048</v>
      </c>
      <c r="N388" s="4" t="s">
        <v>33</v>
      </c>
      <c r="O388" s="1" t="s">
        <v>33</v>
      </c>
      <c r="P388" s="1">
        <v>1</v>
      </c>
      <c r="Q388" s="28" t="s">
        <v>1104</v>
      </c>
      <c r="R388" s="44" t="s">
        <v>1105</v>
      </c>
      <c r="S388" s="17" t="s">
        <v>1106</v>
      </c>
    </row>
    <row r="389" spans="1:19" ht="12.75">
      <c r="A389" s="41">
        <v>47</v>
      </c>
      <c r="B389" s="41">
        <v>2021</v>
      </c>
      <c r="C389" s="1" t="s">
        <v>102</v>
      </c>
      <c r="D389" s="42">
        <v>44285</v>
      </c>
      <c r="E389" s="1" t="s">
        <v>20</v>
      </c>
      <c r="F389" s="1" t="s">
        <v>26</v>
      </c>
      <c r="G389" s="41">
        <v>1</v>
      </c>
      <c r="H389" s="41">
        <v>1</v>
      </c>
      <c r="I389" s="41">
        <v>1</v>
      </c>
      <c r="J389" s="3" t="s">
        <v>23</v>
      </c>
      <c r="K389" s="3" t="s">
        <v>23</v>
      </c>
      <c r="L389" s="3" t="s">
        <v>23</v>
      </c>
      <c r="M389" s="1" t="s">
        <v>1107</v>
      </c>
      <c r="N389" s="1" t="s">
        <v>23</v>
      </c>
      <c r="O389" s="1" t="s">
        <v>33</v>
      </c>
      <c r="P389" s="1">
        <v>1</v>
      </c>
      <c r="Q389" s="28" t="s">
        <v>1108</v>
      </c>
      <c r="R389" s="44" t="s">
        <v>1109</v>
      </c>
      <c r="S389" s="17" t="s">
        <v>1110</v>
      </c>
    </row>
    <row r="390" spans="1:19" ht="12.75">
      <c r="A390" s="41">
        <v>48</v>
      </c>
      <c r="B390" s="41">
        <v>2021</v>
      </c>
      <c r="C390" s="1" t="s">
        <v>102</v>
      </c>
      <c r="D390" s="42">
        <v>44285</v>
      </c>
      <c r="E390" s="1" t="s">
        <v>33</v>
      </c>
      <c r="F390" s="6" t="s">
        <v>1111</v>
      </c>
      <c r="G390" s="41">
        <v>3</v>
      </c>
      <c r="H390" s="41">
        <v>2</v>
      </c>
      <c r="I390" s="41">
        <v>1</v>
      </c>
      <c r="J390" s="3" t="s">
        <v>30</v>
      </c>
      <c r="K390" s="3">
        <v>32309</v>
      </c>
      <c r="L390" s="3" t="s">
        <v>31</v>
      </c>
      <c r="M390" s="1" t="s">
        <v>1112</v>
      </c>
      <c r="N390" s="4" t="s">
        <v>20</v>
      </c>
      <c r="O390" s="1" t="s">
        <v>20</v>
      </c>
      <c r="P390" s="1">
        <v>0</v>
      </c>
      <c r="Q390" s="28" t="s">
        <v>1113</v>
      </c>
      <c r="R390" s="44" t="s">
        <v>1114</v>
      </c>
      <c r="S390" s="17" t="s">
        <v>1115</v>
      </c>
    </row>
    <row r="391" spans="1:19" ht="12.75">
      <c r="A391" s="41">
        <v>48</v>
      </c>
      <c r="B391" s="41">
        <v>2021</v>
      </c>
      <c r="C391" s="1" t="s">
        <v>102</v>
      </c>
      <c r="D391" s="42">
        <v>44285</v>
      </c>
      <c r="E391" s="1" t="s">
        <v>33</v>
      </c>
      <c r="F391" s="6" t="s">
        <v>1111</v>
      </c>
      <c r="G391" s="41">
        <v>3</v>
      </c>
      <c r="H391" s="41">
        <v>2</v>
      </c>
      <c r="I391" s="41">
        <v>2</v>
      </c>
      <c r="J391" s="3" t="s">
        <v>30</v>
      </c>
      <c r="K391" s="3">
        <v>32310</v>
      </c>
      <c r="L391" s="3" t="s">
        <v>31</v>
      </c>
      <c r="M391" s="1" t="s">
        <v>1116</v>
      </c>
      <c r="N391" s="4" t="s">
        <v>20</v>
      </c>
      <c r="O391" s="1" t="s">
        <v>23</v>
      </c>
      <c r="P391" s="1" t="s">
        <v>23</v>
      </c>
      <c r="Q391" s="7" t="s">
        <v>23</v>
      </c>
      <c r="R391" s="8" t="s">
        <v>23</v>
      </c>
      <c r="S391" s="20" t="s">
        <v>23</v>
      </c>
    </row>
    <row r="392" spans="1:19" ht="12.75">
      <c r="A392" s="41">
        <v>49</v>
      </c>
      <c r="B392" s="41">
        <v>2021</v>
      </c>
      <c r="C392" s="1" t="s">
        <v>102</v>
      </c>
      <c r="D392" s="42">
        <v>44285</v>
      </c>
      <c r="E392" s="1" t="s">
        <v>20</v>
      </c>
      <c r="F392" s="1" t="s">
        <v>73</v>
      </c>
      <c r="G392" s="41">
        <v>1</v>
      </c>
      <c r="H392" s="41">
        <v>1</v>
      </c>
      <c r="I392" s="41">
        <v>1</v>
      </c>
      <c r="J392" s="3" t="s">
        <v>30</v>
      </c>
      <c r="K392" s="3">
        <v>32348</v>
      </c>
      <c r="L392" s="3" t="s">
        <v>31</v>
      </c>
      <c r="M392" s="1" t="s">
        <v>1117</v>
      </c>
      <c r="N392" s="4" t="s">
        <v>20</v>
      </c>
      <c r="O392" s="1" t="s">
        <v>33</v>
      </c>
      <c r="P392" s="1">
        <v>2</v>
      </c>
      <c r="Q392" s="28" t="s">
        <v>1118</v>
      </c>
      <c r="R392" s="44" t="s">
        <v>1119</v>
      </c>
      <c r="S392" s="17" t="s">
        <v>1120</v>
      </c>
    </row>
    <row r="393" spans="1:19" ht="12.75">
      <c r="A393" s="41">
        <v>50</v>
      </c>
      <c r="B393" s="41">
        <v>2021</v>
      </c>
      <c r="C393" s="1" t="s">
        <v>102</v>
      </c>
      <c r="D393" s="42">
        <v>44286</v>
      </c>
      <c r="E393" s="1" t="s">
        <v>20</v>
      </c>
      <c r="F393" s="1" t="s">
        <v>53</v>
      </c>
      <c r="G393" s="41">
        <v>1</v>
      </c>
      <c r="H393" s="41">
        <v>1</v>
      </c>
      <c r="I393" s="41">
        <v>1</v>
      </c>
      <c r="J393" s="3" t="s">
        <v>30</v>
      </c>
      <c r="K393" s="3">
        <v>32045</v>
      </c>
      <c r="L393" s="3" t="s">
        <v>31</v>
      </c>
      <c r="M393" s="1" t="s">
        <v>1048</v>
      </c>
      <c r="N393" s="4" t="s">
        <v>20</v>
      </c>
      <c r="O393" s="1" t="s">
        <v>20</v>
      </c>
      <c r="P393" s="1">
        <v>0</v>
      </c>
      <c r="Q393" s="28" t="s">
        <v>1121</v>
      </c>
      <c r="R393" s="44" t="s">
        <v>1122</v>
      </c>
      <c r="S393" s="17" t="s">
        <v>1123</v>
      </c>
    </row>
    <row r="394" spans="1:19" ht="12.75">
      <c r="A394" s="41">
        <v>51</v>
      </c>
      <c r="B394" s="41">
        <v>2021</v>
      </c>
      <c r="C394" s="1" t="s">
        <v>102</v>
      </c>
      <c r="D394" s="42">
        <v>44292</v>
      </c>
      <c r="E394" s="1" t="s">
        <v>20</v>
      </c>
      <c r="F394" s="1" t="s">
        <v>37</v>
      </c>
      <c r="G394" s="41">
        <v>1</v>
      </c>
      <c r="H394" s="41">
        <v>2</v>
      </c>
      <c r="I394" s="41">
        <v>1</v>
      </c>
      <c r="J394" s="3" t="s">
        <v>64</v>
      </c>
      <c r="K394" s="3">
        <v>32141</v>
      </c>
      <c r="L394" s="3" t="s">
        <v>31</v>
      </c>
      <c r="M394" s="1" t="s">
        <v>1124</v>
      </c>
      <c r="N394" s="4" t="s">
        <v>33</v>
      </c>
      <c r="O394" s="1" t="s">
        <v>20</v>
      </c>
      <c r="P394" s="1">
        <v>0</v>
      </c>
      <c r="Q394" s="28" t="s">
        <v>1125</v>
      </c>
      <c r="R394" s="44" t="s">
        <v>1126</v>
      </c>
      <c r="S394" s="17" t="s">
        <v>1127</v>
      </c>
    </row>
    <row r="395" spans="1:19" ht="12.75">
      <c r="A395" s="41">
        <v>51</v>
      </c>
      <c r="B395" s="41">
        <v>2021</v>
      </c>
      <c r="C395" s="1" t="s">
        <v>102</v>
      </c>
      <c r="D395" s="42">
        <v>44292</v>
      </c>
      <c r="E395" s="1" t="s">
        <v>20</v>
      </c>
      <c r="F395" s="1" t="s">
        <v>37</v>
      </c>
      <c r="G395" s="41">
        <v>1</v>
      </c>
      <c r="H395" s="41">
        <v>2</v>
      </c>
      <c r="I395" s="41">
        <v>2</v>
      </c>
      <c r="J395" s="3" t="s">
        <v>64</v>
      </c>
      <c r="K395" s="3">
        <v>32417</v>
      </c>
      <c r="L395" s="3" t="s">
        <v>31</v>
      </c>
      <c r="M395" s="1" t="s">
        <v>1128</v>
      </c>
      <c r="N395" s="4" t="s">
        <v>33</v>
      </c>
      <c r="O395" s="1" t="s">
        <v>23</v>
      </c>
      <c r="P395" s="1" t="s">
        <v>23</v>
      </c>
      <c r="Q395" s="7" t="s">
        <v>23</v>
      </c>
      <c r="R395" s="8" t="s">
        <v>23</v>
      </c>
      <c r="S395" s="20" t="s">
        <v>23</v>
      </c>
    </row>
    <row r="396" spans="1:19" ht="12.75">
      <c r="A396" s="41">
        <v>52</v>
      </c>
      <c r="B396" s="41">
        <v>2021</v>
      </c>
      <c r="C396" s="1" t="s">
        <v>102</v>
      </c>
      <c r="D396" s="42">
        <v>44292</v>
      </c>
      <c r="E396" s="1" t="s">
        <v>20</v>
      </c>
      <c r="F396" s="1" t="s">
        <v>21</v>
      </c>
      <c r="G396" s="41">
        <v>1</v>
      </c>
      <c r="H396" s="41">
        <v>1</v>
      </c>
      <c r="I396" s="41">
        <v>1</v>
      </c>
      <c r="J396" s="3" t="s">
        <v>23</v>
      </c>
      <c r="K396" s="3" t="s">
        <v>23</v>
      </c>
      <c r="L396" s="3" t="s">
        <v>23</v>
      </c>
      <c r="M396" s="1" t="s">
        <v>1129</v>
      </c>
      <c r="N396" s="1" t="s">
        <v>23</v>
      </c>
      <c r="O396" s="1" t="s">
        <v>33</v>
      </c>
      <c r="P396" s="1">
        <v>1</v>
      </c>
      <c r="Q396" s="28" t="s">
        <v>1130</v>
      </c>
      <c r="R396" s="44" t="s">
        <v>1131</v>
      </c>
      <c r="S396" s="17" t="s">
        <v>1132</v>
      </c>
    </row>
    <row r="397" spans="1:19" ht="12.75">
      <c r="A397" s="41">
        <v>53</v>
      </c>
      <c r="B397" s="41">
        <v>2021</v>
      </c>
      <c r="C397" s="1" t="s">
        <v>102</v>
      </c>
      <c r="D397" s="42">
        <v>44292</v>
      </c>
      <c r="E397" s="1" t="s">
        <v>33</v>
      </c>
      <c r="F397" s="6" t="s">
        <v>1133</v>
      </c>
      <c r="G397" s="18">
        <v>2</v>
      </c>
      <c r="H397" s="41">
        <v>1</v>
      </c>
      <c r="I397" s="41">
        <v>1</v>
      </c>
      <c r="J397" s="3" t="s">
        <v>23</v>
      </c>
      <c r="K397" s="3" t="s">
        <v>23</v>
      </c>
      <c r="L397" s="3" t="s">
        <v>23</v>
      </c>
      <c r="M397" s="1" t="s">
        <v>1134</v>
      </c>
      <c r="N397" s="1" t="s">
        <v>23</v>
      </c>
      <c r="O397" s="1" t="s">
        <v>33</v>
      </c>
      <c r="P397" s="1">
        <v>4</v>
      </c>
      <c r="Q397" s="28" t="s">
        <v>1135</v>
      </c>
      <c r="R397" s="44" t="s">
        <v>1136</v>
      </c>
      <c r="S397" s="17" t="s">
        <v>1137</v>
      </c>
    </row>
    <row r="398" spans="1:19" ht="12.75">
      <c r="A398" s="41">
        <v>54</v>
      </c>
      <c r="B398" s="41">
        <v>2021</v>
      </c>
      <c r="C398" s="1" t="s">
        <v>102</v>
      </c>
      <c r="D398" s="42">
        <v>44292</v>
      </c>
      <c r="E398" s="1" t="s">
        <v>33</v>
      </c>
      <c r="F398" s="6" t="s">
        <v>1111</v>
      </c>
      <c r="G398" s="41">
        <v>3</v>
      </c>
      <c r="H398" s="41">
        <v>2</v>
      </c>
      <c r="I398" s="41">
        <v>1</v>
      </c>
      <c r="J398" s="3" t="s">
        <v>30</v>
      </c>
      <c r="K398" s="3">
        <v>32309</v>
      </c>
      <c r="L398" s="3" t="s">
        <v>31</v>
      </c>
      <c r="M398" s="1" t="s">
        <v>1112</v>
      </c>
      <c r="N398" s="4" t="s">
        <v>20</v>
      </c>
      <c r="O398" s="1" t="s">
        <v>33</v>
      </c>
      <c r="P398" s="1">
        <v>3</v>
      </c>
      <c r="Q398" s="28" t="s">
        <v>1138</v>
      </c>
      <c r="R398" s="44" t="s">
        <v>1139</v>
      </c>
      <c r="S398" s="17" t="s">
        <v>1140</v>
      </c>
    </row>
    <row r="399" spans="1:19" ht="12.75">
      <c r="A399" s="41">
        <v>54</v>
      </c>
      <c r="B399" s="41">
        <v>2021</v>
      </c>
      <c r="C399" s="1" t="s">
        <v>102</v>
      </c>
      <c r="D399" s="42">
        <v>44292</v>
      </c>
      <c r="E399" s="1" t="s">
        <v>33</v>
      </c>
      <c r="F399" s="6" t="s">
        <v>1111</v>
      </c>
      <c r="G399" s="41">
        <v>3</v>
      </c>
      <c r="H399" s="41">
        <v>2</v>
      </c>
      <c r="I399" s="41">
        <v>2</v>
      </c>
      <c r="J399" s="3" t="s">
        <v>30</v>
      </c>
      <c r="K399" s="3">
        <v>32310</v>
      </c>
      <c r="L399" s="3" t="s">
        <v>31</v>
      </c>
      <c r="M399" s="1" t="s">
        <v>1141</v>
      </c>
      <c r="N399" s="4" t="s">
        <v>20</v>
      </c>
      <c r="O399" s="1" t="s">
        <v>23</v>
      </c>
      <c r="P399" s="1" t="s">
        <v>23</v>
      </c>
      <c r="Q399" s="7" t="s">
        <v>23</v>
      </c>
      <c r="R399" s="8" t="s">
        <v>23</v>
      </c>
      <c r="S399" s="20" t="s">
        <v>23</v>
      </c>
    </row>
    <row r="400" spans="1:19" ht="12.75">
      <c r="A400" s="41">
        <v>55</v>
      </c>
      <c r="B400" s="41">
        <v>2021</v>
      </c>
      <c r="C400" s="1" t="s">
        <v>102</v>
      </c>
      <c r="D400" s="42">
        <v>44293</v>
      </c>
      <c r="E400" s="1" t="s">
        <v>33</v>
      </c>
      <c r="F400" s="6" t="s">
        <v>530</v>
      </c>
      <c r="G400" s="41">
        <v>2</v>
      </c>
      <c r="H400" s="41">
        <v>1</v>
      </c>
      <c r="I400" s="41">
        <v>1</v>
      </c>
      <c r="J400" s="3" t="s">
        <v>30</v>
      </c>
      <c r="K400" s="3">
        <v>32348</v>
      </c>
      <c r="L400" s="3" t="s">
        <v>31</v>
      </c>
      <c r="M400" s="1" t="s">
        <v>1117</v>
      </c>
      <c r="N400" s="4" t="s">
        <v>33</v>
      </c>
      <c r="O400" s="1" t="s">
        <v>20</v>
      </c>
      <c r="P400" s="1">
        <v>0</v>
      </c>
      <c r="Q400" s="28" t="s">
        <v>1142</v>
      </c>
      <c r="R400" s="44" t="s">
        <v>1143</v>
      </c>
      <c r="S400" s="17" t="s">
        <v>1144</v>
      </c>
    </row>
    <row r="401" spans="1:19" ht="12.75">
      <c r="A401" s="41">
        <v>56</v>
      </c>
      <c r="B401" s="41">
        <v>2021</v>
      </c>
      <c r="C401" s="1" t="s">
        <v>19</v>
      </c>
      <c r="D401" s="42">
        <v>44294</v>
      </c>
      <c r="E401" s="1" t="s">
        <v>20</v>
      </c>
      <c r="F401" s="1" t="s">
        <v>370</v>
      </c>
      <c r="G401" s="41">
        <v>1</v>
      </c>
      <c r="H401" s="41">
        <v>1</v>
      </c>
      <c r="I401" s="41">
        <v>1</v>
      </c>
      <c r="J401" s="3" t="s">
        <v>23</v>
      </c>
      <c r="K401" s="3" t="s">
        <v>23</v>
      </c>
      <c r="L401" s="3" t="s">
        <v>23</v>
      </c>
      <c r="M401" s="1" t="s">
        <v>1145</v>
      </c>
      <c r="N401" s="1" t="s">
        <v>23</v>
      </c>
      <c r="O401" s="1" t="s">
        <v>20</v>
      </c>
      <c r="P401" s="1">
        <v>0</v>
      </c>
      <c r="Q401" s="7" t="s">
        <v>23</v>
      </c>
      <c r="R401" s="45" t="s">
        <v>23</v>
      </c>
      <c r="S401" s="32" t="s">
        <v>1146</v>
      </c>
    </row>
    <row r="402" spans="1:19" ht="12.75">
      <c r="A402" s="41">
        <v>57</v>
      </c>
      <c r="B402" s="41">
        <v>2021</v>
      </c>
      <c r="C402" s="1" t="s">
        <v>102</v>
      </c>
      <c r="D402" s="42">
        <v>44294</v>
      </c>
      <c r="E402" s="1" t="s">
        <v>33</v>
      </c>
      <c r="F402" s="6" t="s">
        <v>1147</v>
      </c>
      <c r="G402" s="41">
        <v>2</v>
      </c>
      <c r="H402" s="41">
        <v>6</v>
      </c>
      <c r="I402" s="41">
        <v>1</v>
      </c>
      <c r="J402" s="3" t="s">
        <v>71</v>
      </c>
      <c r="K402" s="3">
        <v>31935</v>
      </c>
      <c r="L402" s="3" t="s">
        <v>61</v>
      </c>
      <c r="M402" s="1" t="s">
        <v>1148</v>
      </c>
      <c r="N402" s="4" t="s">
        <v>20</v>
      </c>
      <c r="O402" s="1" t="s">
        <v>33</v>
      </c>
      <c r="P402" s="1">
        <v>4</v>
      </c>
      <c r="Q402" s="28" t="s">
        <v>1149</v>
      </c>
      <c r="R402" s="44" t="s">
        <v>1150</v>
      </c>
      <c r="S402" s="17" t="s">
        <v>1151</v>
      </c>
    </row>
    <row r="403" spans="1:19" ht="12.75">
      <c r="A403" s="41">
        <v>57</v>
      </c>
      <c r="B403" s="41">
        <v>2021</v>
      </c>
      <c r="C403" s="1" t="s">
        <v>102</v>
      </c>
      <c r="D403" s="42">
        <v>44294</v>
      </c>
      <c r="E403" s="1" t="s">
        <v>33</v>
      </c>
      <c r="F403" s="6" t="s">
        <v>1147</v>
      </c>
      <c r="G403" s="41">
        <v>2</v>
      </c>
      <c r="H403" s="41">
        <v>6</v>
      </c>
      <c r="I403" s="41">
        <v>2</v>
      </c>
      <c r="J403" s="3" t="s">
        <v>71</v>
      </c>
      <c r="K403" s="3">
        <v>30285</v>
      </c>
      <c r="L403" s="14" t="s">
        <v>61</v>
      </c>
      <c r="M403" s="1" t="s">
        <v>1152</v>
      </c>
      <c r="N403" s="4" t="s">
        <v>20</v>
      </c>
      <c r="O403" s="1" t="s">
        <v>23</v>
      </c>
      <c r="P403" s="1" t="s">
        <v>23</v>
      </c>
      <c r="Q403" s="7" t="s">
        <v>23</v>
      </c>
      <c r="R403" s="8" t="s">
        <v>23</v>
      </c>
      <c r="S403" s="20" t="s">
        <v>23</v>
      </c>
    </row>
    <row r="404" spans="1:19" ht="12.75">
      <c r="A404" s="41">
        <v>57</v>
      </c>
      <c r="B404" s="41">
        <v>2021</v>
      </c>
      <c r="C404" s="1" t="s">
        <v>102</v>
      </c>
      <c r="D404" s="42">
        <v>44294</v>
      </c>
      <c r="E404" s="1" t="s">
        <v>33</v>
      </c>
      <c r="F404" s="6" t="s">
        <v>1147</v>
      </c>
      <c r="G404" s="41">
        <v>2</v>
      </c>
      <c r="H404" s="41">
        <v>6</v>
      </c>
      <c r="I404" s="41">
        <v>3</v>
      </c>
      <c r="J404" s="3" t="s">
        <v>71</v>
      </c>
      <c r="K404" s="3">
        <v>31383</v>
      </c>
      <c r="L404" s="14" t="s">
        <v>61</v>
      </c>
      <c r="M404" s="1" t="s">
        <v>1153</v>
      </c>
      <c r="N404" s="4" t="s">
        <v>20</v>
      </c>
      <c r="O404" s="1" t="s">
        <v>23</v>
      </c>
      <c r="P404" s="1" t="s">
        <v>23</v>
      </c>
      <c r="Q404" s="7" t="s">
        <v>23</v>
      </c>
      <c r="R404" s="8" t="s">
        <v>23</v>
      </c>
      <c r="S404" s="20" t="s">
        <v>23</v>
      </c>
    </row>
    <row r="405" spans="1:19" ht="12.75">
      <c r="A405" s="41">
        <v>57</v>
      </c>
      <c r="B405" s="41">
        <v>2021</v>
      </c>
      <c r="C405" s="1" t="s">
        <v>102</v>
      </c>
      <c r="D405" s="42">
        <v>44294</v>
      </c>
      <c r="E405" s="1" t="s">
        <v>33</v>
      </c>
      <c r="F405" s="6" t="s">
        <v>1147</v>
      </c>
      <c r="G405" s="41">
        <v>2</v>
      </c>
      <c r="H405" s="41">
        <v>6</v>
      </c>
      <c r="I405" s="41">
        <v>4</v>
      </c>
      <c r="J405" s="3" t="s">
        <v>71</v>
      </c>
      <c r="K405" s="3">
        <v>32012</v>
      </c>
      <c r="L405" s="14" t="s">
        <v>61</v>
      </c>
      <c r="M405" s="1" t="s">
        <v>1154</v>
      </c>
      <c r="N405" s="4" t="s">
        <v>20</v>
      </c>
      <c r="O405" s="1" t="s">
        <v>23</v>
      </c>
      <c r="P405" s="1" t="s">
        <v>23</v>
      </c>
      <c r="Q405" s="7" t="s">
        <v>23</v>
      </c>
      <c r="R405" s="8" t="s">
        <v>23</v>
      </c>
      <c r="S405" s="20" t="s">
        <v>23</v>
      </c>
    </row>
    <row r="406" spans="1:19" ht="12.75">
      <c r="A406" s="41">
        <v>57</v>
      </c>
      <c r="B406" s="41">
        <v>2021</v>
      </c>
      <c r="C406" s="1" t="s">
        <v>102</v>
      </c>
      <c r="D406" s="42">
        <v>44294</v>
      </c>
      <c r="E406" s="1" t="s">
        <v>33</v>
      </c>
      <c r="F406" s="6" t="s">
        <v>1147</v>
      </c>
      <c r="G406" s="41">
        <v>2</v>
      </c>
      <c r="H406" s="41">
        <v>6</v>
      </c>
      <c r="I406" s="41">
        <v>5</v>
      </c>
      <c r="J406" s="3" t="s">
        <v>71</v>
      </c>
      <c r="K406" s="3">
        <v>32419</v>
      </c>
      <c r="L406" s="14" t="s">
        <v>61</v>
      </c>
      <c r="M406" s="1" t="s">
        <v>1155</v>
      </c>
      <c r="N406" s="4" t="s">
        <v>20</v>
      </c>
      <c r="O406" s="1" t="s">
        <v>23</v>
      </c>
      <c r="P406" s="1" t="s">
        <v>23</v>
      </c>
      <c r="Q406" s="7" t="s">
        <v>23</v>
      </c>
      <c r="R406" s="8" t="s">
        <v>23</v>
      </c>
      <c r="S406" s="20" t="s">
        <v>23</v>
      </c>
    </row>
    <row r="407" spans="1:19" ht="12.75">
      <c r="A407" s="41">
        <v>57</v>
      </c>
      <c r="B407" s="41">
        <v>2021</v>
      </c>
      <c r="C407" s="1" t="s">
        <v>102</v>
      </c>
      <c r="D407" s="42">
        <v>44294</v>
      </c>
      <c r="E407" s="1" t="s">
        <v>33</v>
      </c>
      <c r="F407" s="6" t="s">
        <v>1147</v>
      </c>
      <c r="G407" s="41">
        <v>2</v>
      </c>
      <c r="H407" s="41">
        <v>6</v>
      </c>
      <c r="I407" s="41">
        <v>6</v>
      </c>
      <c r="J407" s="3" t="s">
        <v>71</v>
      </c>
      <c r="K407" s="3">
        <v>32215</v>
      </c>
      <c r="L407" s="3" t="s">
        <v>61</v>
      </c>
      <c r="M407" s="1" t="s">
        <v>1156</v>
      </c>
      <c r="N407" s="4" t="s">
        <v>20</v>
      </c>
      <c r="O407" s="1" t="s">
        <v>23</v>
      </c>
      <c r="P407" s="1" t="s">
        <v>23</v>
      </c>
      <c r="Q407" s="7" t="s">
        <v>23</v>
      </c>
      <c r="R407" s="8" t="s">
        <v>23</v>
      </c>
      <c r="S407" s="20" t="s">
        <v>23</v>
      </c>
    </row>
    <row r="408" spans="1:19" ht="12.75">
      <c r="A408" s="41">
        <v>58</v>
      </c>
      <c r="B408" s="41">
        <v>2021</v>
      </c>
      <c r="C408" s="1" t="s">
        <v>102</v>
      </c>
      <c r="D408" s="42">
        <v>44294</v>
      </c>
      <c r="E408" s="1" t="s">
        <v>20</v>
      </c>
      <c r="F408" s="1" t="s">
        <v>43</v>
      </c>
      <c r="G408" s="41">
        <v>1</v>
      </c>
      <c r="H408" s="41">
        <v>1</v>
      </c>
      <c r="I408" s="41">
        <v>1</v>
      </c>
      <c r="J408" s="3" t="s">
        <v>30</v>
      </c>
      <c r="K408" s="3">
        <v>32460</v>
      </c>
      <c r="L408" s="14" t="s">
        <v>61</v>
      </c>
      <c r="M408" s="1" t="s">
        <v>1157</v>
      </c>
      <c r="N408" s="4" t="s">
        <v>20</v>
      </c>
      <c r="O408" s="1" t="s">
        <v>20</v>
      </c>
      <c r="P408" s="1">
        <v>0</v>
      </c>
      <c r="Q408" s="28" t="s">
        <v>1158</v>
      </c>
      <c r="R408" s="44" t="s">
        <v>1159</v>
      </c>
      <c r="S408" s="17" t="s">
        <v>1160</v>
      </c>
    </row>
    <row r="409" spans="1:19" ht="12.75">
      <c r="A409" s="41">
        <v>59</v>
      </c>
      <c r="B409" s="41">
        <v>2021</v>
      </c>
      <c r="C409" s="1" t="s">
        <v>102</v>
      </c>
      <c r="D409" s="42">
        <v>44294</v>
      </c>
      <c r="E409" s="1" t="s">
        <v>20</v>
      </c>
      <c r="F409" s="1" t="s">
        <v>41</v>
      </c>
      <c r="G409" s="41">
        <v>1</v>
      </c>
      <c r="H409" s="41">
        <v>1</v>
      </c>
      <c r="I409" s="41">
        <v>1</v>
      </c>
      <c r="J409" s="3" t="s">
        <v>23</v>
      </c>
      <c r="K409" s="3" t="s">
        <v>23</v>
      </c>
      <c r="L409" s="3" t="s">
        <v>23</v>
      </c>
      <c r="M409" s="1" t="s">
        <v>1161</v>
      </c>
      <c r="N409" s="1" t="s">
        <v>23</v>
      </c>
      <c r="O409" s="1" t="s">
        <v>33</v>
      </c>
      <c r="P409" s="1">
        <v>1</v>
      </c>
      <c r="Q409" s="28" t="s">
        <v>1162</v>
      </c>
      <c r="R409" s="44" t="s">
        <v>1163</v>
      </c>
      <c r="S409" s="17" t="s">
        <v>1164</v>
      </c>
    </row>
    <row r="410" spans="1:19" ht="12.75">
      <c r="A410" s="41">
        <v>60</v>
      </c>
      <c r="B410" s="41">
        <v>2021</v>
      </c>
      <c r="C410" s="1" t="s">
        <v>102</v>
      </c>
      <c r="D410" s="42">
        <v>44299</v>
      </c>
      <c r="E410" s="1" t="s">
        <v>20</v>
      </c>
      <c r="F410" s="1" t="s">
        <v>26</v>
      </c>
      <c r="G410" s="41">
        <v>1</v>
      </c>
      <c r="H410" s="41">
        <v>1</v>
      </c>
      <c r="I410" s="41">
        <v>1</v>
      </c>
      <c r="J410" s="3" t="s">
        <v>30</v>
      </c>
      <c r="K410" s="3">
        <v>32088</v>
      </c>
      <c r="L410" s="14" t="s">
        <v>61</v>
      </c>
      <c r="M410" s="1" t="s">
        <v>970</v>
      </c>
      <c r="N410" s="4" t="s">
        <v>20</v>
      </c>
      <c r="O410" s="1" t="s">
        <v>20</v>
      </c>
      <c r="P410" s="1">
        <v>0</v>
      </c>
      <c r="Q410" s="28" t="s">
        <v>1165</v>
      </c>
      <c r="R410" s="44" t="s">
        <v>1166</v>
      </c>
      <c r="S410" s="17" t="s">
        <v>1167</v>
      </c>
    </row>
    <row r="411" spans="1:19" ht="12.75">
      <c r="A411" s="41">
        <v>61</v>
      </c>
      <c r="B411" s="41">
        <v>2021</v>
      </c>
      <c r="C411" s="1" t="s">
        <v>102</v>
      </c>
      <c r="D411" s="42">
        <v>44299</v>
      </c>
      <c r="E411" s="1" t="s">
        <v>33</v>
      </c>
      <c r="F411" s="6" t="s">
        <v>1111</v>
      </c>
      <c r="G411" s="41">
        <v>3</v>
      </c>
      <c r="H411" s="41">
        <v>2</v>
      </c>
      <c r="I411" s="41">
        <v>1</v>
      </c>
      <c r="J411" s="3" t="s">
        <v>30</v>
      </c>
      <c r="K411" s="3">
        <v>32309</v>
      </c>
      <c r="L411" s="3" t="s">
        <v>31</v>
      </c>
      <c r="M411" s="1" t="s">
        <v>1112</v>
      </c>
      <c r="N411" s="4" t="s">
        <v>33</v>
      </c>
      <c r="O411" s="1" t="s">
        <v>20</v>
      </c>
      <c r="P411" s="1">
        <v>0</v>
      </c>
      <c r="Q411" s="28" t="s">
        <v>1168</v>
      </c>
      <c r="R411" s="44" t="s">
        <v>1169</v>
      </c>
      <c r="S411" s="17" t="s">
        <v>1170</v>
      </c>
    </row>
    <row r="412" spans="1:19" ht="12.75">
      <c r="A412" s="41">
        <v>61</v>
      </c>
      <c r="B412" s="41">
        <v>2021</v>
      </c>
      <c r="C412" s="1" t="s">
        <v>102</v>
      </c>
      <c r="D412" s="42">
        <v>44299</v>
      </c>
      <c r="E412" s="1" t="s">
        <v>33</v>
      </c>
      <c r="F412" s="6" t="s">
        <v>1111</v>
      </c>
      <c r="G412" s="41">
        <v>3</v>
      </c>
      <c r="H412" s="41">
        <v>2</v>
      </c>
      <c r="I412" s="41">
        <v>2</v>
      </c>
      <c r="J412" s="3" t="s">
        <v>30</v>
      </c>
      <c r="K412" s="3">
        <v>32310</v>
      </c>
      <c r="L412" s="3" t="s">
        <v>31</v>
      </c>
      <c r="M412" s="1" t="s">
        <v>1141</v>
      </c>
      <c r="N412" s="4" t="s">
        <v>33</v>
      </c>
      <c r="O412" s="1" t="s">
        <v>23</v>
      </c>
      <c r="P412" s="1" t="s">
        <v>23</v>
      </c>
      <c r="Q412" s="7" t="s">
        <v>23</v>
      </c>
      <c r="R412" s="8" t="s">
        <v>23</v>
      </c>
      <c r="S412" s="20" t="s">
        <v>23</v>
      </c>
    </row>
    <row r="413" spans="1:19" ht="12.75">
      <c r="A413" s="41">
        <v>62</v>
      </c>
      <c r="B413" s="41">
        <v>2021</v>
      </c>
      <c r="C413" s="1" t="s">
        <v>102</v>
      </c>
      <c r="D413" s="42">
        <v>44299</v>
      </c>
      <c r="E413" s="1" t="s">
        <v>33</v>
      </c>
      <c r="F413" s="6" t="s">
        <v>1171</v>
      </c>
      <c r="G413" s="41">
        <v>3</v>
      </c>
      <c r="H413" s="41">
        <v>3</v>
      </c>
      <c r="I413" s="41">
        <v>1</v>
      </c>
      <c r="J413" s="3" t="s">
        <v>30</v>
      </c>
      <c r="K413" s="3">
        <v>29563</v>
      </c>
      <c r="L413" s="14" t="s">
        <v>61</v>
      </c>
      <c r="M413" s="1" t="s">
        <v>1172</v>
      </c>
      <c r="N413" s="4" t="s">
        <v>20</v>
      </c>
      <c r="O413" s="1" t="s">
        <v>20</v>
      </c>
      <c r="P413" s="1">
        <v>0</v>
      </c>
      <c r="Q413" s="28" t="s">
        <v>1173</v>
      </c>
      <c r="R413" s="44" t="s">
        <v>1174</v>
      </c>
      <c r="S413" s="17" t="s">
        <v>1175</v>
      </c>
    </row>
    <row r="414" spans="1:19" ht="12.75">
      <c r="A414" s="41">
        <v>62</v>
      </c>
      <c r="B414" s="41">
        <v>2021</v>
      </c>
      <c r="C414" s="1" t="s">
        <v>102</v>
      </c>
      <c r="D414" s="42">
        <v>44299</v>
      </c>
      <c r="E414" s="1" t="s">
        <v>33</v>
      </c>
      <c r="F414" s="6" t="s">
        <v>1171</v>
      </c>
      <c r="G414" s="41">
        <v>3</v>
      </c>
      <c r="H414" s="41">
        <v>3</v>
      </c>
      <c r="I414" s="41">
        <v>2</v>
      </c>
      <c r="J414" s="3" t="s">
        <v>30</v>
      </c>
      <c r="K414" s="3">
        <v>31868</v>
      </c>
      <c r="L414" s="14" t="s">
        <v>61</v>
      </c>
      <c r="M414" s="1" t="s">
        <v>1176</v>
      </c>
      <c r="N414" s="4" t="s">
        <v>20</v>
      </c>
      <c r="O414" s="1" t="s">
        <v>23</v>
      </c>
      <c r="P414" s="1" t="s">
        <v>23</v>
      </c>
      <c r="Q414" s="7" t="s">
        <v>23</v>
      </c>
      <c r="R414" s="8" t="s">
        <v>23</v>
      </c>
      <c r="S414" s="20" t="s">
        <v>23</v>
      </c>
    </row>
    <row r="415" spans="1:19" ht="12.75">
      <c r="A415" s="41">
        <v>62</v>
      </c>
      <c r="B415" s="41">
        <v>2021</v>
      </c>
      <c r="C415" s="1" t="s">
        <v>102</v>
      </c>
      <c r="D415" s="42">
        <v>44299</v>
      </c>
      <c r="E415" s="1" t="s">
        <v>33</v>
      </c>
      <c r="F415" s="6" t="s">
        <v>1171</v>
      </c>
      <c r="G415" s="41">
        <v>3</v>
      </c>
      <c r="H415" s="41">
        <v>3</v>
      </c>
      <c r="I415" s="41">
        <v>3</v>
      </c>
      <c r="J415" s="3" t="s">
        <v>30</v>
      </c>
      <c r="K415" s="3">
        <v>32398</v>
      </c>
      <c r="L415" s="3" t="s">
        <v>31</v>
      </c>
      <c r="M415" s="1" t="s">
        <v>1177</v>
      </c>
      <c r="N415" s="4" t="s">
        <v>20</v>
      </c>
      <c r="O415" s="1" t="s">
        <v>23</v>
      </c>
      <c r="P415" s="1" t="s">
        <v>23</v>
      </c>
      <c r="Q415" s="7" t="s">
        <v>23</v>
      </c>
      <c r="R415" s="8" t="s">
        <v>23</v>
      </c>
      <c r="S415" s="20" t="s">
        <v>23</v>
      </c>
    </row>
    <row r="416" spans="1:19" ht="12.75">
      <c r="A416" s="18">
        <v>63</v>
      </c>
      <c r="B416" s="41">
        <v>2021</v>
      </c>
      <c r="C416" s="1" t="s">
        <v>102</v>
      </c>
      <c r="D416" s="12">
        <v>44299</v>
      </c>
      <c r="E416" s="6" t="s">
        <v>20</v>
      </c>
      <c r="F416" s="1" t="s">
        <v>370</v>
      </c>
      <c r="G416" s="41">
        <v>1</v>
      </c>
      <c r="H416" s="41">
        <v>3</v>
      </c>
      <c r="I416" s="41">
        <v>1</v>
      </c>
      <c r="J416" s="3" t="s">
        <v>30</v>
      </c>
      <c r="K416" s="3">
        <v>31811</v>
      </c>
      <c r="L416" s="14" t="s">
        <v>61</v>
      </c>
      <c r="M416" s="1" t="s">
        <v>1178</v>
      </c>
      <c r="N416" s="4" t="s">
        <v>20</v>
      </c>
      <c r="O416" s="1" t="s">
        <v>20</v>
      </c>
      <c r="P416" s="1">
        <v>0</v>
      </c>
      <c r="Q416" s="28" t="s">
        <v>1179</v>
      </c>
      <c r="R416" s="44" t="s">
        <v>1180</v>
      </c>
      <c r="S416" s="17" t="s">
        <v>1181</v>
      </c>
    </row>
    <row r="417" spans="1:19" ht="12.75">
      <c r="A417" s="18">
        <v>63</v>
      </c>
      <c r="B417" s="41">
        <v>2021</v>
      </c>
      <c r="C417" s="1" t="s">
        <v>102</v>
      </c>
      <c r="D417" s="12">
        <v>44299</v>
      </c>
      <c r="E417" s="6" t="s">
        <v>20</v>
      </c>
      <c r="F417" s="1" t="s">
        <v>370</v>
      </c>
      <c r="G417" s="41">
        <v>1</v>
      </c>
      <c r="H417" s="41">
        <v>3</v>
      </c>
      <c r="I417" s="41">
        <v>2</v>
      </c>
      <c r="J417" s="3" t="s">
        <v>30</v>
      </c>
      <c r="K417" s="3">
        <v>30983</v>
      </c>
      <c r="L417" s="3" t="s">
        <v>61</v>
      </c>
      <c r="M417" s="1" t="s">
        <v>1182</v>
      </c>
      <c r="N417" s="4" t="s">
        <v>20</v>
      </c>
      <c r="O417" s="1" t="s">
        <v>23</v>
      </c>
      <c r="P417" s="1" t="s">
        <v>23</v>
      </c>
      <c r="Q417" s="7" t="s">
        <v>23</v>
      </c>
      <c r="R417" s="8" t="s">
        <v>23</v>
      </c>
      <c r="S417" s="20" t="s">
        <v>23</v>
      </c>
    </row>
    <row r="418" spans="1:19" ht="12.75">
      <c r="A418" s="18">
        <v>63</v>
      </c>
      <c r="B418" s="41">
        <v>2021</v>
      </c>
      <c r="C418" s="1" t="s">
        <v>102</v>
      </c>
      <c r="D418" s="12">
        <v>44299</v>
      </c>
      <c r="E418" s="6" t="s">
        <v>20</v>
      </c>
      <c r="F418" s="1" t="s">
        <v>370</v>
      </c>
      <c r="G418" s="41">
        <v>1</v>
      </c>
      <c r="H418" s="41">
        <v>3</v>
      </c>
      <c r="I418" s="41">
        <v>3</v>
      </c>
      <c r="J418" s="3" t="s">
        <v>30</v>
      </c>
      <c r="K418" s="3">
        <v>32542</v>
      </c>
      <c r="L418" s="3" t="s">
        <v>61</v>
      </c>
      <c r="M418" s="1" t="s">
        <v>1183</v>
      </c>
      <c r="N418" s="4" t="s">
        <v>20</v>
      </c>
      <c r="O418" s="1" t="s">
        <v>23</v>
      </c>
      <c r="P418" s="1" t="s">
        <v>23</v>
      </c>
      <c r="Q418" s="7" t="s">
        <v>23</v>
      </c>
      <c r="R418" s="8" t="s">
        <v>23</v>
      </c>
      <c r="S418" s="20" t="s">
        <v>23</v>
      </c>
    </row>
    <row r="419" spans="1:19" ht="12.75">
      <c r="A419" s="41">
        <v>64</v>
      </c>
      <c r="B419" s="41">
        <v>2021</v>
      </c>
      <c r="C419" s="1" t="s">
        <v>102</v>
      </c>
      <c r="D419" s="42">
        <v>44299</v>
      </c>
      <c r="E419" s="1" t="s">
        <v>33</v>
      </c>
      <c r="F419" s="6" t="s">
        <v>1184</v>
      </c>
      <c r="G419" s="41">
        <v>2</v>
      </c>
      <c r="H419" s="41">
        <v>1</v>
      </c>
      <c r="I419" s="41">
        <v>1</v>
      </c>
      <c r="J419" s="3" t="s">
        <v>30</v>
      </c>
      <c r="K419" s="3">
        <v>32324</v>
      </c>
      <c r="L419" s="3" t="s">
        <v>61</v>
      </c>
      <c r="M419" s="1" t="s">
        <v>1185</v>
      </c>
      <c r="N419" s="4" t="s">
        <v>20</v>
      </c>
      <c r="O419" s="1" t="s">
        <v>20</v>
      </c>
      <c r="P419" s="1">
        <v>0</v>
      </c>
      <c r="Q419" s="28" t="s">
        <v>1186</v>
      </c>
      <c r="R419" s="44" t="s">
        <v>1187</v>
      </c>
      <c r="S419" s="17" t="s">
        <v>1188</v>
      </c>
    </row>
    <row r="420" spans="1:19" ht="12.75">
      <c r="A420" s="41">
        <v>65</v>
      </c>
      <c r="B420" s="41">
        <v>2021</v>
      </c>
      <c r="C420" s="1" t="s">
        <v>102</v>
      </c>
      <c r="D420" s="42">
        <v>44300</v>
      </c>
      <c r="E420" s="1" t="s">
        <v>33</v>
      </c>
      <c r="F420" s="6" t="s">
        <v>1189</v>
      </c>
      <c r="G420" s="41">
        <v>2</v>
      </c>
      <c r="H420" s="41">
        <v>1</v>
      </c>
      <c r="I420" s="41">
        <v>1</v>
      </c>
      <c r="J420" s="3" t="s">
        <v>30</v>
      </c>
      <c r="K420" s="3">
        <v>32088</v>
      </c>
      <c r="L420" s="14" t="s">
        <v>61</v>
      </c>
      <c r="M420" s="1" t="s">
        <v>970</v>
      </c>
      <c r="N420" s="4" t="s">
        <v>33</v>
      </c>
      <c r="O420" s="1" t="s">
        <v>20</v>
      </c>
      <c r="P420" s="1">
        <v>0</v>
      </c>
      <c r="Q420" s="28" t="s">
        <v>1190</v>
      </c>
      <c r="R420" s="44" t="s">
        <v>1191</v>
      </c>
      <c r="S420" s="17" t="s">
        <v>1192</v>
      </c>
    </row>
    <row r="421" spans="1:19" ht="12.75">
      <c r="A421" s="41">
        <v>66</v>
      </c>
      <c r="B421" s="41">
        <v>2021</v>
      </c>
      <c r="C421" s="1" t="s">
        <v>102</v>
      </c>
      <c r="D421" s="42">
        <v>44301</v>
      </c>
      <c r="E421" s="1" t="s">
        <v>33</v>
      </c>
      <c r="F421" s="6" t="s">
        <v>1184</v>
      </c>
      <c r="G421" s="41">
        <v>2</v>
      </c>
      <c r="H421" s="41">
        <v>1</v>
      </c>
      <c r="I421" s="41">
        <v>1</v>
      </c>
      <c r="J421" s="3" t="s">
        <v>30</v>
      </c>
      <c r="K421" s="3">
        <v>32324</v>
      </c>
      <c r="L421" s="3" t="s">
        <v>61</v>
      </c>
      <c r="M421" s="1" t="s">
        <v>1185</v>
      </c>
      <c r="N421" s="4" t="s">
        <v>33</v>
      </c>
      <c r="O421" s="1" t="s">
        <v>20</v>
      </c>
      <c r="P421" s="1">
        <v>0</v>
      </c>
      <c r="Q421" s="28" t="s">
        <v>1193</v>
      </c>
      <c r="R421" s="44" t="s">
        <v>1194</v>
      </c>
      <c r="S421" s="34" t="s">
        <v>1195</v>
      </c>
    </row>
    <row r="422" spans="1:19" ht="12.75">
      <c r="A422" s="41">
        <v>67</v>
      </c>
      <c r="B422" s="41">
        <v>2021</v>
      </c>
      <c r="C422" s="1" t="s">
        <v>102</v>
      </c>
      <c r="D422" s="42">
        <v>44301</v>
      </c>
      <c r="E422" s="1" t="s">
        <v>20</v>
      </c>
      <c r="F422" s="1" t="s">
        <v>37</v>
      </c>
      <c r="G422" s="41">
        <v>1</v>
      </c>
      <c r="H422" s="41">
        <v>3</v>
      </c>
      <c r="I422" s="41">
        <v>1</v>
      </c>
      <c r="J422" s="3" t="s">
        <v>64</v>
      </c>
      <c r="K422" s="3">
        <v>32449</v>
      </c>
      <c r="L422" s="3" t="s">
        <v>31</v>
      </c>
      <c r="M422" s="1" t="s">
        <v>1196</v>
      </c>
      <c r="N422" s="4" t="s">
        <v>33</v>
      </c>
      <c r="O422" s="1" t="s">
        <v>20</v>
      </c>
      <c r="P422" s="1">
        <v>0</v>
      </c>
      <c r="Q422" s="28" t="s">
        <v>1193</v>
      </c>
      <c r="R422" s="44" t="s">
        <v>1194</v>
      </c>
      <c r="S422" s="17" t="s">
        <v>1197</v>
      </c>
    </row>
    <row r="423" spans="1:19" ht="12.75">
      <c r="A423" s="41">
        <v>67</v>
      </c>
      <c r="B423" s="41">
        <v>2021</v>
      </c>
      <c r="C423" s="1" t="s">
        <v>102</v>
      </c>
      <c r="D423" s="42">
        <v>44301</v>
      </c>
      <c r="E423" s="1" t="s">
        <v>20</v>
      </c>
      <c r="F423" s="1" t="s">
        <v>37</v>
      </c>
      <c r="G423" s="41">
        <v>1</v>
      </c>
      <c r="H423" s="41">
        <v>3</v>
      </c>
      <c r="I423" s="41">
        <v>2</v>
      </c>
      <c r="J423" s="3" t="s">
        <v>64</v>
      </c>
      <c r="K423" s="3">
        <v>32450</v>
      </c>
      <c r="L423" s="3" t="s">
        <v>31</v>
      </c>
      <c r="M423" s="1" t="s">
        <v>1198</v>
      </c>
      <c r="N423" s="4" t="s">
        <v>33</v>
      </c>
      <c r="O423" s="1" t="s">
        <v>23</v>
      </c>
      <c r="P423" s="1" t="s">
        <v>23</v>
      </c>
      <c r="Q423" s="7" t="s">
        <v>23</v>
      </c>
      <c r="R423" s="8" t="s">
        <v>23</v>
      </c>
      <c r="S423" s="20" t="s">
        <v>23</v>
      </c>
    </row>
    <row r="424" spans="1:19" ht="12.75">
      <c r="A424" s="41">
        <v>67</v>
      </c>
      <c r="B424" s="41">
        <v>2021</v>
      </c>
      <c r="C424" s="1" t="s">
        <v>102</v>
      </c>
      <c r="D424" s="42">
        <v>44301</v>
      </c>
      <c r="E424" s="1" t="s">
        <v>20</v>
      </c>
      <c r="F424" s="1" t="s">
        <v>37</v>
      </c>
      <c r="G424" s="41">
        <v>1</v>
      </c>
      <c r="H424" s="41">
        <v>3</v>
      </c>
      <c r="I424" s="41">
        <v>3</v>
      </c>
      <c r="J424" s="3" t="s">
        <v>64</v>
      </c>
      <c r="K424" s="3">
        <v>32453</v>
      </c>
      <c r="L424" s="3" t="s">
        <v>31</v>
      </c>
      <c r="M424" s="1" t="s">
        <v>1199</v>
      </c>
      <c r="N424" s="4" t="s">
        <v>33</v>
      </c>
      <c r="O424" s="1" t="s">
        <v>23</v>
      </c>
      <c r="P424" s="1" t="s">
        <v>23</v>
      </c>
      <c r="Q424" s="7" t="s">
        <v>23</v>
      </c>
      <c r="R424" s="8" t="s">
        <v>23</v>
      </c>
      <c r="S424" s="20" t="s">
        <v>23</v>
      </c>
    </row>
    <row r="425" spans="1:19" ht="12.75">
      <c r="A425" s="41">
        <v>68</v>
      </c>
      <c r="B425" s="41">
        <v>2021</v>
      </c>
      <c r="C425" s="1" t="s">
        <v>102</v>
      </c>
      <c r="D425" s="42">
        <v>44301</v>
      </c>
      <c r="E425" s="1" t="s">
        <v>20</v>
      </c>
      <c r="F425" s="1" t="s">
        <v>47</v>
      </c>
      <c r="G425" s="41">
        <v>1</v>
      </c>
      <c r="H425" s="41">
        <v>1</v>
      </c>
      <c r="I425" s="41">
        <v>1</v>
      </c>
      <c r="J425" s="3" t="s">
        <v>23</v>
      </c>
      <c r="K425" s="3" t="s">
        <v>23</v>
      </c>
      <c r="L425" s="3" t="s">
        <v>23</v>
      </c>
      <c r="M425" s="1" t="s">
        <v>1200</v>
      </c>
      <c r="N425" s="5" t="s">
        <v>23</v>
      </c>
      <c r="O425" s="1" t="s">
        <v>33</v>
      </c>
      <c r="P425" s="1">
        <v>1</v>
      </c>
      <c r="Q425" s="28" t="s">
        <v>1201</v>
      </c>
      <c r="R425" s="44" t="s">
        <v>1202</v>
      </c>
      <c r="S425" s="17" t="s">
        <v>1203</v>
      </c>
    </row>
    <row r="426" spans="1:19" ht="12.75">
      <c r="A426" s="41">
        <v>69</v>
      </c>
      <c r="B426" s="41">
        <v>2021</v>
      </c>
      <c r="C426" s="1" t="s">
        <v>102</v>
      </c>
      <c r="D426" s="42">
        <v>44301</v>
      </c>
      <c r="E426" s="1" t="s">
        <v>20</v>
      </c>
      <c r="F426" s="1" t="s">
        <v>43</v>
      </c>
      <c r="G426" s="41">
        <v>1</v>
      </c>
      <c r="H426" s="41">
        <v>1</v>
      </c>
      <c r="I426" s="41">
        <v>1</v>
      </c>
      <c r="J426" s="3" t="s">
        <v>30</v>
      </c>
      <c r="K426" s="3">
        <v>32460</v>
      </c>
      <c r="L426" s="14" t="s">
        <v>61</v>
      </c>
      <c r="M426" s="1" t="s">
        <v>1157</v>
      </c>
      <c r="N426" s="4" t="s">
        <v>20</v>
      </c>
      <c r="O426" s="1" t="s">
        <v>20</v>
      </c>
      <c r="P426" s="1">
        <v>0</v>
      </c>
      <c r="Q426" s="28" t="s">
        <v>1204</v>
      </c>
      <c r="R426" s="44" t="s">
        <v>1205</v>
      </c>
      <c r="S426" s="17" t="s">
        <v>1206</v>
      </c>
    </row>
    <row r="427" spans="1:19" ht="12.75">
      <c r="A427" s="41">
        <v>70</v>
      </c>
      <c r="B427" s="41">
        <v>2021</v>
      </c>
      <c r="C427" s="1" t="s">
        <v>102</v>
      </c>
      <c r="D427" s="42">
        <v>44301</v>
      </c>
      <c r="E427" s="1" t="s">
        <v>33</v>
      </c>
      <c r="F427" s="6" t="s">
        <v>1007</v>
      </c>
      <c r="G427" s="41">
        <v>3</v>
      </c>
      <c r="H427" s="41">
        <v>1</v>
      </c>
      <c r="I427" s="41">
        <v>1</v>
      </c>
      <c r="J427" s="3" t="s">
        <v>30</v>
      </c>
      <c r="K427" s="3">
        <v>15563</v>
      </c>
      <c r="L427" s="3" t="s">
        <v>61</v>
      </c>
      <c r="M427" s="1" t="s">
        <v>1008</v>
      </c>
      <c r="N427" s="4" t="s">
        <v>20</v>
      </c>
      <c r="O427" s="1" t="s">
        <v>33</v>
      </c>
      <c r="P427" s="1">
        <v>2</v>
      </c>
      <c r="Q427" s="28" t="s">
        <v>1207</v>
      </c>
      <c r="R427" s="44" t="s">
        <v>1208</v>
      </c>
      <c r="S427" s="17" t="s">
        <v>1209</v>
      </c>
    </row>
    <row r="428" spans="1:19" ht="12.75">
      <c r="A428" s="41">
        <v>71</v>
      </c>
      <c r="B428" s="41">
        <v>2021</v>
      </c>
      <c r="C428" s="1" t="s">
        <v>102</v>
      </c>
      <c r="D428" s="42">
        <v>44306</v>
      </c>
      <c r="E428" s="1" t="s">
        <v>20</v>
      </c>
      <c r="F428" s="1" t="s">
        <v>37</v>
      </c>
      <c r="G428" s="41">
        <v>1</v>
      </c>
      <c r="H428" s="41">
        <v>3</v>
      </c>
      <c r="I428" s="41">
        <v>1</v>
      </c>
      <c r="J428" s="3" t="s">
        <v>64</v>
      </c>
      <c r="K428" s="3">
        <v>32503</v>
      </c>
      <c r="L428" s="3" t="s">
        <v>31</v>
      </c>
      <c r="M428" s="1" t="s">
        <v>1210</v>
      </c>
      <c r="N428" s="4" t="s">
        <v>33</v>
      </c>
      <c r="O428" s="1" t="s">
        <v>20</v>
      </c>
      <c r="P428" s="1">
        <v>0</v>
      </c>
      <c r="Q428" s="28" t="s">
        <v>1211</v>
      </c>
      <c r="R428" s="44" t="s">
        <v>1212</v>
      </c>
      <c r="S428" s="17" t="s">
        <v>1213</v>
      </c>
    </row>
    <row r="429" spans="1:19" ht="12.75">
      <c r="A429" s="41">
        <v>71</v>
      </c>
      <c r="B429" s="41">
        <v>2021</v>
      </c>
      <c r="C429" s="1" t="s">
        <v>102</v>
      </c>
      <c r="D429" s="42">
        <v>44306</v>
      </c>
      <c r="E429" s="1" t="s">
        <v>20</v>
      </c>
      <c r="F429" s="1" t="s">
        <v>37</v>
      </c>
      <c r="G429" s="41">
        <v>1</v>
      </c>
      <c r="H429" s="41">
        <v>3</v>
      </c>
      <c r="I429" s="41">
        <v>2</v>
      </c>
      <c r="J429" s="3" t="s">
        <v>64</v>
      </c>
      <c r="K429" s="3">
        <v>32504</v>
      </c>
      <c r="L429" s="3" t="s">
        <v>31</v>
      </c>
      <c r="M429" s="1" t="s">
        <v>1214</v>
      </c>
      <c r="N429" s="4" t="s">
        <v>33</v>
      </c>
      <c r="O429" s="1" t="s">
        <v>23</v>
      </c>
      <c r="P429" s="1" t="s">
        <v>23</v>
      </c>
      <c r="Q429" s="7" t="s">
        <v>23</v>
      </c>
      <c r="R429" s="8" t="s">
        <v>23</v>
      </c>
      <c r="S429" s="20" t="s">
        <v>23</v>
      </c>
    </row>
    <row r="430" spans="1:19" ht="12.75">
      <c r="A430" s="41">
        <v>71</v>
      </c>
      <c r="B430" s="41">
        <v>2021</v>
      </c>
      <c r="C430" s="1" t="s">
        <v>102</v>
      </c>
      <c r="D430" s="42">
        <v>44306</v>
      </c>
      <c r="E430" s="1" t="s">
        <v>20</v>
      </c>
      <c r="F430" s="1" t="s">
        <v>37</v>
      </c>
      <c r="G430" s="41">
        <v>1</v>
      </c>
      <c r="H430" s="41">
        <v>3</v>
      </c>
      <c r="I430" s="41">
        <v>3</v>
      </c>
      <c r="J430" s="3" t="s">
        <v>64</v>
      </c>
      <c r="K430" s="3">
        <v>32505</v>
      </c>
      <c r="L430" s="3" t="s">
        <v>31</v>
      </c>
      <c r="M430" s="1" t="s">
        <v>1215</v>
      </c>
      <c r="N430" s="4" t="s">
        <v>33</v>
      </c>
      <c r="O430" s="1" t="s">
        <v>23</v>
      </c>
      <c r="P430" s="1" t="s">
        <v>23</v>
      </c>
      <c r="Q430" s="7" t="s">
        <v>23</v>
      </c>
      <c r="R430" s="8" t="s">
        <v>23</v>
      </c>
      <c r="S430" s="20" t="s">
        <v>23</v>
      </c>
    </row>
    <row r="431" spans="1:19" ht="12.75">
      <c r="A431" s="41">
        <v>72</v>
      </c>
      <c r="B431" s="41">
        <v>2021</v>
      </c>
      <c r="C431" s="1" t="s">
        <v>102</v>
      </c>
      <c r="D431" s="42">
        <v>44306</v>
      </c>
      <c r="E431" s="1" t="s">
        <v>20</v>
      </c>
      <c r="F431" s="1" t="s">
        <v>148</v>
      </c>
      <c r="G431" s="41">
        <v>1</v>
      </c>
      <c r="H431" s="41">
        <v>2</v>
      </c>
      <c r="I431" s="41">
        <v>1</v>
      </c>
      <c r="J431" s="3" t="s">
        <v>71</v>
      </c>
      <c r="K431" s="3">
        <v>30285</v>
      </c>
      <c r="L431" s="14" t="s">
        <v>61</v>
      </c>
      <c r="M431" s="1" t="s">
        <v>1152</v>
      </c>
      <c r="N431" s="4" t="s">
        <v>20</v>
      </c>
      <c r="O431" s="1" t="s">
        <v>33</v>
      </c>
      <c r="P431" s="1">
        <v>3</v>
      </c>
      <c r="Q431" s="32" t="s">
        <v>1216</v>
      </c>
      <c r="R431" s="44" t="s">
        <v>1217</v>
      </c>
      <c r="S431" s="17" t="s">
        <v>1218</v>
      </c>
    </row>
    <row r="432" spans="1:19" ht="12.75">
      <c r="A432" s="41">
        <v>72</v>
      </c>
      <c r="B432" s="41">
        <v>2021</v>
      </c>
      <c r="C432" s="1" t="s">
        <v>102</v>
      </c>
      <c r="D432" s="42">
        <v>44306</v>
      </c>
      <c r="E432" s="1" t="s">
        <v>20</v>
      </c>
      <c r="F432" s="1" t="s">
        <v>148</v>
      </c>
      <c r="G432" s="41">
        <v>1</v>
      </c>
      <c r="H432" s="41">
        <v>2</v>
      </c>
      <c r="I432" s="41">
        <v>2</v>
      </c>
      <c r="J432" s="3" t="s">
        <v>71</v>
      </c>
      <c r="K432" s="3">
        <v>32419</v>
      </c>
      <c r="L432" s="14" t="s">
        <v>61</v>
      </c>
      <c r="M432" s="1" t="s">
        <v>1155</v>
      </c>
      <c r="N432" s="4" t="s">
        <v>20</v>
      </c>
      <c r="O432" s="1" t="s">
        <v>23</v>
      </c>
      <c r="P432" s="1" t="s">
        <v>23</v>
      </c>
      <c r="Q432" s="7" t="s">
        <v>23</v>
      </c>
      <c r="R432" s="8" t="s">
        <v>23</v>
      </c>
      <c r="S432" s="20" t="s">
        <v>23</v>
      </c>
    </row>
    <row r="433" spans="1:19" ht="12.75">
      <c r="A433" s="41">
        <v>73</v>
      </c>
      <c r="B433" s="41">
        <v>2021</v>
      </c>
      <c r="C433" s="1" t="s">
        <v>102</v>
      </c>
      <c r="D433" s="42">
        <v>44306</v>
      </c>
      <c r="E433" s="1" t="s">
        <v>20</v>
      </c>
      <c r="F433" s="1" t="s">
        <v>51</v>
      </c>
      <c r="G433" s="41">
        <v>1</v>
      </c>
      <c r="H433" s="41">
        <v>1</v>
      </c>
      <c r="I433" s="41">
        <v>1</v>
      </c>
      <c r="J433" s="3" t="s">
        <v>23</v>
      </c>
      <c r="K433" s="3" t="s">
        <v>23</v>
      </c>
      <c r="L433" s="3" t="s">
        <v>23</v>
      </c>
      <c r="M433" s="1" t="s">
        <v>1219</v>
      </c>
      <c r="N433" s="1" t="s">
        <v>23</v>
      </c>
      <c r="O433" s="1" t="s">
        <v>33</v>
      </c>
      <c r="P433" s="1">
        <v>4</v>
      </c>
      <c r="Q433" s="28" t="s">
        <v>1220</v>
      </c>
      <c r="R433" s="44" t="s">
        <v>1221</v>
      </c>
      <c r="S433" s="17" t="s">
        <v>1222</v>
      </c>
    </row>
    <row r="434" spans="1:19" ht="12.75">
      <c r="A434" s="41">
        <v>74</v>
      </c>
      <c r="B434" s="41">
        <v>2021</v>
      </c>
      <c r="C434" s="1" t="s">
        <v>102</v>
      </c>
      <c r="D434" s="42">
        <v>44307</v>
      </c>
      <c r="E434" s="1" t="s">
        <v>33</v>
      </c>
      <c r="F434" s="6" t="s">
        <v>1171</v>
      </c>
      <c r="G434" s="41">
        <v>3</v>
      </c>
      <c r="H434" s="41">
        <v>3</v>
      </c>
      <c r="I434" s="41">
        <v>1</v>
      </c>
      <c r="J434" s="3" t="s">
        <v>30</v>
      </c>
      <c r="K434" s="3">
        <v>32398</v>
      </c>
      <c r="L434" s="3" t="s">
        <v>31</v>
      </c>
      <c r="M434" s="1" t="s">
        <v>1177</v>
      </c>
      <c r="N434" s="4" t="s">
        <v>20</v>
      </c>
      <c r="O434" s="1" t="s">
        <v>33</v>
      </c>
      <c r="P434" s="1">
        <v>2</v>
      </c>
      <c r="Q434" s="28" t="s">
        <v>1223</v>
      </c>
      <c r="R434" s="44" t="s">
        <v>1224</v>
      </c>
      <c r="S434" s="17" t="s">
        <v>1225</v>
      </c>
    </row>
    <row r="435" spans="1:19" ht="12.75">
      <c r="A435" s="41">
        <v>74</v>
      </c>
      <c r="B435" s="41">
        <v>2021</v>
      </c>
      <c r="C435" s="1" t="s">
        <v>102</v>
      </c>
      <c r="D435" s="42">
        <v>44307</v>
      </c>
      <c r="E435" s="1" t="s">
        <v>33</v>
      </c>
      <c r="F435" s="6" t="s">
        <v>1171</v>
      </c>
      <c r="G435" s="41">
        <v>3</v>
      </c>
      <c r="H435" s="41">
        <v>3</v>
      </c>
      <c r="I435" s="41">
        <v>2</v>
      </c>
      <c r="J435" s="3" t="s">
        <v>30</v>
      </c>
      <c r="K435" s="3">
        <v>29563</v>
      </c>
      <c r="L435" s="14" t="s">
        <v>61</v>
      </c>
      <c r="M435" s="1" t="s">
        <v>1172</v>
      </c>
      <c r="N435" s="4" t="s">
        <v>20</v>
      </c>
      <c r="O435" s="1" t="s">
        <v>23</v>
      </c>
      <c r="P435" s="1" t="s">
        <v>23</v>
      </c>
      <c r="Q435" s="7" t="s">
        <v>23</v>
      </c>
      <c r="R435" s="8" t="s">
        <v>23</v>
      </c>
      <c r="S435" s="20" t="s">
        <v>23</v>
      </c>
    </row>
    <row r="436" spans="1:19" ht="12.75">
      <c r="A436" s="41">
        <v>74</v>
      </c>
      <c r="B436" s="41">
        <v>2021</v>
      </c>
      <c r="C436" s="1" t="s">
        <v>102</v>
      </c>
      <c r="D436" s="42">
        <v>44307</v>
      </c>
      <c r="E436" s="1" t="s">
        <v>33</v>
      </c>
      <c r="F436" s="6" t="s">
        <v>1171</v>
      </c>
      <c r="G436" s="41">
        <v>3</v>
      </c>
      <c r="H436" s="41">
        <v>3</v>
      </c>
      <c r="I436" s="41">
        <v>3</v>
      </c>
      <c r="J436" s="3" t="s">
        <v>30</v>
      </c>
      <c r="K436" s="3">
        <v>31868</v>
      </c>
      <c r="L436" s="14" t="s">
        <v>61</v>
      </c>
      <c r="M436" s="1" t="s">
        <v>1176</v>
      </c>
      <c r="N436" s="4" t="s">
        <v>20</v>
      </c>
      <c r="O436" s="1" t="s">
        <v>23</v>
      </c>
      <c r="P436" s="1" t="s">
        <v>23</v>
      </c>
      <c r="Q436" s="7" t="s">
        <v>23</v>
      </c>
      <c r="R436" s="8" t="s">
        <v>23</v>
      </c>
      <c r="S436" s="20" t="s">
        <v>23</v>
      </c>
    </row>
    <row r="437" spans="1:19" ht="12.75">
      <c r="A437" s="41">
        <v>75</v>
      </c>
      <c r="B437" s="41">
        <v>2021</v>
      </c>
      <c r="C437" s="1" t="s">
        <v>102</v>
      </c>
      <c r="D437" s="42">
        <v>44308</v>
      </c>
      <c r="E437" s="1" t="s">
        <v>33</v>
      </c>
      <c r="F437" s="6" t="s">
        <v>1007</v>
      </c>
      <c r="G437" s="41">
        <v>3</v>
      </c>
      <c r="H437" s="41">
        <v>1</v>
      </c>
      <c r="I437" s="41">
        <v>1</v>
      </c>
      <c r="J437" s="3" t="s">
        <v>30</v>
      </c>
      <c r="K437" s="3">
        <v>15563</v>
      </c>
      <c r="L437" s="3" t="s">
        <v>61</v>
      </c>
      <c r="M437" s="1" t="s">
        <v>1008</v>
      </c>
      <c r="N437" s="4" t="s">
        <v>20</v>
      </c>
      <c r="O437" s="1" t="s">
        <v>20</v>
      </c>
      <c r="P437" s="1">
        <v>0</v>
      </c>
      <c r="Q437" s="28" t="s">
        <v>1226</v>
      </c>
      <c r="R437" s="44" t="s">
        <v>1227</v>
      </c>
      <c r="S437" s="17" t="s">
        <v>1228</v>
      </c>
    </row>
    <row r="438" spans="1:19" ht="12.75">
      <c r="A438" s="41">
        <v>76</v>
      </c>
      <c r="B438" s="41">
        <v>2021</v>
      </c>
      <c r="C438" s="1" t="s">
        <v>102</v>
      </c>
      <c r="D438" s="42">
        <v>44308</v>
      </c>
      <c r="E438" s="1" t="s">
        <v>20</v>
      </c>
      <c r="F438" s="1" t="s">
        <v>47</v>
      </c>
      <c r="G438" s="41">
        <v>1</v>
      </c>
      <c r="H438" s="41">
        <v>1</v>
      </c>
      <c r="I438" s="41">
        <v>1</v>
      </c>
      <c r="J438" s="3" t="s">
        <v>30</v>
      </c>
      <c r="K438" s="3">
        <v>32609</v>
      </c>
      <c r="L438" s="3" t="s">
        <v>31</v>
      </c>
      <c r="M438" s="1" t="s">
        <v>1229</v>
      </c>
      <c r="N438" s="25" t="s">
        <v>33</v>
      </c>
      <c r="O438" s="1" t="s">
        <v>20</v>
      </c>
      <c r="P438" s="1">
        <v>0</v>
      </c>
      <c r="Q438" s="28" t="s">
        <v>1230</v>
      </c>
      <c r="R438" s="44" t="s">
        <v>1231</v>
      </c>
      <c r="S438" s="17" t="s">
        <v>1232</v>
      </c>
    </row>
    <row r="439" spans="1:19" ht="12.75">
      <c r="A439" s="41">
        <v>77</v>
      </c>
      <c r="B439" s="41">
        <v>2021</v>
      </c>
      <c r="C439" s="1" t="s">
        <v>102</v>
      </c>
      <c r="D439" s="42">
        <v>44308</v>
      </c>
      <c r="E439" s="1" t="s">
        <v>20</v>
      </c>
      <c r="F439" s="1" t="s">
        <v>43</v>
      </c>
      <c r="G439" s="41">
        <v>1</v>
      </c>
      <c r="H439" s="41">
        <v>1</v>
      </c>
      <c r="I439" s="41">
        <v>1</v>
      </c>
      <c r="J439" s="3" t="s">
        <v>23</v>
      </c>
      <c r="K439" s="3" t="s">
        <v>23</v>
      </c>
      <c r="L439" s="3" t="s">
        <v>23</v>
      </c>
      <c r="M439" s="1" t="s">
        <v>1233</v>
      </c>
      <c r="N439" s="1" t="s">
        <v>23</v>
      </c>
      <c r="O439" s="1" t="s">
        <v>33</v>
      </c>
      <c r="P439" s="1">
        <v>7</v>
      </c>
      <c r="Q439" s="32" t="s">
        <v>1234</v>
      </c>
      <c r="R439" s="44" t="s">
        <v>1235</v>
      </c>
      <c r="S439" s="32" t="s">
        <v>1236</v>
      </c>
    </row>
    <row r="440" spans="1:19" ht="12.75">
      <c r="A440" s="41">
        <v>78</v>
      </c>
      <c r="B440" s="41">
        <v>2021</v>
      </c>
      <c r="C440" s="1" t="s">
        <v>102</v>
      </c>
      <c r="D440" s="42">
        <v>44313</v>
      </c>
      <c r="E440" s="1" t="s">
        <v>20</v>
      </c>
      <c r="F440" s="1" t="s">
        <v>26</v>
      </c>
      <c r="G440" s="41">
        <v>1</v>
      </c>
      <c r="H440" s="41">
        <v>1</v>
      </c>
      <c r="I440" s="41">
        <v>1</v>
      </c>
      <c r="J440" s="3" t="s">
        <v>23</v>
      </c>
      <c r="K440" s="3" t="s">
        <v>23</v>
      </c>
      <c r="L440" s="3" t="s">
        <v>23</v>
      </c>
      <c r="M440" s="1" t="s">
        <v>1237</v>
      </c>
      <c r="N440" s="1" t="s">
        <v>23</v>
      </c>
      <c r="O440" s="1" t="s">
        <v>33</v>
      </c>
      <c r="P440" s="1">
        <v>1</v>
      </c>
      <c r="Q440" s="28" t="s">
        <v>1238</v>
      </c>
      <c r="R440" s="44" t="s">
        <v>1239</v>
      </c>
      <c r="S440" s="17" t="s">
        <v>1240</v>
      </c>
    </row>
    <row r="441" spans="1:19" ht="12.75">
      <c r="A441" s="41">
        <v>79</v>
      </c>
      <c r="B441" s="41">
        <v>2021</v>
      </c>
      <c r="C441" s="1" t="s">
        <v>102</v>
      </c>
      <c r="D441" s="42">
        <v>44313</v>
      </c>
      <c r="E441" s="1" t="s">
        <v>33</v>
      </c>
      <c r="F441" s="6" t="s">
        <v>1171</v>
      </c>
      <c r="G441" s="41">
        <v>3</v>
      </c>
      <c r="H441" s="41">
        <v>3</v>
      </c>
      <c r="I441" s="41">
        <v>1</v>
      </c>
      <c r="J441" s="3" t="s">
        <v>30</v>
      </c>
      <c r="K441" s="3">
        <v>32398</v>
      </c>
      <c r="L441" s="3" t="s">
        <v>31</v>
      </c>
      <c r="M441" s="1" t="s">
        <v>1177</v>
      </c>
      <c r="N441" s="4" t="s">
        <v>20</v>
      </c>
      <c r="O441" s="1" t="s">
        <v>33</v>
      </c>
      <c r="P441" s="1">
        <v>3</v>
      </c>
      <c r="Q441" s="28" t="s">
        <v>1241</v>
      </c>
      <c r="R441" s="44" t="s">
        <v>1242</v>
      </c>
      <c r="S441" s="17" t="s">
        <v>1243</v>
      </c>
    </row>
    <row r="442" spans="1:19" ht="12.75">
      <c r="A442" s="41">
        <v>79</v>
      </c>
      <c r="B442" s="41">
        <v>2021</v>
      </c>
      <c r="C442" s="1" t="s">
        <v>102</v>
      </c>
      <c r="D442" s="42">
        <v>44313</v>
      </c>
      <c r="E442" s="1" t="s">
        <v>33</v>
      </c>
      <c r="F442" s="6" t="s">
        <v>1171</v>
      </c>
      <c r="G442" s="41">
        <v>3</v>
      </c>
      <c r="H442" s="41">
        <v>3</v>
      </c>
      <c r="I442" s="41">
        <v>2</v>
      </c>
      <c r="J442" s="3" t="s">
        <v>30</v>
      </c>
      <c r="K442" s="3">
        <v>29563</v>
      </c>
      <c r="L442" s="14" t="s">
        <v>61</v>
      </c>
      <c r="M442" s="1" t="s">
        <v>1172</v>
      </c>
      <c r="N442" s="4" t="s">
        <v>20</v>
      </c>
      <c r="O442" s="1" t="s">
        <v>23</v>
      </c>
      <c r="P442" s="1" t="s">
        <v>23</v>
      </c>
      <c r="Q442" s="7" t="s">
        <v>23</v>
      </c>
      <c r="R442" s="8" t="s">
        <v>23</v>
      </c>
      <c r="S442" s="20" t="s">
        <v>23</v>
      </c>
    </row>
    <row r="443" spans="1:19" ht="12.75">
      <c r="A443" s="41">
        <v>79</v>
      </c>
      <c r="B443" s="41">
        <v>2021</v>
      </c>
      <c r="C443" s="1" t="s">
        <v>102</v>
      </c>
      <c r="D443" s="42">
        <v>44313</v>
      </c>
      <c r="E443" s="1" t="s">
        <v>33</v>
      </c>
      <c r="F443" s="6" t="s">
        <v>1171</v>
      </c>
      <c r="G443" s="41">
        <v>3</v>
      </c>
      <c r="H443" s="41">
        <v>3</v>
      </c>
      <c r="I443" s="41">
        <v>3</v>
      </c>
      <c r="J443" s="3" t="s">
        <v>30</v>
      </c>
      <c r="K443" s="3">
        <v>31868</v>
      </c>
      <c r="L443" s="14" t="s">
        <v>61</v>
      </c>
      <c r="M443" s="1" t="s">
        <v>1176</v>
      </c>
      <c r="N443" s="4" t="s">
        <v>20</v>
      </c>
      <c r="O443" s="1" t="s">
        <v>23</v>
      </c>
      <c r="P443" s="1" t="s">
        <v>23</v>
      </c>
      <c r="Q443" s="7" t="s">
        <v>23</v>
      </c>
      <c r="R443" s="8" t="s">
        <v>23</v>
      </c>
      <c r="S443" s="20" t="s">
        <v>23</v>
      </c>
    </row>
    <row r="444" spans="1:19" ht="12.75">
      <c r="A444" s="41">
        <v>80</v>
      </c>
      <c r="B444" s="41">
        <v>2021</v>
      </c>
      <c r="C444" s="1" t="s">
        <v>102</v>
      </c>
      <c r="D444" s="42">
        <v>44313</v>
      </c>
      <c r="E444" s="1" t="s">
        <v>33</v>
      </c>
      <c r="F444" s="6" t="s">
        <v>1244</v>
      </c>
      <c r="G444" s="41">
        <v>2</v>
      </c>
      <c r="H444" s="41">
        <v>1</v>
      </c>
      <c r="I444" s="41">
        <v>1</v>
      </c>
      <c r="J444" s="3" t="s">
        <v>23</v>
      </c>
      <c r="K444" s="3" t="s">
        <v>23</v>
      </c>
      <c r="L444" s="3" t="s">
        <v>23</v>
      </c>
      <c r="M444" s="1" t="s">
        <v>1245</v>
      </c>
      <c r="N444" s="1" t="s">
        <v>23</v>
      </c>
      <c r="O444" s="1" t="s">
        <v>33</v>
      </c>
      <c r="P444" s="1">
        <v>21</v>
      </c>
      <c r="Q444" s="28" t="s">
        <v>1246</v>
      </c>
      <c r="R444" s="44" t="s">
        <v>1247</v>
      </c>
      <c r="S444" s="17" t="s">
        <v>1248</v>
      </c>
    </row>
    <row r="445" spans="1:19" ht="12.75">
      <c r="A445" s="41">
        <v>81</v>
      </c>
      <c r="B445" s="41">
        <v>2021</v>
      </c>
      <c r="C445" s="1" t="s">
        <v>102</v>
      </c>
      <c r="D445" s="42">
        <v>44314</v>
      </c>
      <c r="E445" s="1" t="s">
        <v>20</v>
      </c>
      <c r="F445" s="1" t="s">
        <v>53</v>
      </c>
      <c r="G445" s="41">
        <v>1</v>
      </c>
      <c r="H445" s="41">
        <v>1</v>
      </c>
      <c r="I445" s="41">
        <v>1</v>
      </c>
      <c r="J445" s="3" t="s">
        <v>30</v>
      </c>
      <c r="K445" s="3">
        <v>32609</v>
      </c>
      <c r="L445" s="3" t="s">
        <v>31</v>
      </c>
      <c r="M445" s="1" t="s">
        <v>1249</v>
      </c>
      <c r="N445" s="4" t="s">
        <v>33</v>
      </c>
      <c r="O445" s="1" t="s">
        <v>20</v>
      </c>
      <c r="P445" s="1">
        <v>0</v>
      </c>
      <c r="Q445" s="28" t="s">
        <v>1250</v>
      </c>
      <c r="R445" s="44" t="s">
        <v>1251</v>
      </c>
      <c r="S445" s="17" t="s">
        <v>1252</v>
      </c>
    </row>
    <row r="446" spans="1:19" ht="12.75">
      <c r="A446" s="41">
        <v>82</v>
      </c>
      <c r="B446" s="41">
        <v>2021</v>
      </c>
      <c r="C446" s="1" t="s">
        <v>102</v>
      </c>
      <c r="D446" s="42">
        <v>44315</v>
      </c>
      <c r="E446" s="1" t="s">
        <v>33</v>
      </c>
      <c r="F446" s="6" t="s">
        <v>217</v>
      </c>
      <c r="G446" s="41">
        <v>2</v>
      </c>
      <c r="H446" s="41">
        <v>1</v>
      </c>
      <c r="I446" s="41">
        <v>1</v>
      </c>
      <c r="J446" s="3" t="s">
        <v>23</v>
      </c>
      <c r="K446" s="3" t="s">
        <v>23</v>
      </c>
      <c r="L446" s="3" t="s">
        <v>23</v>
      </c>
      <c r="M446" s="1" t="s">
        <v>1253</v>
      </c>
      <c r="N446" s="1" t="s">
        <v>23</v>
      </c>
      <c r="O446" s="1" t="s">
        <v>33</v>
      </c>
      <c r="P446" s="1">
        <v>1</v>
      </c>
      <c r="Q446" s="28" t="s">
        <v>1254</v>
      </c>
      <c r="R446" s="44" t="s">
        <v>1255</v>
      </c>
      <c r="S446" s="17" t="s">
        <v>1256</v>
      </c>
    </row>
    <row r="447" spans="1:19" ht="12.75">
      <c r="A447" s="18">
        <v>83</v>
      </c>
      <c r="B447" s="41">
        <v>2021</v>
      </c>
      <c r="C447" s="1" t="s">
        <v>102</v>
      </c>
      <c r="D447" s="42">
        <v>44315</v>
      </c>
      <c r="E447" s="1" t="s">
        <v>20</v>
      </c>
      <c r="F447" s="46" t="s">
        <v>43</v>
      </c>
      <c r="G447" s="41">
        <v>1</v>
      </c>
      <c r="H447" s="41">
        <v>1</v>
      </c>
      <c r="I447" s="41">
        <v>1</v>
      </c>
      <c r="J447" s="3" t="s">
        <v>30</v>
      </c>
      <c r="K447" s="3">
        <v>32460</v>
      </c>
      <c r="L447" s="14" t="s">
        <v>61</v>
      </c>
      <c r="M447" s="1" t="s">
        <v>1157</v>
      </c>
      <c r="N447" s="4" t="s">
        <v>20</v>
      </c>
      <c r="O447" s="1" t="s">
        <v>33</v>
      </c>
      <c r="P447" s="1">
        <v>1</v>
      </c>
      <c r="Q447" s="28" t="s">
        <v>1257</v>
      </c>
      <c r="R447" s="44" t="s">
        <v>1258</v>
      </c>
      <c r="S447" s="17" t="s">
        <v>1259</v>
      </c>
    </row>
    <row r="448" spans="1:19" ht="12.75">
      <c r="A448" s="41">
        <v>84</v>
      </c>
      <c r="B448" s="41">
        <v>2021</v>
      </c>
      <c r="C448" s="1" t="s">
        <v>102</v>
      </c>
      <c r="D448" s="42">
        <v>44315</v>
      </c>
      <c r="E448" s="1" t="s">
        <v>20</v>
      </c>
      <c r="F448" s="1" t="s">
        <v>370</v>
      </c>
      <c r="G448" s="41">
        <v>1</v>
      </c>
      <c r="H448" s="41">
        <v>3</v>
      </c>
      <c r="I448" s="41">
        <v>1</v>
      </c>
      <c r="J448" s="3" t="s">
        <v>30</v>
      </c>
      <c r="K448" s="3">
        <v>31811</v>
      </c>
      <c r="L448" s="14" t="s">
        <v>61</v>
      </c>
      <c r="M448" s="1" t="s">
        <v>1178</v>
      </c>
      <c r="N448" s="4" t="s">
        <v>20</v>
      </c>
      <c r="O448" s="1" t="s">
        <v>33</v>
      </c>
      <c r="P448" s="1">
        <v>7</v>
      </c>
      <c r="Q448" s="7" t="s">
        <v>23</v>
      </c>
      <c r="R448" s="44" t="s">
        <v>1260</v>
      </c>
      <c r="S448" s="17" t="s">
        <v>1261</v>
      </c>
    </row>
    <row r="449" spans="1:19" ht="12.75">
      <c r="A449" s="41">
        <v>84</v>
      </c>
      <c r="B449" s="41">
        <v>2021</v>
      </c>
      <c r="C449" s="1" t="s">
        <v>102</v>
      </c>
      <c r="D449" s="42">
        <v>44315</v>
      </c>
      <c r="E449" s="1" t="s">
        <v>20</v>
      </c>
      <c r="F449" s="1" t="s">
        <v>370</v>
      </c>
      <c r="G449" s="41">
        <v>1</v>
      </c>
      <c r="H449" s="41">
        <v>3</v>
      </c>
      <c r="I449" s="41">
        <v>2</v>
      </c>
      <c r="J449" s="3" t="s">
        <v>30</v>
      </c>
      <c r="K449" s="3">
        <v>30983</v>
      </c>
      <c r="L449" s="3" t="s">
        <v>61</v>
      </c>
      <c r="M449" s="1" t="s">
        <v>1182</v>
      </c>
      <c r="N449" s="4" t="s">
        <v>20</v>
      </c>
      <c r="O449" s="1" t="s">
        <v>23</v>
      </c>
      <c r="P449" s="1" t="s">
        <v>23</v>
      </c>
      <c r="Q449" s="7" t="s">
        <v>23</v>
      </c>
      <c r="R449" s="8" t="s">
        <v>23</v>
      </c>
      <c r="S449" s="20" t="s">
        <v>23</v>
      </c>
    </row>
    <row r="450" spans="1:19" ht="12.75">
      <c r="A450" s="41">
        <v>84</v>
      </c>
      <c r="B450" s="41">
        <v>2021</v>
      </c>
      <c r="C450" s="1" t="s">
        <v>102</v>
      </c>
      <c r="D450" s="42">
        <v>44315</v>
      </c>
      <c r="E450" s="1" t="s">
        <v>20</v>
      </c>
      <c r="F450" s="1" t="s">
        <v>370</v>
      </c>
      <c r="G450" s="41">
        <v>1</v>
      </c>
      <c r="H450" s="41">
        <v>3</v>
      </c>
      <c r="I450" s="41">
        <v>3</v>
      </c>
      <c r="J450" s="3" t="s">
        <v>30</v>
      </c>
      <c r="K450" s="3">
        <v>32542</v>
      </c>
      <c r="L450" s="3" t="s">
        <v>61</v>
      </c>
      <c r="M450" s="1" t="s">
        <v>1183</v>
      </c>
      <c r="N450" s="4" t="s">
        <v>20</v>
      </c>
      <c r="O450" s="1" t="s">
        <v>23</v>
      </c>
      <c r="P450" s="1" t="s">
        <v>23</v>
      </c>
      <c r="Q450" s="7" t="s">
        <v>23</v>
      </c>
      <c r="R450" s="8" t="s">
        <v>23</v>
      </c>
      <c r="S450" s="20" t="s">
        <v>23</v>
      </c>
    </row>
    <row r="451" spans="1:19" ht="12.75">
      <c r="A451" s="41">
        <v>85</v>
      </c>
      <c r="B451" s="41">
        <v>2021</v>
      </c>
      <c r="C451" s="1" t="s">
        <v>102</v>
      </c>
      <c r="D451" s="42">
        <v>44315</v>
      </c>
      <c r="E451" s="1" t="s">
        <v>33</v>
      </c>
      <c r="F451" s="6" t="s">
        <v>1171</v>
      </c>
      <c r="G451" s="41">
        <v>3</v>
      </c>
      <c r="H451" s="41">
        <v>3</v>
      </c>
      <c r="I451" s="41">
        <v>1</v>
      </c>
      <c r="J451" s="3" t="s">
        <v>30</v>
      </c>
      <c r="K451" s="3">
        <v>32398</v>
      </c>
      <c r="L451" s="3" t="s">
        <v>31</v>
      </c>
      <c r="M451" s="1" t="s">
        <v>1177</v>
      </c>
      <c r="N451" s="4" t="s">
        <v>20</v>
      </c>
      <c r="O451" s="1" t="s">
        <v>33</v>
      </c>
      <c r="P451" s="1">
        <v>6</v>
      </c>
      <c r="Q451" s="28" t="s">
        <v>1262</v>
      </c>
      <c r="R451" s="44" t="s">
        <v>1263</v>
      </c>
      <c r="S451" s="34" t="s">
        <v>1264</v>
      </c>
    </row>
    <row r="452" spans="1:19" ht="12.75">
      <c r="A452" s="41">
        <v>85</v>
      </c>
      <c r="B452" s="41">
        <v>2021</v>
      </c>
      <c r="C452" s="1" t="s">
        <v>102</v>
      </c>
      <c r="D452" s="42">
        <v>44315</v>
      </c>
      <c r="E452" s="1" t="s">
        <v>33</v>
      </c>
      <c r="F452" s="6" t="s">
        <v>1171</v>
      </c>
      <c r="G452" s="41">
        <v>3</v>
      </c>
      <c r="H452" s="41">
        <v>3</v>
      </c>
      <c r="I452" s="41">
        <v>2</v>
      </c>
      <c r="J452" s="3" t="s">
        <v>30</v>
      </c>
      <c r="K452" s="3">
        <v>29563</v>
      </c>
      <c r="L452" s="14" t="s">
        <v>61</v>
      </c>
      <c r="M452" s="1" t="s">
        <v>1172</v>
      </c>
      <c r="N452" s="4" t="s">
        <v>20</v>
      </c>
      <c r="O452" s="1" t="s">
        <v>23</v>
      </c>
      <c r="P452" s="1" t="s">
        <v>23</v>
      </c>
      <c r="Q452" s="7" t="s">
        <v>23</v>
      </c>
      <c r="R452" s="8" t="s">
        <v>23</v>
      </c>
      <c r="S452" s="20" t="s">
        <v>23</v>
      </c>
    </row>
    <row r="453" spans="1:19" ht="12.75">
      <c r="A453" s="41">
        <v>85</v>
      </c>
      <c r="B453" s="41">
        <v>2021</v>
      </c>
      <c r="C453" s="1" t="s">
        <v>102</v>
      </c>
      <c r="D453" s="42">
        <v>44315</v>
      </c>
      <c r="E453" s="1" t="s">
        <v>33</v>
      </c>
      <c r="F453" s="6" t="s">
        <v>1171</v>
      </c>
      <c r="G453" s="41">
        <v>3</v>
      </c>
      <c r="H453" s="41">
        <v>3</v>
      </c>
      <c r="I453" s="41">
        <v>3</v>
      </c>
      <c r="J453" s="3" t="s">
        <v>30</v>
      </c>
      <c r="K453" s="3">
        <v>31868</v>
      </c>
      <c r="L453" s="14" t="s">
        <v>61</v>
      </c>
      <c r="M453" s="1" t="s">
        <v>1176</v>
      </c>
      <c r="N453" s="4" t="s">
        <v>20</v>
      </c>
      <c r="O453" s="1" t="s">
        <v>23</v>
      </c>
      <c r="P453" s="1" t="s">
        <v>23</v>
      </c>
      <c r="Q453" s="7" t="s">
        <v>23</v>
      </c>
      <c r="R453" s="8" t="s">
        <v>23</v>
      </c>
      <c r="S453" s="20" t="s">
        <v>23</v>
      </c>
    </row>
    <row r="454" spans="1:19" ht="12.75">
      <c r="A454" s="41">
        <v>86</v>
      </c>
      <c r="B454" s="41">
        <v>2021</v>
      </c>
      <c r="C454" s="1" t="s">
        <v>102</v>
      </c>
      <c r="D454" s="42">
        <v>44320</v>
      </c>
      <c r="E454" s="1" t="s">
        <v>33</v>
      </c>
      <c r="F454" s="6" t="s">
        <v>1189</v>
      </c>
      <c r="G454" s="41">
        <v>2</v>
      </c>
      <c r="H454" s="41">
        <v>1</v>
      </c>
      <c r="I454" s="41">
        <v>1</v>
      </c>
      <c r="J454" s="3" t="s">
        <v>30</v>
      </c>
      <c r="K454" s="3">
        <v>32275</v>
      </c>
      <c r="L454" s="14" t="s">
        <v>61</v>
      </c>
      <c r="M454" s="1" t="s">
        <v>1265</v>
      </c>
      <c r="N454" s="4" t="s">
        <v>20</v>
      </c>
      <c r="O454" s="1" t="s">
        <v>20</v>
      </c>
      <c r="P454" s="1">
        <v>0</v>
      </c>
      <c r="Q454" s="28" t="s">
        <v>1266</v>
      </c>
      <c r="R454" s="44" t="s">
        <v>1267</v>
      </c>
      <c r="S454" s="24" t="s">
        <v>1268</v>
      </c>
    </row>
    <row r="455" spans="1:19" ht="12.75">
      <c r="A455" s="41">
        <v>87</v>
      </c>
      <c r="B455" s="41">
        <v>2021</v>
      </c>
      <c r="C455" s="1" t="s">
        <v>102</v>
      </c>
      <c r="D455" s="42">
        <v>44320</v>
      </c>
      <c r="E455" s="1" t="s">
        <v>33</v>
      </c>
      <c r="F455" s="6" t="s">
        <v>1171</v>
      </c>
      <c r="G455" s="41">
        <v>3</v>
      </c>
      <c r="H455" s="41">
        <v>3</v>
      </c>
      <c r="I455" s="41">
        <v>1</v>
      </c>
      <c r="J455" s="3" t="s">
        <v>30</v>
      </c>
      <c r="K455" s="3">
        <v>32398</v>
      </c>
      <c r="L455" s="3" t="s">
        <v>31</v>
      </c>
      <c r="M455" s="1" t="s">
        <v>1177</v>
      </c>
      <c r="N455" s="4" t="s">
        <v>20</v>
      </c>
      <c r="O455" s="1" t="s">
        <v>20</v>
      </c>
      <c r="P455" s="1">
        <v>0</v>
      </c>
      <c r="Q455" s="28" t="s">
        <v>1269</v>
      </c>
      <c r="R455" s="44" t="s">
        <v>1270</v>
      </c>
      <c r="S455" s="17" t="s">
        <v>1271</v>
      </c>
    </row>
    <row r="456" spans="1:19" ht="12.75">
      <c r="A456" s="41">
        <v>87</v>
      </c>
      <c r="B456" s="41">
        <v>2021</v>
      </c>
      <c r="C456" s="1" t="s">
        <v>102</v>
      </c>
      <c r="D456" s="42">
        <v>44320</v>
      </c>
      <c r="E456" s="1" t="s">
        <v>33</v>
      </c>
      <c r="F456" s="6" t="s">
        <v>1171</v>
      </c>
      <c r="G456" s="41">
        <v>3</v>
      </c>
      <c r="H456" s="41">
        <v>3</v>
      </c>
      <c r="I456" s="41">
        <v>2</v>
      </c>
      <c r="J456" s="3" t="s">
        <v>30</v>
      </c>
      <c r="K456" s="3">
        <v>29563</v>
      </c>
      <c r="L456" s="14" t="s">
        <v>61</v>
      </c>
      <c r="M456" s="1" t="s">
        <v>1172</v>
      </c>
      <c r="N456" s="4" t="s">
        <v>20</v>
      </c>
      <c r="O456" s="1" t="s">
        <v>23</v>
      </c>
      <c r="P456" s="1" t="s">
        <v>23</v>
      </c>
      <c r="Q456" s="7" t="s">
        <v>23</v>
      </c>
      <c r="R456" s="8" t="s">
        <v>23</v>
      </c>
      <c r="S456" s="20" t="s">
        <v>23</v>
      </c>
    </row>
    <row r="457" spans="1:19" ht="12.75">
      <c r="A457" s="41">
        <v>87</v>
      </c>
      <c r="B457" s="41">
        <v>2021</v>
      </c>
      <c r="C457" s="1" t="s">
        <v>102</v>
      </c>
      <c r="D457" s="42">
        <v>44320</v>
      </c>
      <c r="E457" s="1" t="s">
        <v>33</v>
      </c>
      <c r="F457" s="6" t="s">
        <v>1171</v>
      </c>
      <c r="G457" s="41">
        <v>3</v>
      </c>
      <c r="H457" s="41">
        <v>3</v>
      </c>
      <c r="I457" s="41">
        <v>3</v>
      </c>
      <c r="J457" s="3" t="s">
        <v>30</v>
      </c>
      <c r="K457" s="3">
        <v>31868</v>
      </c>
      <c r="L457" s="14" t="s">
        <v>61</v>
      </c>
      <c r="M457" s="1" t="s">
        <v>1176</v>
      </c>
      <c r="N457" s="4" t="s">
        <v>20</v>
      </c>
      <c r="O457" s="1" t="s">
        <v>23</v>
      </c>
      <c r="P457" s="1" t="s">
        <v>23</v>
      </c>
      <c r="Q457" s="7" t="s">
        <v>23</v>
      </c>
      <c r="R457" s="8" t="s">
        <v>23</v>
      </c>
      <c r="S457" s="20" t="s">
        <v>23</v>
      </c>
    </row>
    <row r="458" spans="1:19" ht="12.75">
      <c r="A458" s="41">
        <v>88</v>
      </c>
      <c r="B458" s="41">
        <v>2021</v>
      </c>
      <c r="C458" s="1" t="s">
        <v>102</v>
      </c>
      <c r="D458" s="42">
        <v>44320</v>
      </c>
      <c r="E458" s="1" t="s">
        <v>20</v>
      </c>
      <c r="F458" s="1" t="s">
        <v>21</v>
      </c>
      <c r="G458" s="41">
        <v>1</v>
      </c>
      <c r="H458" s="41">
        <v>1</v>
      </c>
      <c r="I458" s="41">
        <v>1</v>
      </c>
      <c r="J458" s="3" t="s">
        <v>23</v>
      </c>
      <c r="K458" s="3" t="s">
        <v>23</v>
      </c>
      <c r="L458" s="3" t="s">
        <v>23</v>
      </c>
      <c r="M458" s="1" t="s">
        <v>1129</v>
      </c>
      <c r="N458" s="1" t="s">
        <v>23</v>
      </c>
      <c r="O458" s="1" t="s">
        <v>33</v>
      </c>
      <c r="P458" s="1">
        <v>1</v>
      </c>
      <c r="Q458" s="28" t="s">
        <v>1272</v>
      </c>
      <c r="R458" s="44" t="s">
        <v>1273</v>
      </c>
      <c r="S458" s="17" t="s">
        <v>1274</v>
      </c>
    </row>
    <row r="459" spans="1:19" ht="12.75">
      <c r="A459" s="41">
        <v>89</v>
      </c>
      <c r="B459" s="41">
        <v>2021</v>
      </c>
      <c r="C459" s="1" t="s">
        <v>102</v>
      </c>
      <c r="D459" s="42">
        <v>44321</v>
      </c>
      <c r="E459" s="1" t="s">
        <v>33</v>
      </c>
      <c r="F459" s="6" t="s">
        <v>1171</v>
      </c>
      <c r="G459" s="41">
        <v>3</v>
      </c>
      <c r="H459" s="41">
        <v>3</v>
      </c>
      <c r="I459" s="41">
        <v>1</v>
      </c>
      <c r="J459" s="3" t="s">
        <v>30</v>
      </c>
      <c r="K459" s="3">
        <v>32398</v>
      </c>
      <c r="L459" s="3" t="s">
        <v>31</v>
      </c>
      <c r="M459" s="1" t="s">
        <v>1177</v>
      </c>
      <c r="N459" s="4" t="s">
        <v>33</v>
      </c>
      <c r="O459" s="1" t="s">
        <v>20</v>
      </c>
      <c r="P459" s="1">
        <v>0</v>
      </c>
      <c r="Q459" s="28" t="s">
        <v>1275</v>
      </c>
      <c r="R459" s="44" t="s">
        <v>1276</v>
      </c>
      <c r="S459" s="17" t="s">
        <v>1277</v>
      </c>
    </row>
    <row r="460" spans="1:19" ht="12.75">
      <c r="A460" s="41">
        <v>89</v>
      </c>
      <c r="B460" s="41">
        <v>2021</v>
      </c>
      <c r="C460" s="1" t="s">
        <v>102</v>
      </c>
      <c r="D460" s="42">
        <v>44321</v>
      </c>
      <c r="E460" s="1" t="s">
        <v>33</v>
      </c>
      <c r="F460" s="6" t="s">
        <v>1171</v>
      </c>
      <c r="G460" s="41">
        <v>3</v>
      </c>
      <c r="H460" s="41">
        <v>3</v>
      </c>
      <c r="I460" s="41">
        <v>2</v>
      </c>
      <c r="J460" s="3" t="s">
        <v>30</v>
      </c>
      <c r="K460" s="3">
        <v>29563</v>
      </c>
      <c r="L460" s="14" t="s">
        <v>61</v>
      </c>
      <c r="M460" s="1" t="s">
        <v>1172</v>
      </c>
      <c r="N460" s="4" t="s">
        <v>33</v>
      </c>
      <c r="O460" s="1" t="s">
        <v>23</v>
      </c>
      <c r="P460" s="1" t="s">
        <v>23</v>
      </c>
      <c r="Q460" s="7" t="s">
        <v>23</v>
      </c>
      <c r="R460" s="8" t="s">
        <v>23</v>
      </c>
      <c r="S460" s="20" t="s">
        <v>23</v>
      </c>
    </row>
    <row r="461" spans="1:19" ht="12.75">
      <c r="A461" s="41">
        <v>89</v>
      </c>
      <c r="B461" s="41">
        <v>2021</v>
      </c>
      <c r="C461" s="1" t="s">
        <v>102</v>
      </c>
      <c r="D461" s="42">
        <v>44321</v>
      </c>
      <c r="E461" s="1" t="s">
        <v>33</v>
      </c>
      <c r="F461" s="6" t="s">
        <v>1171</v>
      </c>
      <c r="G461" s="41">
        <v>3</v>
      </c>
      <c r="H461" s="41">
        <v>3</v>
      </c>
      <c r="I461" s="41">
        <v>3</v>
      </c>
      <c r="J461" s="3" t="s">
        <v>30</v>
      </c>
      <c r="K461" s="3">
        <v>31868</v>
      </c>
      <c r="L461" s="14" t="s">
        <v>61</v>
      </c>
      <c r="M461" s="1" t="s">
        <v>1176</v>
      </c>
      <c r="N461" s="4" t="s">
        <v>33</v>
      </c>
      <c r="O461" s="1" t="s">
        <v>23</v>
      </c>
      <c r="P461" s="1" t="s">
        <v>23</v>
      </c>
      <c r="Q461" s="7" t="s">
        <v>23</v>
      </c>
      <c r="R461" s="8" t="s">
        <v>23</v>
      </c>
      <c r="S461" s="20" t="s">
        <v>23</v>
      </c>
    </row>
    <row r="462" spans="1:19" ht="12.75">
      <c r="A462" s="41">
        <v>90</v>
      </c>
      <c r="B462" s="41">
        <v>2021</v>
      </c>
      <c r="C462" s="1" t="s">
        <v>102</v>
      </c>
      <c r="D462" s="42">
        <v>44322</v>
      </c>
      <c r="E462" s="1" t="s">
        <v>33</v>
      </c>
      <c r="F462" s="6" t="s">
        <v>1278</v>
      </c>
      <c r="G462" s="41">
        <v>3</v>
      </c>
      <c r="H462" s="41">
        <v>1</v>
      </c>
      <c r="I462" s="41">
        <v>1</v>
      </c>
      <c r="J462" s="3" t="s">
        <v>23</v>
      </c>
      <c r="K462" s="3" t="s">
        <v>23</v>
      </c>
      <c r="L462" s="3" t="s">
        <v>23</v>
      </c>
      <c r="M462" s="1" t="s">
        <v>1279</v>
      </c>
      <c r="N462" s="1" t="s">
        <v>23</v>
      </c>
      <c r="O462" s="1" t="s">
        <v>33</v>
      </c>
      <c r="P462" s="1">
        <v>1</v>
      </c>
      <c r="Q462" s="28" t="s">
        <v>1280</v>
      </c>
      <c r="R462" s="44" t="s">
        <v>1281</v>
      </c>
      <c r="S462" s="17" t="s">
        <v>1282</v>
      </c>
    </row>
    <row r="463" spans="1:19" ht="12.75">
      <c r="A463" s="41">
        <v>91</v>
      </c>
      <c r="B463" s="41">
        <v>2021</v>
      </c>
      <c r="C463" s="1" t="s">
        <v>102</v>
      </c>
      <c r="D463" s="42">
        <v>44322</v>
      </c>
      <c r="E463" s="1" t="s">
        <v>20</v>
      </c>
      <c r="F463" s="1" t="s">
        <v>51</v>
      </c>
      <c r="G463" s="41">
        <v>1</v>
      </c>
      <c r="H463" s="41">
        <v>2</v>
      </c>
      <c r="I463" s="41">
        <v>1</v>
      </c>
      <c r="J463" s="3" t="s">
        <v>30</v>
      </c>
      <c r="K463" s="3">
        <v>32472</v>
      </c>
      <c r="L463" s="14" t="s">
        <v>61</v>
      </c>
      <c r="M463" s="1" t="s">
        <v>1283</v>
      </c>
      <c r="N463" s="4" t="s">
        <v>20</v>
      </c>
      <c r="O463" s="1" t="s">
        <v>20</v>
      </c>
      <c r="P463" s="1">
        <v>0</v>
      </c>
      <c r="Q463" s="28" t="s">
        <v>1284</v>
      </c>
      <c r="R463" s="44" t="s">
        <v>1285</v>
      </c>
      <c r="S463" s="17" t="s">
        <v>1286</v>
      </c>
    </row>
    <row r="464" spans="1:19" ht="12.75">
      <c r="A464" s="41">
        <v>91</v>
      </c>
      <c r="B464" s="41">
        <v>2021</v>
      </c>
      <c r="C464" s="1" t="s">
        <v>102</v>
      </c>
      <c r="D464" s="42">
        <v>44322</v>
      </c>
      <c r="E464" s="1" t="s">
        <v>20</v>
      </c>
      <c r="F464" s="1" t="s">
        <v>51</v>
      </c>
      <c r="G464" s="41">
        <v>1</v>
      </c>
      <c r="H464" s="41">
        <v>2</v>
      </c>
      <c r="I464" s="41">
        <v>2</v>
      </c>
      <c r="J464" s="3" t="s">
        <v>30</v>
      </c>
      <c r="K464" s="3">
        <v>30639</v>
      </c>
      <c r="L464" s="3" t="s">
        <v>61</v>
      </c>
      <c r="M464" s="1" t="s">
        <v>1287</v>
      </c>
      <c r="N464" s="4" t="s">
        <v>20</v>
      </c>
      <c r="O464" s="1" t="s">
        <v>23</v>
      </c>
      <c r="P464" s="1" t="s">
        <v>23</v>
      </c>
      <c r="Q464" s="7" t="s">
        <v>23</v>
      </c>
      <c r="R464" s="8" t="s">
        <v>23</v>
      </c>
      <c r="S464" s="20" t="s">
        <v>23</v>
      </c>
    </row>
    <row r="465" spans="1:19" ht="12.75">
      <c r="A465" s="41">
        <v>92</v>
      </c>
      <c r="B465" s="41">
        <v>2021</v>
      </c>
      <c r="C465" s="1" t="s">
        <v>102</v>
      </c>
      <c r="D465" s="42">
        <v>44322</v>
      </c>
      <c r="E465" s="1" t="s">
        <v>20</v>
      </c>
      <c r="F465" s="1" t="s">
        <v>370</v>
      </c>
      <c r="G465" s="41">
        <v>1</v>
      </c>
      <c r="H465" s="41">
        <v>3</v>
      </c>
      <c r="I465" s="41">
        <v>1</v>
      </c>
      <c r="J465" s="3" t="s">
        <v>30</v>
      </c>
      <c r="K465" s="3">
        <v>31811</v>
      </c>
      <c r="L465" s="14" t="s">
        <v>61</v>
      </c>
      <c r="M465" s="1" t="s">
        <v>1178</v>
      </c>
      <c r="N465" s="4" t="s">
        <v>20</v>
      </c>
      <c r="O465" s="1" t="s">
        <v>33</v>
      </c>
      <c r="P465" s="1">
        <v>8</v>
      </c>
      <c r="Q465" s="32" t="s">
        <v>1288</v>
      </c>
      <c r="R465" s="44" t="s">
        <v>1289</v>
      </c>
      <c r="S465" s="17" t="s">
        <v>1290</v>
      </c>
    </row>
    <row r="466" spans="1:19" ht="12.75">
      <c r="A466" s="41">
        <v>92</v>
      </c>
      <c r="B466" s="41">
        <v>2021</v>
      </c>
      <c r="C466" s="1" t="s">
        <v>102</v>
      </c>
      <c r="D466" s="42">
        <v>44322</v>
      </c>
      <c r="E466" s="1" t="s">
        <v>20</v>
      </c>
      <c r="F466" s="1" t="s">
        <v>370</v>
      </c>
      <c r="G466" s="41">
        <v>1</v>
      </c>
      <c r="H466" s="41">
        <v>3</v>
      </c>
      <c r="I466" s="41">
        <v>2</v>
      </c>
      <c r="J466" s="3" t="s">
        <v>30</v>
      </c>
      <c r="K466" s="3">
        <v>30983</v>
      </c>
      <c r="L466" s="3" t="s">
        <v>61</v>
      </c>
      <c r="M466" s="1" t="s">
        <v>1182</v>
      </c>
      <c r="N466" s="4" t="s">
        <v>20</v>
      </c>
      <c r="O466" s="1" t="s">
        <v>23</v>
      </c>
      <c r="P466" s="1" t="s">
        <v>23</v>
      </c>
      <c r="Q466" s="7" t="s">
        <v>23</v>
      </c>
      <c r="R466" s="8" t="s">
        <v>23</v>
      </c>
      <c r="S466" s="20" t="s">
        <v>23</v>
      </c>
    </row>
    <row r="467" spans="1:19" ht="12.75">
      <c r="A467" s="41">
        <v>92</v>
      </c>
      <c r="B467" s="41">
        <v>2021</v>
      </c>
      <c r="C467" s="1" t="s">
        <v>102</v>
      </c>
      <c r="D467" s="42">
        <v>44322</v>
      </c>
      <c r="E467" s="1" t="s">
        <v>20</v>
      </c>
      <c r="F467" s="1" t="s">
        <v>370</v>
      </c>
      <c r="G467" s="41">
        <v>1</v>
      </c>
      <c r="H467" s="41">
        <v>3</v>
      </c>
      <c r="I467" s="41">
        <v>3</v>
      </c>
      <c r="J467" s="3" t="s">
        <v>30</v>
      </c>
      <c r="K467" s="3">
        <v>32542</v>
      </c>
      <c r="L467" s="3" t="s">
        <v>61</v>
      </c>
      <c r="M467" s="1" t="s">
        <v>1291</v>
      </c>
      <c r="N467" s="4" t="s">
        <v>20</v>
      </c>
      <c r="O467" s="1" t="s">
        <v>23</v>
      </c>
      <c r="P467" s="1" t="s">
        <v>23</v>
      </c>
      <c r="Q467" s="7" t="s">
        <v>23</v>
      </c>
      <c r="R467" s="8" t="s">
        <v>23</v>
      </c>
      <c r="S467" s="20" t="s">
        <v>23</v>
      </c>
    </row>
    <row r="468" spans="1:19" ht="12.75">
      <c r="A468" s="41">
        <v>93</v>
      </c>
      <c r="B468" s="41">
        <v>2021</v>
      </c>
      <c r="C468" s="1" t="s">
        <v>102</v>
      </c>
      <c r="D468" s="42">
        <v>44327</v>
      </c>
      <c r="E468" s="1" t="s">
        <v>20</v>
      </c>
      <c r="F468" s="1" t="s">
        <v>45</v>
      </c>
      <c r="G468" s="41">
        <v>1</v>
      </c>
      <c r="H468" s="41">
        <v>1</v>
      </c>
      <c r="I468" s="41">
        <v>1</v>
      </c>
      <c r="J468" s="3" t="s">
        <v>23</v>
      </c>
      <c r="K468" s="3" t="s">
        <v>23</v>
      </c>
      <c r="L468" s="3" t="s">
        <v>23</v>
      </c>
      <c r="M468" s="1" t="s">
        <v>1292</v>
      </c>
      <c r="N468" s="1" t="s">
        <v>23</v>
      </c>
      <c r="O468" s="1" t="s">
        <v>33</v>
      </c>
      <c r="P468" s="1">
        <v>1</v>
      </c>
      <c r="Q468" s="32" t="s">
        <v>1293</v>
      </c>
      <c r="R468" s="44" t="s">
        <v>1294</v>
      </c>
      <c r="S468" s="17" t="s">
        <v>1295</v>
      </c>
    </row>
    <row r="469" spans="1:19" ht="12.75">
      <c r="A469" s="41">
        <v>94</v>
      </c>
      <c r="B469" s="41">
        <v>2021</v>
      </c>
      <c r="C469" s="1" t="s">
        <v>102</v>
      </c>
      <c r="D469" s="42">
        <v>44327</v>
      </c>
      <c r="E469" s="1" t="s">
        <v>20</v>
      </c>
      <c r="F469" s="1" t="s">
        <v>47</v>
      </c>
      <c r="G469" s="41">
        <v>1</v>
      </c>
      <c r="H469" s="41">
        <v>1</v>
      </c>
      <c r="I469" s="41">
        <v>1</v>
      </c>
      <c r="J469" s="3" t="s">
        <v>30</v>
      </c>
      <c r="K469" s="3">
        <v>32726</v>
      </c>
      <c r="L469" s="3" t="s">
        <v>31</v>
      </c>
      <c r="M469" s="1" t="s">
        <v>1296</v>
      </c>
      <c r="N469" s="25" t="s">
        <v>33</v>
      </c>
      <c r="O469" s="1" t="s">
        <v>20</v>
      </c>
      <c r="P469" s="1">
        <v>0</v>
      </c>
      <c r="Q469" s="28" t="s">
        <v>1297</v>
      </c>
      <c r="R469" s="44" t="s">
        <v>1298</v>
      </c>
      <c r="S469" s="17" t="s">
        <v>1299</v>
      </c>
    </row>
    <row r="470" spans="1:19" ht="12.75">
      <c r="A470" s="41">
        <v>95</v>
      </c>
      <c r="B470" s="41">
        <v>2021</v>
      </c>
      <c r="C470" s="1" t="s">
        <v>102</v>
      </c>
      <c r="D470" s="42">
        <v>44327</v>
      </c>
      <c r="E470" s="1" t="s">
        <v>20</v>
      </c>
      <c r="F470" s="1" t="s">
        <v>37</v>
      </c>
      <c r="G470" s="41">
        <v>1</v>
      </c>
      <c r="H470" s="41">
        <v>3</v>
      </c>
      <c r="I470" s="41">
        <v>1</v>
      </c>
      <c r="J470" s="3" t="s">
        <v>64</v>
      </c>
      <c r="K470" s="3">
        <v>32668</v>
      </c>
      <c r="L470" s="3" t="s">
        <v>31</v>
      </c>
      <c r="M470" s="1" t="s">
        <v>1300</v>
      </c>
      <c r="N470" s="4" t="s">
        <v>33</v>
      </c>
      <c r="O470" s="1" t="s">
        <v>20</v>
      </c>
      <c r="P470" s="1">
        <v>0</v>
      </c>
      <c r="Q470" s="28" t="s">
        <v>1301</v>
      </c>
      <c r="R470" s="44" t="s">
        <v>1302</v>
      </c>
      <c r="S470" s="17" t="s">
        <v>1303</v>
      </c>
    </row>
    <row r="471" spans="1:19" ht="12.75">
      <c r="A471" s="41">
        <v>95</v>
      </c>
      <c r="B471" s="41">
        <v>2021</v>
      </c>
      <c r="C471" s="1" t="s">
        <v>102</v>
      </c>
      <c r="D471" s="42">
        <v>44327</v>
      </c>
      <c r="E471" s="1" t="s">
        <v>20</v>
      </c>
      <c r="F471" s="1" t="s">
        <v>37</v>
      </c>
      <c r="G471" s="41">
        <v>1</v>
      </c>
      <c r="H471" s="41">
        <v>3</v>
      </c>
      <c r="I471" s="41">
        <v>2</v>
      </c>
      <c r="J471" s="3" t="s">
        <v>64</v>
      </c>
      <c r="K471" s="3">
        <v>32669</v>
      </c>
      <c r="L471" s="3" t="s">
        <v>31</v>
      </c>
      <c r="M471" s="1" t="s">
        <v>1304</v>
      </c>
      <c r="N471" s="4" t="s">
        <v>33</v>
      </c>
      <c r="O471" s="1" t="s">
        <v>23</v>
      </c>
      <c r="P471" s="1" t="s">
        <v>23</v>
      </c>
      <c r="Q471" s="7" t="s">
        <v>23</v>
      </c>
      <c r="R471" s="8" t="s">
        <v>23</v>
      </c>
      <c r="S471" s="20" t="s">
        <v>23</v>
      </c>
    </row>
    <row r="472" spans="1:19" ht="12.75">
      <c r="A472" s="41">
        <v>95</v>
      </c>
      <c r="B472" s="41">
        <v>2021</v>
      </c>
      <c r="C472" s="1" t="s">
        <v>102</v>
      </c>
      <c r="D472" s="42">
        <v>44327</v>
      </c>
      <c r="E472" s="1" t="s">
        <v>20</v>
      </c>
      <c r="F472" s="1" t="s">
        <v>37</v>
      </c>
      <c r="G472" s="41">
        <v>1</v>
      </c>
      <c r="H472" s="41">
        <v>3</v>
      </c>
      <c r="I472" s="41">
        <v>3</v>
      </c>
      <c r="J472" s="3" t="s">
        <v>64</v>
      </c>
      <c r="K472" s="3">
        <v>32670</v>
      </c>
      <c r="L472" s="3" t="s">
        <v>31</v>
      </c>
      <c r="M472" s="1" t="s">
        <v>1305</v>
      </c>
      <c r="N472" s="4" t="s">
        <v>33</v>
      </c>
      <c r="O472" s="1" t="s">
        <v>23</v>
      </c>
      <c r="P472" s="1" t="s">
        <v>23</v>
      </c>
      <c r="Q472" s="7" t="s">
        <v>23</v>
      </c>
      <c r="R472" s="8" t="s">
        <v>23</v>
      </c>
      <c r="S472" s="20" t="s">
        <v>23</v>
      </c>
    </row>
    <row r="473" spans="1:19" ht="12.75">
      <c r="A473" s="41">
        <v>96</v>
      </c>
      <c r="B473" s="41">
        <v>2021</v>
      </c>
      <c r="C473" s="1" t="s">
        <v>102</v>
      </c>
      <c r="D473" s="42">
        <v>44329</v>
      </c>
      <c r="E473" s="1" t="s">
        <v>33</v>
      </c>
      <c r="F473" s="6" t="s">
        <v>1306</v>
      </c>
      <c r="G473" s="41">
        <v>2</v>
      </c>
      <c r="H473" s="41">
        <v>1</v>
      </c>
      <c r="I473" s="41">
        <v>1</v>
      </c>
      <c r="J473" s="3" t="s">
        <v>23</v>
      </c>
      <c r="K473" s="3" t="s">
        <v>23</v>
      </c>
      <c r="L473" s="3" t="s">
        <v>23</v>
      </c>
      <c r="M473" s="1" t="s">
        <v>1307</v>
      </c>
      <c r="N473" s="1" t="s">
        <v>23</v>
      </c>
      <c r="O473" s="1" t="s">
        <v>33</v>
      </c>
      <c r="P473" s="1">
        <v>6</v>
      </c>
      <c r="Q473" s="28" t="s">
        <v>1308</v>
      </c>
      <c r="R473" s="44" t="s">
        <v>1309</v>
      </c>
      <c r="S473" s="17" t="s">
        <v>1310</v>
      </c>
    </row>
    <row r="474" spans="1:19" ht="12.75">
      <c r="A474" s="41">
        <v>97</v>
      </c>
      <c r="B474" s="41">
        <v>2021</v>
      </c>
      <c r="C474" s="1" t="s">
        <v>102</v>
      </c>
      <c r="D474" s="42">
        <v>44329</v>
      </c>
      <c r="E474" s="1" t="s">
        <v>20</v>
      </c>
      <c r="F474" s="1" t="s">
        <v>73</v>
      </c>
      <c r="G474" s="41">
        <v>1</v>
      </c>
      <c r="H474" s="41">
        <v>2</v>
      </c>
      <c r="I474" s="41">
        <v>1</v>
      </c>
      <c r="J474" s="3" t="s">
        <v>23</v>
      </c>
      <c r="K474" s="3" t="s">
        <v>23</v>
      </c>
      <c r="L474" s="3" t="s">
        <v>23</v>
      </c>
      <c r="M474" s="1" t="s">
        <v>1311</v>
      </c>
      <c r="N474" s="1" t="s">
        <v>23</v>
      </c>
      <c r="O474" s="1" t="s">
        <v>33</v>
      </c>
      <c r="P474" s="1">
        <v>1</v>
      </c>
      <c r="Q474" s="28" t="s">
        <v>1312</v>
      </c>
      <c r="R474" s="44" t="s">
        <v>1313</v>
      </c>
      <c r="S474" s="17" t="s">
        <v>1314</v>
      </c>
    </row>
    <row r="475" spans="1:19" ht="12.75">
      <c r="A475" s="41">
        <v>97</v>
      </c>
      <c r="B475" s="41">
        <v>2021</v>
      </c>
      <c r="C475" s="1" t="s">
        <v>102</v>
      </c>
      <c r="D475" s="42">
        <v>44329</v>
      </c>
      <c r="E475" s="1" t="s">
        <v>20</v>
      </c>
      <c r="F475" s="1" t="s">
        <v>73</v>
      </c>
      <c r="G475" s="41">
        <v>1</v>
      </c>
      <c r="H475" s="41">
        <v>2</v>
      </c>
      <c r="I475" s="41">
        <v>2</v>
      </c>
      <c r="J475" s="3" t="s">
        <v>85</v>
      </c>
      <c r="K475" s="3">
        <v>32743</v>
      </c>
      <c r="L475" s="3" t="s">
        <v>61</v>
      </c>
      <c r="M475" s="1" t="s">
        <v>1315</v>
      </c>
      <c r="N475" s="4" t="s">
        <v>20</v>
      </c>
      <c r="O475" s="1" t="s">
        <v>23</v>
      </c>
      <c r="P475" s="1" t="s">
        <v>23</v>
      </c>
      <c r="Q475" s="7" t="s">
        <v>23</v>
      </c>
      <c r="R475" s="8" t="s">
        <v>23</v>
      </c>
      <c r="S475" s="20" t="s">
        <v>23</v>
      </c>
    </row>
    <row r="476" spans="1:19" ht="12.75">
      <c r="A476" s="41">
        <v>98</v>
      </c>
      <c r="B476" s="41">
        <v>2021</v>
      </c>
      <c r="C476" s="1" t="s">
        <v>102</v>
      </c>
      <c r="D476" s="42">
        <v>44329</v>
      </c>
      <c r="E476" s="1" t="s">
        <v>20</v>
      </c>
      <c r="F476" s="1" t="s">
        <v>370</v>
      </c>
      <c r="G476" s="41">
        <v>1</v>
      </c>
      <c r="H476" s="41">
        <v>3</v>
      </c>
      <c r="I476" s="41">
        <v>1</v>
      </c>
      <c r="J476" s="3" t="s">
        <v>30</v>
      </c>
      <c r="K476" s="3">
        <v>31811</v>
      </c>
      <c r="L476" s="14" t="s">
        <v>61</v>
      </c>
      <c r="M476" s="1" t="s">
        <v>1178</v>
      </c>
      <c r="N476" s="4" t="s">
        <v>20</v>
      </c>
      <c r="O476" s="1" t="s">
        <v>20</v>
      </c>
      <c r="P476" s="1">
        <v>0</v>
      </c>
      <c r="Q476" s="28" t="s">
        <v>1316</v>
      </c>
      <c r="R476" s="44" t="s">
        <v>1317</v>
      </c>
      <c r="S476" s="17" t="s">
        <v>1318</v>
      </c>
    </row>
    <row r="477" spans="1:19" ht="12.75">
      <c r="A477" s="41">
        <v>98</v>
      </c>
      <c r="B477" s="41">
        <v>2021</v>
      </c>
      <c r="C477" s="1" t="s">
        <v>102</v>
      </c>
      <c r="D477" s="42">
        <v>44329</v>
      </c>
      <c r="E477" s="1" t="s">
        <v>20</v>
      </c>
      <c r="F477" s="1" t="s">
        <v>370</v>
      </c>
      <c r="G477" s="41">
        <v>1</v>
      </c>
      <c r="H477" s="41">
        <v>3</v>
      </c>
      <c r="I477" s="41">
        <v>2</v>
      </c>
      <c r="J477" s="3" t="s">
        <v>30</v>
      </c>
      <c r="K477" s="3">
        <v>30983</v>
      </c>
      <c r="L477" s="3" t="s">
        <v>61</v>
      </c>
      <c r="M477" s="1" t="s">
        <v>1182</v>
      </c>
      <c r="N477" s="4" t="s">
        <v>20</v>
      </c>
      <c r="O477" s="1" t="s">
        <v>23</v>
      </c>
      <c r="P477" s="1" t="s">
        <v>23</v>
      </c>
      <c r="Q477" s="7" t="s">
        <v>23</v>
      </c>
      <c r="R477" s="8" t="s">
        <v>23</v>
      </c>
      <c r="S477" s="20" t="s">
        <v>23</v>
      </c>
    </row>
    <row r="478" spans="1:19" ht="12.75">
      <c r="A478" s="41">
        <v>98</v>
      </c>
      <c r="B478" s="41">
        <v>2021</v>
      </c>
      <c r="C478" s="1" t="s">
        <v>102</v>
      </c>
      <c r="D478" s="42">
        <v>44329</v>
      </c>
      <c r="E478" s="1" t="s">
        <v>20</v>
      </c>
      <c r="F478" s="1" t="s">
        <v>370</v>
      </c>
      <c r="G478" s="41">
        <v>1</v>
      </c>
      <c r="H478" s="41">
        <v>3</v>
      </c>
      <c r="I478" s="41">
        <v>3</v>
      </c>
      <c r="J478" s="3" t="s">
        <v>30</v>
      </c>
      <c r="K478" s="3">
        <v>32542</v>
      </c>
      <c r="L478" s="3" t="s">
        <v>61</v>
      </c>
      <c r="M478" s="1" t="s">
        <v>1291</v>
      </c>
      <c r="N478" s="4" t="s">
        <v>20</v>
      </c>
      <c r="O478" s="1" t="s">
        <v>23</v>
      </c>
      <c r="P478" s="1" t="s">
        <v>23</v>
      </c>
      <c r="Q478" s="7" t="s">
        <v>23</v>
      </c>
      <c r="R478" s="8" t="s">
        <v>23</v>
      </c>
      <c r="S478" s="20" t="s">
        <v>23</v>
      </c>
    </row>
    <row r="479" spans="1:19" ht="12.75">
      <c r="A479" s="41">
        <v>99</v>
      </c>
      <c r="B479" s="41">
        <v>2021</v>
      </c>
      <c r="C479" s="1" t="s">
        <v>102</v>
      </c>
      <c r="D479" s="42">
        <v>44329</v>
      </c>
      <c r="E479" s="1" t="s">
        <v>20</v>
      </c>
      <c r="F479" s="1" t="s">
        <v>37</v>
      </c>
      <c r="G479" s="41">
        <v>1</v>
      </c>
      <c r="H479" s="41">
        <v>1</v>
      </c>
      <c r="I479" s="41">
        <v>1</v>
      </c>
      <c r="J479" s="3" t="s">
        <v>416</v>
      </c>
      <c r="K479" s="3">
        <v>32805</v>
      </c>
      <c r="L479" s="13" t="s">
        <v>1319</v>
      </c>
      <c r="M479" s="1" t="s">
        <v>1320</v>
      </c>
      <c r="N479" s="4" t="s">
        <v>33</v>
      </c>
      <c r="O479" s="1" t="s">
        <v>20</v>
      </c>
      <c r="P479" s="1">
        <v>0</v>
      </c>
      <c r="Q479" s="28" t="s">
        <v>1321</v>
      </c>
      <c r="R479" s="44" t="s">
        <v>1322</v>
      </c>
      <c r="S479" s="17" t="s">
        <v>1323</v>
      </c>
    </row>
    <row r="480" spans="1:19" ht="12.75">
      <c r="A480" s="41">
        <v>100</v>
      </c>
      <c r="B480" s="41">
        <v>2021</v>
      </c>
      <c r="C480" s="1" t="s">
        <v>102</v>
      </c>
      <c r="D480" s="42">
        <v>44334</v>
      </c>
      <c r="E480" s="1" t="s">
        <v>20</v>
      </c>
      <c r="F480" s="1" t="s">
        <v>49</v>
      </c>
      <c r="G480" s="41">
        <v>1</v>
      </c>
      <c r="H480" s="41">
        <v>1</v>
      </c>
      <c r="I480" s="41">
        <v>1</v>
      </c>
      <c r="J480" s="3" t="s">
        <v>23</v>
      </c>
      <c r="K480" s="3" t="s">
        <v>23</v>
      </c>
      <c r="L480" s="3" t="s">
        <v>23</v>
      </c>
      <c r="M480" s="1" t="s">
        <v>1324</v>
      </c>
      <c r="N480" s="1" t="s">
        <v>23</v>
      </c>
      <c r="O480" s="1" t="s">
        <v>20</v>
      </c>
      <c r="P480" s="1">
        <v>0</v>
      </c>
      <c r="Q480" s="28" t="s">
        <v>1325</v>
      </c>
      <c r="R480" s="44" t="s">
        <v>1326</v>
      </c>
      <c r="S480" s="17" t="s">
        <v>1327</v>
      </c>
    </row>
    <row r="481" spans="1:19" ht="12.75">
      <c r="A481" s="41">
        <v>101</v>
      </c>
      <c r="B481" s="41">
        <v>2021</v>
      </c>
      <c r="C481" s="1" t="s">
        <v>102</v>
      </c>
      <c r="D481" s="42">
        <v>44334</v>
      </c>
      <c r="E481" s="1" t="s">
        <v>20</v>
      </c>
      <c r="F481" s="1" t="s">
        <v>370</v>
      </c>
      <c r="G481" s="41">
        <v>1</v>
      </c>
      <c r="H481" s="41">
        <v>3</v>
      </c>
      <c r="I481" s="41">
        <v>1</v>
      </c>
      <c r="J481" s="3" t="s">
        <v>30</v>
      </c>
      <c r="K481" s="3">
        <v>31811</v>
      </c>
      <c r="L481" s="14" t="s">
        <v>61</v>
      </c>
      <c r="M481" s="1" t="s">
        <v>1178</v>
      </c>
      <c r="N481" s="4" t="s">
        <v>20</v>
      </c>
      <c r="O481" s="1" t="s">
        <v>20</v>
      </c>
      <c r="P481" s="1">
        <v>0</v>
      </c>
      <c r="Q481" s="28" t="s">
        <v>1328</v>
      </c>
      <c r="R481" s="44" t="s">
        <v>1329</v>
      </c>
      <c r="S481" s="17" t="s">
        <v>1330</v>
      </c>
    </row>
    <row r="482" spans="1:19" ht="12.75">
      <c r="A482" s="41">
        <v>101</v>
      </c>
      <c r="B482" s="41">
        <v>2021</v>
      </c>
      <c r="C482" s="1" t="s">
        <v>102</v>
      </c>
      <c r="D482" s="42">
        <v>44334</v>
      </c>
      <c r="E482" s="1" t="s">
        <v>20</v>
      </c>
      <c r="F482" s="1" t="s">
        <v>370</v>
      </c>
      <c r="G482" s="41">
        <v>1</v>
      </c>
      <c r="H482" s="41">
        <v>3</v>
      </c>
      <c r="I482" s="41">
        <v>2</v>
      </c>
      <c r="J482" s="3" t="s">
        <v>30</v>
      </c>
      <c r="K482" s="3">
        <v>30983</v>
      </c>
      <c r="L482" s="3" t="s">
        <v>61</v>
      </c>
      <c r="M482" s="1" t="s">
        <v>1182</v>
      </c>
      <c r="N482" s="4" t="s">
        <v>20</v>
      </c>
      <c r="O482" s="1" t="s">
        <v>23</v>
      </c>
      <c r="P482" s="1" t="s">
        <v>23</v>
      </c>
      <c r="Q482" s="7" t="s">
        <v>23</v>
      </c>
      <c r="R482" s="8" t="s">
        <v>23</v>
      </c>
      <c r="S482" s="20" t="s">
        <v>23</v>
      </c>
    </row>
    <row r="483" spans="1:19" ht="12.75">
      <c r="A483" s="41">
        <v>101</v>
      </c>
      <c r="B483" s="41">
        <v>2021</v>
      </c>
      <c r="C483" s="1" t="s">
        <v>102</v>
      </c>
      <c r="D483" s="42">
        <v>44334</v>
      </c>
      <c r="E483" s="1" t="s">
        <v>20</v>
      </c>
      <c r="F483" s="1" t="s">
        <v>370</v>
      </c>
      <c r="G483" s="41">
        <v>1</v>
      </c>
      <c r="H483" s="41">
        <v>3</v>
      </c>
      <c r="I483" s="41">
        <v>3</v>
      </c>
      <c r="J483" s="3" t="s">
        <v>30</v>
      </c>
      <c r="K483" s="3">
        <v>32542</v>
      </c>
      <c r="L483" s="3" t="s">
        <v>61</v>
      </c>
      <c r="M483" s="1" t="s">
        <v>1291</v>
      </c>
      <c r="N483" s="4" t="s">
        <v>20</v>
      </c>
      <c r="O483" s="1" t="s">
        <v>23</v>
      </c>
      <c r="P483" s="1" t="s">
        <v>23</v>
      </c>
      <c r="Q483" s="7" t="s">
        <v>23</v>
      </c>
      <c r="R483" s="8" t="s">
        <v>23</v>
      </c>
      <c r="S483" s="20" t="s">
        <v>23</v>
      </c>
    </row>
    <row r="484" spans="1:19" ht="12.75">
      <c r="A484" s="41">
        <v>102</v>
      </c>
      <c r="B484" s="41">
        <v>2021</v>
      </c>
      <c r="C484" s="1" t="s">
        <v>102</v>
      </c>
      <c r="D484" s="42">
        <v>44334</v>
      </c>
      <c r="E484" s="1" t="s">
        <v>20</v>
      </c>
      <c r="F484" s="1" t="s">
        <v>37</v>
      </c>
      <c r="G484" s="41">
        <v>1</v>
      </c>
      <c r="H484" s="41">
        <v>1</v>
      </c>
      <c r="I484" s="41">
        <v>1</v>
      </c>
      <c r="J484" s="3" t="s">
        <v>30</v>
      </c>
      <c r="K484" s="3">
        <v>32554</v>
      </c>
      <c r="L484" s="14" t="s">
        <v>61</v>
      </c>
      <c r="M484" s="1" t="s">
        <v>1331</v>
      </c>
      <c r="N484" s="4" t="s">
        <v>20</v>
      </c>
      <c r="O484" s="1" t="s">
        <v>33</v>
      </c>
      <c r="P484" s="1">
        <v>5</v>
      </c>
      <c r="Q484" s="28" t="s">
        <v>1332</v>
      </c>
      <c r="R484" s="44" t="s">
        <v>1333</v>
      </c>
      <c r="S484" s="17" t="s">
        <v>1334</v>
      </c>
    </row>
    <row r="485" spans="1:19" ht="12.75">
      <c r="A485" s="41">
        <v>103</v>
      </c>
      <c r="B485" s="41">
        <v>2021</v>
      </c>
      <c r="C485" s="1" t="s">
        <v>102</v>
      </c>
      <c r="D485" s="42">
        <v>44335</v>
      </c>
      <c r="E485" s="1" t="s">
        <v>20</v>
      </c>
      <c r="F485" s="1" t="s">
        <v>53</v>
      </c>
      <c r="G485" s="41">
        <v>1</v>
      </c>
      <c r="H485" s="41">
        <v>4</v>
      </c>
      <c r="I485" s="41">
        <v>1</v>
      </c>
      <c r="J485" s="3" t="s">
        <v>30</v>
      </c>
      <c r="K485" s="3">
        <v>31811</v>
      </c>
      <c r="L485" s="14" t="s">
        <v>61</v>
      </c>
      <c r="M485" s="1" t="s">
        <v>1178</v>
      </c>
      <c r="N485" s="4" t="s">
        <v>33</v>
      </c>
      <c r="O485" s="1" t="s">
        <v>20</v>
      </c>
      <c r="P485" s="1">
        <v>0</v>
      </c>
      <c r="Q485" s="28" t="s">
        <v>1335</v>
      </c>
      <c r="R485" s="44" t="s">
        <v>1336</v>
      </c>
      <c r="S485" s="17" t="s">
        <v>1337</v>
      </c>
    </row>
    <row r="486" spans="1:19" ht="12.75">
      <c r="A486" s="41">
        <v>103</v>
      </c>
      <c r="B486" s="41">
        <v>2021</v>
      </c>
      <c r="C486" s="1" t="s">
        <v>102</v>
      </c>
      <c r="D486" s="42">
        <v>44335</v>
      </c>
      <c r="E486" s="1" t="s">
        <v>20</v>
      </c>
      <c r="F486" s="1" t="s">
        <v>53</v>
      </c>
      <c r="G486" s="41">
        <v>1</v>
      </c>
      <c r="H486" s="41">
        <v>4</v>
      </c>
      <c r="I486" s="41">
        <v>2</v>
      </c>
      <c r="J486" s="3" t="s">
        <v>30</v>
      </c>
      <c r="K486" s="3">
        <v>30983</v>
      </c>
      <c r="L486" s="3" t="s">
        <v>61</v>
      </c>
      <c r="M486" s="1" t="s">
        <v>1182</v>
      </c>
      <c r="N486" s="4" t="s">
        <v>33</v>
      </c>
      <c r="O486" s="1" t="s">
        <v>23</v>
      </c>
      <c r="P486" s="1" t="s">
        <v>23</v>
      </c>
      <c r="Q486" s="7" t="s">
        <v>23</v>
      </c>
      <c r="R486" s="8" t="s">
        <v>23</v>
      </c>
      <c r="S486" s="20" t="s">
        <v>23</v>
      </c>
    </row>
    <row r="487" spans="1:19" ht="12.75">
      <c r="A487" s="41">
        <v>103</v>
      </c>
      <c r="B487" s="41">
        <v>2021</v>
      </c>
      <c r="C487" s="1" t="s">
        <v>102</v>
      </c>
      <c r="D487" s="42">
        <v>44335</v>
      </c>
      <c r="E487" s="1" t="s">
        <v>20</v>
      </c>
      <c r="F487" s="1" t="s">
        <v>53</v>
      </c>
      <c r="G487" s="41">
        <v>1</v>
      </c>
      <c r="H487" s="41">
        <v>4</v>
      </c>
      <c r="I487" s="41">
        <v>3</v>
      </c>
      <c r="J487" s="3" t="s">
        <v>30</v>
      </c>
      <c r="K487" s="3">
        <v>32542</v>
      </c>
      <c r="L487" s="3" t="s">
        <v>61</v>
      </c>
      <c r="M487" s="1" t="s">
        <v>1291</v>
      </c>
      <c r="N487" s="4" t="s">
        <v>33</v>
      </c>
      <c r="O487" s="1" t="s">
        <v>23</v>
      </c>
      <c r="P487" s="1" t="s">
        <v>23</v>
      </c>
      <c r="Q487" s="7" t="s">
        <v>23</v>
      </c>
      <c r="R487" s="8" t="s">
        <v>23</v>
      </c>
      <c r="S487" s="20" t="s">
        <v>23</v>
      </c>
    </row>
    <row r="488" spans="1:19" ht="12.75">
      <c r="A488" s="41">
        <v>103</v>
      </c>
      <c r="B488" s="41">
        <v>2021</v>
      </c>
      <c r="C488" s="1" t="s">
        <v>102</v>
      </c>
      <c r="D488" s="42">
        <v>44335</v>
      </c>
      <c r="E488" s="1" t="s">
        <v>20</v>
      </c>
      <c r="F488" s="1" t="s">
        <v>53</v>
      </c>
      <c r="G488" s="41">
        <v>1</v>
      </c>
      <c r="H488" s="41">
        <v>4</v>
      </c>
      <c r="I488" s="41">
        <v>4</v>
      </c>
      <c r="J488" s="3" t="s">
        <v>30</v>
      </c>
      <c r="K488" s="3">
        <v>32726</v>
      </c>
      <c r="L488" s="3" t="s">
        <v>31</v>
      </c>
      <c r="M488" s="1" t="s">
        <v>1338</v>
      </c>
      <c r="N488" s="4" t="s">
        <v>33</v>
      </c>
      <c r="O488" s="1" t="s">
        <v>23</v>
      </c>
      <c r="P488" s="1" t="s">
        <v>23</v>
      </c>
      <c r="Q488" s="7" t="s">
        <v>23</v>
      </c>
      <c r="R488" s="8" t="s">
        <v>23</v>
      </c>
      <c r="S488" s="20" t="s">
        <v>23</v>
      </c>
    </row>
    <row r="489" spans="1:19" ht="12.75">
      <c r="A489" s="41">
        <v>104</v>
      </c>
      <c r="B489" s="41">
        <v>2021</v>
      </c>
      <c r="C489" s="1" t="s">
        <v>102</v>
      </c>
      <c r="D489" s="42">
        <v>44336</v>
      </c>
      <c r="E489" s="1" t="s">
        <v>20</v>
      </c>
      <c r="F489" s="1" t="s">
        <v>37</v>
      </c>
      <c r="G489" s="41">
        <v>1</v>
      </c>
      <c r="H489" s="41">
        <v>1</v>
      </c>
      <c r="I489" s="41">
        <v>1</v>
      </c>
      <c r="J489" s="3" t="s">
        <v>64</v>
      </c>
      <c r="K489" s="3">
        <v>32610</v>
      </c>
      <c r="L489" s="3" t="s">
        <v>31</v>
      </c>
      <c r="M489" s="1" t="s">
        <v>1339</v>
      </c>
      <c r="N489" s="4" t="s">
        <v>33</v>
      </c>
      <c r="O489" s="1" t="s">
        <v>20</v>
      </c>
      <c r="P489" s="1">
        <v>0</v>
      </c>
      <c r="Q489" s="28" t="s">
        <v>1340</v>
      </c>
      <c r="R489" s="44" t="s">
        <v>1341</v>
      </c>
      <c r="S489" s="17" t="s">
        <v>1342</v>
      </c>
    </row>
    <row r="490" spans="1:19" ht="12.75">
      <c r="A490" s="41">
        <v>105</v>
      </c>
      <c r="B490" s="41">
        <v>2021</v>
      </c>
      <c r="C490" s="1" t="s">
        <v>102</v>
      </c>
      <c r="D490" s="42">
        <v>44336</v>
      </c>
      <c r="E490" s="1" t="s">
        <v>20</v>
      </c>
      <c r="F490" s="1" t="s">
        <v>471</v>
      </c>
      <c r="G490" s="41">
        <v>1</v>
      </c>
      <c r="H490" s="41">
        <v>1</v>
      </c>
      <c r="I490" s="41">
        <v>1</v>
      </c>
      <c r="J490" s="3" t="s">
        <v>23</v>
      </c>
      <c r="K490" s="3" t="s">
        <v>23</v>
      </c>
      <c r="L490" s="3" t="s">
        <v>23</v>
      </c>
      <c r="M490" s="1" t="s">
        <v>1343</v>
      </c>
      <c r="N490" s="1" t="s">
        <v>23</v>
      </c>
      <c r="O490" s="1" t="s">
        <v>33</v>
      </c>
      <c r="P490" s="1">
        <v>1</v>
      </c>
      <c r="Q490" s="32" t="s">
        <v>1344</v>
      </c>
      <c r="R490" s="44" t="s">
        <v>1345</v>
      </c>
      <c r="S490" s="17" t="s">
        <v>1346</v>
      </c>
    </row>
    <row r="491" spans="1:19" ht="12.75">
      <c r="A491" s="41">
        <v>106</v>
      </c>
      <c r="B491" s="41">
        <v>2021</v>
      </c>
      <c r="C491" s="1" t="s">
        <v>102</v>
      </c>
      <c r="D491" s="42">
        <v>44336</v>
      </c>
      <c r="E491" s="1" t="s">
        <v>33</v>
      </c>
      <c r="F491" s="6" t="s">
        <v>1039</v>
      </c>
      <c r="G491" s="41">
        <v>2</v>
      </c>
      <c r="H491" s="41">
        <v>1</v>
      </c>
      <c r="I491" s="41">
        <v>1</v>
      </c>
      <c r="J491" s="3" t="s">
        <v>23</v>
      </c>
      <c r="K491" s="3" t="s">
        <v>23</v>
      </c>
      <c r="L491" s="3" t="s">
        <v>23</v>
      </c>
      <c r="M491" s="1" t="s">
        <v>1347</v>
      </c>
      <c r="N491" s="1" t="s">
        <v>23</v>
      </c>
      <c r="O491" s="1" t="s">
        <v>33</v>
      </c>
      <c r="P491" s="1">
        <v>1</v>
      </c>
      <c r="Q491" s="28" t="s">
        <v>1348</v>
      </c>
      <c r="R491" s="44" t="s">
        <v>1349</v>
      </c>
      <c r="S491" s="17" t="s">
        <v>1350</v>
      </c>
    </row>
    <row r="492" spans="1:19" ht="12.75">
      <c r="A492" s="41">
        <v>107</v>
      </c>
      <c r="B492" s="41">
        <v>2021</v>
      </c>
      <c r="C492" s="1" t="s">
        <v>102</v>
      </c>
      <c r="D492" s="42">
        <v>44348</v>
      </c>
      <c r="E492" s="1" t="s">
        <v>33</v>
      </c>
      <c r="F492" s="6" t="s">
        <v>1189</v>
      </c>
      <c r="G492" s="41">
        <v>2</v>
      </c>
      <c r="H492" s="41">
        <v>1</v>
      </c>
      <c r="I492" s="41">
        <v>1</v>
      </c>
      <c r="J492" s="3" t="s">
        <v>30</v>
      </c>
      <c r="K492" s="3">
        <v>32275</v>
      </c>
      <c r="L492" s="14" t="s">
        <v>61</v>
      </c>
      <c r="M492" s="1" t="s">
        <v>1351</v>
      </c>
      <c r="N492" s="4" t="s">
        <v>33</v>
      </c>
      <c r="O492" s="1" t="s">
        <v>20</v>
      </c>
      <c r="P492" s="1">
        <v>0</v>
      </c>
      <c r="Q492" s="28" t="s">
        <v>1352</v>
      </c>
      <c r="R492" s="44" t="s">
        <v>1353</v>
      </c>
      <c r="S492" s="17" t="s">
        <v>1354</v>
      </c>
    </row>
    <row r="493" spans="1:19" ht="12.75">
      <c r="A493" s="41">
        <v>108</v>
      </c>
      <c r="B493" s="41">
        <v>2021</v>
      </c>
      <c r="C493" s="1" t="s">
        <v>102</v>
      </c>
      <c r="D493" s="42">
        <v>44348</v>
      </c>
      <c r="E493" s="1" t="s">
        <v>33</v>
      </c>
      <c r="F493" s="6" t="s">
        <v>1039</v>
      </c>
      <c r="G493" s="41">
        <v>2</v>
      </c>
      <c r="H493" s="41">
        <v>1</v>
      </c>
      <c r="I493" s="41">
        <v>1</v>
      </c>
      <c r="J493" s="3" t="s">
        <v>30</v>
      </c>
      <c r="K493" s="3">
        <v>32827</v>
      </c>
      <c r="L493" s="3" t="s">
        <v>31</v>
      </c>
      <c r="M493" s="1" t="s">
        <v>1355</v>
      </c>
      <c r="N493" s="4" t="s">
        <v>20</v>
      </c>
      <c r="O493" s="1" t="s">
        <v>20</v>
      </c>
      <c r="P493" s="1">
        <v>0</v>
      </c>
      <c r="Q493" s="28" t="s">
        <v>1356</v>
      </c>
      <c r="R493" s="44" t="s">
        <v>1357</v>
      </c>
      <c r="S493" s="17" t="s">
        <v>1358</v>
      </c>
    </row>
    <row r="494" spans="1:19" ht="12.75">
      <c r="A494" s="41">
        <v>109</v>
      </c>
      <c r="B494" s="41">
        <v>2021</v>
      </c>
      <c r="C494" s="1" t="s">
        <v>102</v>
      </c>
      <c r="D494" s="42">
        <v>44348</v>
      </c>
      <c r="E494" s="1" t="s">
        <v>20</v>
      </c>
      <c r="F494" s="1" t="s">
        <v>370</v>
      </c>
      <c r="G494" s="41">
        <v>1</v>
      </c>
      <c r="H494" s="41">
        <v>1</v>
      </c>
      <c r="I494" s="41">
        <v>1</v>
      </c>
      <c r="J494" s="3" t="s">
        <v>23</v>
      </c>
      <c r="K494" s="3" t="s">
        <v>23</v>
      </c>
      <c r="L494" s="3" t="s">
        <v>23</v>
      </c>
      <c r="M494" s="1" t="s">
        <v>1359</v>
      </c>
      <c r="N494" s="1" t="s">
        <v>23</v>
      </c>
      <c r="O494" s="1" t="s">
        <v>33</v>
      </c>
      <c r="P494" s="1">
        <v>1</v>
      </c>
      <c r="Q494" s="28" t="s">
        <v>1360</v>
      </c>
      <c r="R494" s="44" t="s">
        <v>1361</v>
      </c>
      <c r="S494" s="17" t="s">
        <v>1362</v>
      </c>
    </row>
    <row r="495" spans="1:19" ht="12.75">
      <c r="A495" s="41">
        <v>110</v>
      </c>
      <c r="B495" s="41">
        <v>2021</v>
      </c>
      <c r="C495" s="1" t="s">
        <v>102</v>
      </c>
      <c r="D495" s="42">
        <v>44350</v>
      </c>
      <c r="E495" s="1" t="s">
        <v>33</v>
      </c>
      <c r="F495" s="6" t="s">
        <v>1039</v>
      </c>
      <c r="G495" s="18">
        <v>2</v>
      </c>
      <c r="H495" s="41">
        <v>1</v>
      </c>
      <c r="I495" s="41">
        <v>1</v>
      </c>
      <c r="J495" s="3" t="s">
        <v>30</v>
      </c>
      <c r="K495" s="3">
        <v>32928</v>
      </c>
      <c r="L495" s="14" t="s">
        <v>61</v>
      </c>
      <c r="M495" s="1" t="s">
        <v>1363</v>
      </c>
      <c r="N495" s="4" t="s">
        <v>33</v>
      </c>
      <c r="O495" s="1" t="s">
        <v>20</v>
      </c>
      <c r="P495" s="1">
        <v>0</v>
      </c>
      <c r="Q495" s="28" t="s">
        <v>1364</v>
      </c>
      <c r="R495" s="44" t="s">
        <v>1365</v>
      </c>
      <c r="S495" s="17" t="s">
        <v>1366</v>
      </c>
    </row>
    <row r="496" spans="1:19" ht="12.75">
      <c r="A496" s="41">
        <v>111</v>
      </c>
      <c r="B496" s="41">
        <v>2021</v>
      </c>
      <c r="C496" s="1" t="s">
        <v>102</v>
      </c>
      <c r="D496" s="42">
        <v>44350</v>
      </c>
      <c r="E496" s="1" t="s">
        <v>33</v>
      </c>
      <c r="F496" s="6" t="s">
        <v>1367</v>
      </c>
      <c r="G496" s="41">
        <v>3</v>
      </c>
      <c r="H496" s="41">
        <v>1</v>
      </c>
      <c r="I496" s="41">
        <v>1</v>
      </c>
      <c r="J496" s="3" t="s">
        <v>30</v>
      </c>
      <c r="K496" s="3">
        <v>32954</v>
      </c>
      <c r="L496" s="3" t="s">
        <v>31</v>
      </c>
      <c r="M496" s="1" t="s">
        <v>1368</v>
      </c>
      <c r="N496" s="4" t="s">
        <v>20</v>
      </c>
      <c r="O496" s="1" t="s">
        <v>20</v>
      </c>
      <c r="P496" s="1">
        <v>0</v>
      </c>
      <c r="Q496" s="28" t="s">
        <v>1369</v>
      </c>
      <c r="R496" s="44" t="s">
        <v>1370</v>
      </c>
      <c r="S496" s="17" t="s">
        <v>1371</v>
      </c>
    </row>
    <row r="497" spans="1:19" ht="12.75">
      <c r="A497" s="41">
        <v>112</v>
      </c>
      <c r="B497" s="41">
        <v>2021</v>
      </c>
      <c r="C497" s="1" t="s">
        <v>102</v>
      </c>
      <c r="D497" s="42">
        <v>44350</v>
      </c>
      <c r="E497" s="1" t="s">
        <v>20</v>
      </c>
      <c r="F497" s="1" t="s">
        <v>67</v>
      </c>
      <c r="G497" s="41">
        <v>1</v>
      </c>
      <c r="H497" s="41">
        <v>1</v>
      </c>
      <c r="I497" s="41">
        <v>1</v>
      </c>
      <c r="J497" s="3" t="s">
        <v>23</v>
      </c>
      <c r="K497" s="3" t="s">
        <v>23</v>
      </c>
      <c r="L497" s="3" t="s">
        <v>23</v>
      </c>
      <c r="M497" s="1" t="s">
        <v>1372</v>
      </c>
      <c r="N497" s="1" t="s">
        <v>23</v>
      </c>
      <c r="O497" s="1" t="s">
        <v>33</v>
      </c>
      <c r="P497" s="1">
        <v>1</v>
      </c>
      <c r="Q497" s="32" t="s">
        <v>1373</v>
      </c>
      <c r="R497" s="44" t="s">
        <v>1374</v>
      </c>
      <c r="S497" s="32" t="s">
        <v>1375</v>
      </c>
    </row>
    <row r="498" spans="1:19" ht="12.75">
      <c r="A498" s="41">
        <v>113</v>
      </c>
      <c r="B498" s="41">
        <v>2021</v>
      </c>
      <c r="C498" s="1" t="s">
        <v>102</v>
      </c>
      <c r="D498" s="42">
        <v>44355</v>
      </c>
      <c r="E498" s="1" t="s">
        <v>33</v>
      </c>
      <c r="F498" s="6" t="s">
        <v>1367</v>
      </c>
      <c r="G498" s="41">
        <v>3</v>
      </c>
      <c r="H498" s="41">
        <v>1</v>
      </c>
      <c r="I498" s="41">
        <v>1</v>
      </c>
      <c r="J498" s="3" t="s">
        <v>30</v>
      </c>
      <c r="K498" s="3">
        <v>32954</v>
      </c>
      <c r="L498" s="3" t="s">
        <v>31</v>
      </c>
      <c r="M498" s="1" t="s">
        <v>1368</v>
      </c>
      <c r="N498" s="4" t="s">
        <v>33</v>
      </c>
      <c r="O498" s="1" t="s">
        <v>33</v>
      </c>
      <c r="P498" s="1">
        <v>1</v>
      </c>
      <c r="Q498" s="28" t="s">
        <v>1376</v>
      </c>
      <c r="R498" s="44" t="s">
        <v>1377</v>
      </c>
      <c r="S498" s="17" t="s">
        <v>1378</v>
      </c>
    </row>
    <row r="499" spans="1:19" ht="12.75">
      <c r="A499" s="41">
        <v>114</v>
      </c>
      <c r="B499" s="41">
        <v>2021</v>
      </c>
      <c r="C499" s="1" t="s">
        <v>102</v>
      </c>
      <c r="D499" s="42">
        <v>44355</v>
      </c>
      <c r="E499" s="1" t="s">
        <v>20</v>
      </c>
      <c r="F499" s="1" t="s">
        <v>190</v>
      </c>
      <c r="G499" s="41">
        <v>1</v>
      </c>
      <c r="H499" s="41">
        <v>1</v>
      </c>
      <c r="I499" s="41">
        <v>1</v>
      </c>
      <c r="J499" s="3" t="s">
        <v>23</v>
      </c>
      <c r="K499" s="3" t="s">
        <v>23</v>
      </c>
      <c r="L499" s="3" t="s">
        <v>23</v>
      </c>
      <c r="M499" s="1" t="s">
        <v>1379</v>
      </c>
      <c r="N499" s="1" t="s">
        <v>23</v>
      </c>
      <c r="O499" s="1" t="s">
        <v>33</v>
      </c>
      <c r="P499" s="1">
        <v>4</v>
      </c>
      <c r="Q499" s="28" t="s">
        <v>1380</v>
      </c>
      <c r="R499" s="44" t="s">
        <v>1381</v>
      </c>
      <c r="S499" s="17" t="s">
        <v>1382</v>
      </c>
    </row>
    <row r="500" spans="1:19" ht="12.75">
      <c r="A500" s="41">
        <v>115</v>
      </c>
      <c r="B500" s="41">
        <v>2021</v>
      </c>
      <c r="C500" s="1" t="s">
        <v>102</v>
      </c>
      <c r="D500" s="42">
        <v>44355</v>
      </c>
      <c r="E500" s="1" t="s">
        <v>33</v>
      </c>
      <c r="F500" s="6" t="s">
        <v>1383</v>
      </c>
      <c r="G500" s="41">
        <v>2</v>
      </c>
      <c r="H500" s="41">
        <v>1</v>
      </c>
      <c r="I500" s="41">
        <v>1</v>
      </c>
      <c r="J500" s="3" t="s">
        <v>23</v>
      </c>
      <c r="K500" s="3" t="s">
        <v>23</v>
      </c>
      <c r="L500" s="3" t="s">
        <v>23</v>
      </c>
      <c r="M500" s="1" t="s">
        <v>1384</v>
      </c>
      <c r="N500" s="1" t="s">
        <v>23</v>
      </c>
      <c r="O500" s="1" t="s">
        <v>33</v>
      </c>
      <c r="P500" s="1">
        <v>1</v>
      </c>
      <c r="Q500" s="28" t="s">
        <v>1385</v>
      </c>
      <c r="R500" s="44" t="s">
        <v>1386</v>
      </c>
      <c r="S500" s="26" t="s">
        <v>1387</v>
      </c>
    </row>
    <row r="501" spans="1:19" ht="12.75">
      <c r="A501" s="41">
        <v>116</v>
      </c>
      <c r="B501" s="41">
        <v>2021</v>
      </c>
      <c r="C501" s="1" t="s">
        <v>102</v>
      </c>
      <c r="D501" s="42">
        <v>44355</v>
      </c>
      <c r="E501" s="1" t="s">
        <v>33</v>
      </c>
      <c r="F501" s="6" t="s">
        <v>1039</v>
      </c>
      <c r="G501" s="41">
        <v>2</v>
      </c>
      <c r="H501" s="41">
        <v>1</v>
      </c>
      <c r="I501" s="41">
        <v>1</v>
      </c>
      <c r="J501" s="3" t="s">
        <v>30</v>
      </c>
      <c r="K501" s="3">
        <v>32827</v>
      </c>
      <c r="L501" s="3" t="s">
        <v>31</v>
      </c>
      <c r="M501" s="1" t="s">
        <v>1355</v>
      </c>
      <c r="N501" s="4" t="s">
        <v>20</v>
      </c>
      <c r="O501" s="1" t="s">
        <v>33</v>
      </c>
      <c r="P501" s="1">
        <v>1</v>
      </c>
      <c r="Q501" s="28" t="s">
        <v>1388</v>
      </c>
      <c r="R501" s="44" t="s">
        <v>1389</v>
      </c>
      <c r="S501" s="26" t="s">
        <v>1390</v>
      </c>
    </row>
    <row r="502" spans="1:19" ht="12.75">
      <c r="A502" s="41">
        <v>117</v>
      </c>
      <c r="B502" s="41">
        <v>2021</v>
      </c>
      <c r="C502" s="1" t="s">
        <v>102</v>
      </c>
      <c r="D502" s="42">
        <v>44355</v>
      </c>
      <c r="E502" s="1" t="s">
        <v>33</v>
      </c>
      <c r="F502" s="6" t="s">
        <v>1391</v>
      </c>
      <c r="G502" s="41">
        <v>2</v>
      </c>
      <c r="H502" s="41">
        <v>1</v>
      </c>
      <c r="I502" s="41">
        <v>1</v>
      </c>
      <c r="J502" s="3" t="s">
        <v>85</v>
      </c>
      <c r="K502" s="3">
        <v>33007</v>
      </c>
      <c r="L502" s="14" t="s">
        <v>61</v>
      </c>
      <c r="M502" s="1" t="s">
        <v>1392</v>
      </c>
      <c r="N502" s="4" t="s">
        <v>20</v>
      </c>
      <c r="O502" s="1" t="s">
        <v>20</v>
      </c>
      <c r="P502" s="1">
        <v>0</v>
      </c>
      <c r="Q502" s="28" t="s">
        <v>1393</v>
      </c>
      <c r="R502" s="44" t="s">
        <v>1394</v>
      </c>
      <c r="S502" s="26" t="s">
        <v>1395</v>
      </c>
    </row>
    <row r="503" spans="1:19" ht="12.75">
      <c r="A503" s="41">
        <v>118</v>
      </c>
      <c r="B503" s="41">
        <v>2021</v>
      </c>
      <c r="C503" s="1" t="s">
        <v>102</v>
      </c>
      <c r="D503" s="42">
        <v>44356</v>
      </c>
      <c r="E503" s="1" t="s">
        <v>20</v>
      </c>
      <c r="F503" s="1" t="s">
        <v>148</v>
      </c>
      <c r="G503" s="41">
        <v>1</v>
      </c>
      <c r="H503" s="41">
        <v>1</v>
      </c>
      <c r="I503" s="41">
        <v>1</v>
      </c>
      <c r="J503" s="3" t="s">
        <v>23</v>
      </c>
      <c r="K503" s="3" t="s">
        <v>23</v>
      </c>
      <c r="L503" s="3" t="s">
        <v>23</v>
      </c>
      <c r="M503" s="1" t="s">
        <v>1396</v>
      </c>
      <c r="N503" s="1" t="s">
        <v>23</v>
      </c>
      <c r="O503" s="1" t="s">
        <v>33</v>
      </c>
      <c r="P503" s="1">
        <v>5</v>
      </c>
      <c r="Q503" s="32" t="s">
        <v>1397</v>
      </c>
      <c r="R503" s="44" t="s">
        <v>1398</v>
      </c>
      <c r="S503" s="17" t="s">
        <v>1399</v>
      </c>
    </row>
    <row r="504" spans="1:19" ht="12.75">
      <c r="A504" s="41">
        <v>119</v>
      </c>
      <c r="B504" s="41">
        <v>2021</v>
      </c>
      <c r="C504" s="1" t="s">
        <v>102</v>
      </c>
      <c r="D504" s="42">
        <v>44357</v>
      </c>
      <c r="E504" s="1" t="s">
        <v>20</v>
      </c>
      <c r="F504" s="1" t="s">
        <v>39</v>
      </c>
      <c r="G504" s="41">
        <v>1</v>
      </c>
      <c r="H504" s="41">
        <v>1</v>
      </c>
      <c r="I504" s="41">
        <v>1</v>
      </c>
      <c r="J504" s="3" t="s">
        <v>71</v>
      </c>
      <c r="K504" s="3">
        <v>32396</v>
      </c>
      <c r="L504" s="14" t="s">
        <v>61</v>
      </c>
      <c r="M504" s="1" t="s">
        <v>1400</v>
      </c>
      <c r="N504" s="4" t="s">
        <v>20</v>
      </c>
      <c r="O504" s="1" t="s">
        <v>33</v>
      </c>
      <c r="P504" s="1">
        <v>3</v>
      </c>
      <c r="Q504" s="28" t="s">
        <v>1401</v>
      </c>
      <c r="R504" s="44" t="s">
        <v>1402</v>
      </c>
      <c r="S504" s="17" t="s">
        <v>1403</v>
      </c>
    </row>
    <row r="505" spans="1:19" ht="12.75">
      <c r="A505" s="41">
        <v>120</v>
      </c>
      <c r="B505" s="41">
        <v>2021</v>
      </c>
      <c r="C505" s="1" t="s">
        <v>102</v>
      </c>
      <c r="D505" s="42">
        <v>44357</v>
      </c>
      <c r="E505" s="1" t="s">
        <v>33</v>
      </c>
      <c r="F505" s="6" t="s">
        <v>1391</v>
      </c>
      <c r="G505" s="41">
        <v>2</v>
      </c>
      <c r="H505" s="41">
        <v>1</v>
      </c>
      <c r="I505" s="41">
        <v>1</v>
      </c>
      <c r="J505" s="3" t="s">
        <v>85</v>
      </c>
      <c r="K505" s="3">
        <v>33007</v>
      </c>
      <c r="L505" s="14" t="s">
        <v>61</v>
      </c>
      <c r="M505" s="1" t="s">
        <v>1392</v>
      </c>
      <c r="N505" s="4" t="s">
        <v>20</v>
      </c>
      <c r="O505" s="1" t="s">
        <v>33</v>
      </c>
      <c r="P505" s="1">
        <v>8</v>
      </c>
      <c r="Q505" s="28" t="s">
        <v>1404</v>
      </c>
      <c r="R505" s="44" t="s">
        <v>1405</v>
      </c>
      <c r="S505" s="26" t="s">
        <v>1406</v>
      </c>
    </row>
    <row r="506" spans="1:19" ht="12.75">
      <c r="A506" s="41">
        <v>121</v>
      </c>
      <c r="B506" s="41">
        <v>2021</v>
      </c>
      <c r="C506" s="1" t="s">
        <v>102</v>
      </c>
      <c r="D506" s="42">
        <v>44357</v>
      </c>
      <c r="E506" s="1" t="s">
        <v>20</v>
      </c>
      <c r="F506" s="1" t="s">
        <v>55</v>
      </c>
      <c r="G506" s="41">
        <v>1</v>
      </c>
      <c r="H506" s="41">
        <v>1</v>
      </c>
      <c r="I506" s="41">
        <v>1</v>
      </c>
      <c r="J506" s="3" t="s">
        <v>416</v>
      </c>
      <c r="K506" s="3">
        <v>32480</v>
      </c>
      <c r="L506" s="3" t="s">
        <v>31</v>
      </c>
      <c r="M506" s="1" t="s">
        <v>1407</v>
      </c>
      <c r="N506" s="4" t="s">
        <v>20</v>
      </c>
      <c r="O506" s="1" t="s">
        <v>20</v>
      </c>
      <c r="P506" s="1">
        <v>0</v>
      </c>
      <c r="Q506" s="28" t="s">
        <v>1408</v>
      </c>
      <c r="R506" s="44" t="s">
        <v>1409</v>
      </c>
      <c r="S506" s="17" t="s">
        <v>1410</v>
      </c>
    </row>
    <row r="507" spans="1:19" ht="12.75">
      <c r="A507" s="41">
        <v>122</v>
      </c>
      <c r="B507" s="41">
        <v>2021</v>
      </c>
      <c r="C507" s="1" t="s">
        <v>102</v>
      </c>
      <c r="D507" s="42">
        <v>44362</v>
      </c>
      <c r="E507" s="1" t="s">
        <v>20</v>
      </c>
      <c r="F507" s="1" t="s">
        <v>26</v>
      </c>
      <c r="G507" s="41">
        <v>1</v>
      </c>
      <c r="H507" s="41">
        <v>1</v>
      </c>
      <c r="I507" s="41">
        <v>1</v>
      </c>
      <c r="J507" s="3" t="s">
        <v>23</v>
      </c>
      <c r="K507" s="3" t="s">
        <v>23</v>
      </c>
      <c r="L507" s="3" t="s">
        <v>23</v>
      </c>
      <c r="M507" s="1" t="s">
        <v>1411</v>
      </c>
      <c r="N507" s="1" t="s">
        <v>23</v>
      </c>
      <c r="O507" s="1" t="s">
        <v>33</v>
      </c>
      <c r="P507" s="1">
        <v>2</v>
      </c>
      <c r="Q507" s="28" t="s">
        <v>1412</v>
      </c>
      <c r="R507" s="44" t="s">
        <v>1413</v>
      </c>
      <c r="S507" s="17" t="s">
        <v>1414</v>
      </c>
    </row>
    <row r="508" spans="1:19" ht="12.75">
      <c r="A508" s="41">
        <v>123</v>
      </c>
      <c r="B508" s="41">
        <v>2021</v>
      </c>
      <c r="C508" s="1" t="s">
        <v>102</v>
      </c>
      <c r="D508" s="42">
        <v>44362</v>
      </c>
      <c r="E508" s="1" t="s">
        <v>20</v>
      </c>
      <c r="F508" s="1" t="s">
        <v>47</v>
      </c>
      <c r="G508" s="41">
        <v>1</v>
      </c>
      <c r="H508" s="41">
        <v>1</v>
      </c>
      <c r="I508" s="41">
        <v>1</v>
      </c>
      <c r="J508" s="3" t="s">
        <v>30</v>
      </c>
      <c r="K508" s="3">
        <v>32725</v>
      </c>
      <c r="L508" s="3" t="s">
        <v>31</v>
      </c>
      <c r="M508" s="1" t="s">
        <v>1415</v>
      </c>
      <c r="N508" s="25" t="s">
        <v>33</v>
      </c>
      <c r="O508" s="1" t="s">
        <v>20</v>
      </c>
      <c r="P508" s="1">
        <v>0</v>
      </c>
      <c r="Q508" s="28" t="s">
        <v>1416</v>
      </c>
      <c r="R508" s="44" t="s">
        <v>1417</v>
      </c>
      <c r="S508" s="17" t="s">
        <v>1418</v>
      </c>
    </row>
    <row r="509" spans="1:19" ht="12.75">
      <c r="A509" s="41">
        <v>124</v>
      </c>
      <c r="B509" s="41">
        <v>2021</v>
      </c>
      <c r="C509" s="1" t="s">
        <v>102</v>
      </c>
      <c r="D509" s="42">
        <v>44362</v>
      </c>
      <c r="E509" s="1" t="s">
        <v>33</v>
      </c>
      <c r="F509" s="6" t="s">
        <v>1039</v>
      </c>
      <c r="G509" s="41">
        <v>2</v>
      </c>
      <c r="H509" s="41">
        <v>1</v>
      </c>
      <c r="I509" s="41">
        <v>1</v>
      </c>
      <c r="J509" s="3" t="s">
        <v>30</v>
      </c>
      <c r="K509" s="3">
        <v>32827</v>
      </c>
      <c r="L509" s="3" t="s">
        <v>31</v>
      </c>
      <c r="M509" s="1" t="s">
        <v>1355</v>
      </c>
      <c r="N509" s="4" t="s">
        <v>33</v>
      </c>
      <c r="O509" s="1" t="s">
        <v>20</v>
      </c>
      <c r="P509" s="1">
        <v>0</v>
      </c>
      <c r="Q509" s="28" t="s">
        <v>1419</v>
      </c>
      <c r="R509" s="44" t="s">
        <v>1420</v>
      </c>
      <c r="S509" s="26" t="s">
        <v>1421</v>
      </c>
    </row>
    <row r="510" spans="1:19" ht="12.75">
      <c r="A510" s="41">
        <v>125</v>
      </c>
      <c r="B510" s="41">
        <v>2021</v>
      </c>
      <c r="C510" s="1" t="s">
        <v>102</v>
      </c>
      <c r="D510" s="42">
        <v>44364</v>
      </c>
      <c r="E510" s="1" t="s">
        <v>20</v>
      </c>
      <c r="F510" s="1" t="s">
        <v>47</v>
      </c>
      <c r="G510" s="41">
        <v>1</v>
      </c>
      <c r="H510" s="41">
        <v>1</v>
      </c>
      <c r="I510" s="41">
        <v>1</v>
      </c>
      <c r="J510" s="3" t="s">
        <v>30</v>
      </c>
      <c r="K510" s="3">
        <v>32772</v>
      </c>
      <c r="L510" s="3" t="s">
        <v>31</v>
      </c>
      <c r="M510" s="1" t="s">
        <v>1422</v>
      </c>
      <c r="N510" s="25" t="s">
        <v>20</v>
      </c>
      <c r="O510" s="1" t="s">
        <v>20</v>
      </c>
      <c r="P510" s="1">
        <v>0</v>
      </c>
      <c r="Q510" s="28" t="s">
        <v>1423</v>
      </c>
      <c r="R510" s="8" t="s">
        <v>23</v>
      </c>
      <c r="S510" s="17" t="s">
        <v>1424</v>
      </c>
    </row>
    <row r="511" spans="1:19" ht="12.75">
      <c r="A511" s="41">
        <v>126</v>
      </c>
      <c r="B511" s="41">
        <v>2021</v>
      </c>
      <c r="C511" s="1" t="s">
        <v>102</v>
      </c>
      <c r="D511" s="42">
        <v>44364</v>
      </c>
      <c r="E511" s="1" t="s">
        <v>20</v>
      </c>
      <c r="F511" s="1" t="s">
        <v>73</v>
      </c>
      <c r="G511" s="41">
        <v>1</v>
      </c>
      <c r="H511" s="41">
        <v>2</v>
      </c>
      <c r="I511" s="41">
        <v>1</v>
      </c>
      <c r="J511" s="3" t="s">
        <v>71</v>
      </c>
      <c r="K511" s="3">
        <v>32837</v>
      </c>
      <c r="L511" s="3" t="s">
        <v>61</v>
      </c>
      <c r="M511" s="1" t="s">
        <v>1425</v>
      </c>
      <c r="N511" s="4" t="s">
        <v>20</v>
      </c>
      <c r="O511" s="1" t="s">
        <v>33</v>
      </c>
      <c r="P511" s="1">
        <v>1</v>
      </c>
      <c r="Q511" s="28" t="s">
        <v>1426</v>
      </c>
      <c r="R511" s="44" t="s">
        <v>1427</v>
      </c>
      <c r="S511" s="17" t="s">
        <v>1428</v>
      </c>
    </row>
    <row r="512" spans="1:19" ht="12.75">
      <c r="A512" s="41">
        <v>126</v>
      </c>
      <c r="B512" s="41">
        <v>2021</v>
      </c>
      <c r="C512" s="1" t="s">
        <v>102</v>
      </c>
      <c r="D512" s="42">
        <v>44364</v>
      </c>
      <c r="E512" s="1" t="s">
        <v>20</v>
      </c>
      <c r="F512" s="1" t="s">
        <v>73</v>
      </c>
      <c r="G512" s="41">
        <v>1</v>
      </c>
      <c r="H512" s="41">
        <v>2</v>
      </c>
      <c r="I512" s="41">
        <v>2</v>
      </c>
      <c r="J512" s="3" t="s">
        <v>23</v>
      </c>
      <c r="K512" s="3" t="s">
        <v>23</v>
      </c>
      <c r="L512" s="3" t="s">
        <v>23</v>
      </c>
      <c r="M512" s="1" t="s">
        <v>1429</v>
      </c>
      <c r="N512" s="1" t="s">
        <v>23</v>
      </c>
      <c r="O512" s="1" t="s">
        <v>23</v>
      </c>
      <c r="P512" s="1" t="s">
        <v>23</v>
      </c>
      <c r="Q512" s="7" t="s">
        <v>23</v>
      </c>
      <c r="R512" s="8" t="s">
        <v>23</v>
      </c>
      <c r="S512" s="20" t="s">
        <v>23</v>
      </c>
    </row>
    <row r="513" spans="1:19" ht="12.75">
      <c r="A513" s="41">
        <v>127</v>
      </c>
      <c r="B513" s="41">
        <v>2021</v>
      </c>
      <c r="C513" s="1" t="s">
        <v>102</v>
      </c>
      <c r="D513" s="42">
        <v>44364</v>
      </c>
      <c r="E513" s="1" t="s">
        <v>20</v>
      </c>
      <c r="F513" s="1" t="s">
        <v>55</v>
      </c>
      <c r="G513" s="41">
        <v>1</v>
      </c>
      <c r="H513" s="41">
        <v>1</v>
      </c>
      <c r="I513" s="41">
        <v>1</v>
      </c>
      <c r="J513" s="3" t="s">
        <v>416</v>
      </c>
      <c r="K513" s="3">
        <v>32480</v>
      </c>
      <c r="L513" s="3" t="s">
        <v>31</v>
      </c>
      <c r="M513" s="1" t="s">
        <v>1407</v>
      </c>
      <c r="N513" s="4" t="s">
        <v>20</v>
      </c>
      <c r="O513" s="1" t="s">
        <v>20</v>
      </c>
      <c r="P513" s="1">
        <v>0</v>
      </c>
      <c r="Q513" s="28" t="s">
        <v>1430</v>
      </c>
      <c r="R513" s="44" t="s">
        <v>1431</v>
      </c>
      <c r="S513" s="17" t="s">
        <v>1432</v>
      </c>
    </row>
    <row r="514" spans="1:19" ht="12.75">
      <c r="A514" s="41">
        <v>128</v>
      </c>
      <c r="B514" s="41">
        <v>2021</v>
      </c>
      <c r="C514" s="1" t="s">
        <v>102</v>
      </c>
      <c r="D514" s="42">
        <v>44369</v>
      </c>
      <c r="E514" s="1" t="s">
        <v>20</v>
      </c>
      <c r="F514" s="1" t="s">
        <v>55</v>
      </c>
      <c r="G514" s="41">
        <v>1</v>
      </c>
      <c r="H514" s="41">
        <v>1</v>
      </c>
      <c r="I514" s="41">
        <v>1</v>
      </c>
      <c r="J514" s="3" t="s">
        <v>416</v>
      </c>
      <c r="K514" s="3">
        <v>32480</v>
      </c>
      <c r="L514" s="3" t="s">
        <v>31</v>
      </c>
      <c r="M514" s="1" t="s">
        <v>1407</v>
      </c>
      <c r="N514" s="4" t="s">
        <v>33</v>
      </c>
      <c r="O514" s="1" t="s">
        <v>20</v>
      </c>
      <c r="P514" s="1">
        <v>0</v>
      </c>
      <c r="Q514" s="28" t="s">
        <v>1433</v>
      </c>
      <c r="R514" s="44" t="s">
        <v>1434</v>
      </c>
      <c r="S514" s="17" t="s">
        <v>1435</v>
      </c>
    </row>
    <row r="515" spans="1:19" ht="12.75">
      <c r="A515" s="41">
        <v>129</v>
      </c>
      <c r="B515" s="41">
        <v>2021</v>
      </c>
      <c r="C515" s="1" t="s">
        <v>102</v>
      </c>
      <c r="D515" s="42">
        <v>44369</v>
      </c>
      <c r="E515" s="1" t="s">
        <v>20</v>
      </c>
      <c r="F515" s="1" t="s">
        <v>47</v>
      </c>
      <c r="G515" s="41">
        <v>1</v>
      </c>
      <c r="H515" s="41">
        <v>1</v>
      </c>
      <c r="I515" s="41">
        <v>1</v>
      </c>
      <c r="J515" s="3" t="s">
        <v>30</v>
      </c>
      <c r="K515" s="3">
        <v>32772</v>
      </c>
      <c r="L515" s="3" t="s">
        <v>31</v>
      </c>
      <c r="M515" s="1" t="s">
        <v>1422</v>
      </c>
      <c r="N515" s="25" t="s">
        <v>33</v>
      </c>
      <c r="O515" s="1" t="s">
        <v>20</v>
      </c>
      <c r="P515" s="1">
        <v>0</v>
      </c>
      <c r="Q515" s="28" t="s">
        <v>1436</v>
      </c>
      <c r="R515" s="44" t="s">
        <v>1437</v>
      </c>
      <c r="S515" s="17" t="s">
        <v>1438</v>
      </c>
    </row>
    <row r="516" spans="1:19" ht="12.75">
      <c r="A516" s="41">
        <v>130</v>
      </c>
      <c r="B516" s="41">
        <v>2021</v>
      </c>
      <c r="C516" s="1" t="s">
        <v>102</v>
      </c>
      <c r="D516" s="42">
        <v>44369</v>
      </c>
      <c r="E516" s="1" t="s">
        <v>20</v>
      </c>
      <c r="F516" s="1" t="s">
        <v>21</v>
      </c>
      <c r="G516" s="41">
        <v>1</v>
      </c>
      <c r="H516" s="41">
        <v>1</v>
      </c>
      <c r="I516" s="41">
        <v>1</v>
      </c>
      <c r="J516" s="3" t="s">
        <v>23</v>
      </c>
      <c r="K516" s="3" t="s">
        <v>23</v>
      </c>
      <c r="L516" s="3" t="s">
        <v>23</v>
      </c>
      <c r="M516" s="1" t="s">
        <v>1439</v>
      </c>
      <c r="N516" s="1" t="s">
        <v>23</v>
      </c>
      <c r="O516" s="1" t="s">
        <v>33</v>
      </c>
      <c r="P516" s="1">
        <v>1</v>
      </c>
      <c r="Q516" s="28" t="s">
        <v>1440</v>
      </c>
      <c r="R516" s="44" t="s">
        <v>1441</v>
      </c>
      <c r="S516" s="17" t="s">
        <v>1442</v>
      </c>
    </row>
    <row r="517" spans="1:19" ht="12.75">
      <c r="A517" s="41">
        <v>131</v>
      </c>
      <c r="B517" s="41">
        <v>2021</v>
      </c>
      <c r="C517" s="1" t="s">
        <v>102</v>
      </c>
      <c r="D517" s="42">
        <v>44369</v>
      </c>
      <c r="E517" s="1" t="s">
        <v>20</v>
      </c>
      <c r="F517" s="1" t="s">
        <v>51</v>
      </c>
      <c r="G517" s="41">
        <v>1</v>
      </c>
      <c r="H517" s="41">
        <v>1</v>
      </c>
      <c r="I517" s="41">
        <v>1</v>
      </c>
      <c r="J517" s="3" t="s">
        <v>23</v>
      </c>
      <c r="K517" s="3" t="s">
        <v>23</v>
      </c>
      <c r="L517" s="3" t="s">
        <v>23</v>
      </c>
      <c r="M517" s="1" t="s">
        <v>1443</v>
      </c>
      <c r="N517" s="1" t="s">
        <v>23</v>
      </c>
      <c r="O517" s="1" t="s">
        <v>33</v>
      </c>
      <c r="P517" s="1">
        <v>4</v>
      </c>
      <c r="Q517" s="28" t="s">
        <v>1444</v>
      </c>
      <c r="R517" s="44" t="s">
        <v>1445</v>
      </c>
      <c r="S517" s="17" t="s">
        <v>1446</v>
      </c>
    </row>
    <row r="518" spans="1:19" ht="12.75">
      <c r="A518" s="41">
        <v>132</v>
      </c>
      <c r="B518" s="41">
        <v>2021</v>
      </c>
      <c r="C518" s="1" t="s">
        <v>102</v>
      </c>
      <c r="D518" s="42">
        <v>44371</v>
      </c>
      <c r="E518" s="1" t="s">
        <v>20</v>
      </c>
      <c r="F518" s="1" t="s">
        <v>39</v>
      </c>
      <c r="G518" s="41">
        <v>1</v>
      </c>
      <c r="H518" s="41">
        <v>2</v>
      </c>
      <c r="I518" s="41">
        <v>1</v>
      </c>
      <c r="J518" s="3" t="s">
        <v>23</v>
      </c>
      <c r="K518" s="3" t="s">
        <v>23</v>
      </c>
      <c r="L518" s="3" t="s">
        <v>23</v>
      </c>
      <c r="M518" s="1" t="s">
        <v>1447</v>
      </c>
      <c r="N518" s="1" t="s">
        <v>23</v>
      </c>
      <c r="O518" s="1" t="s">
        <v>33</v>
      </c>
      <c r="P518" s="1">
        <v>1</v>
      </c>
      <c r="Q518" s="28" t="s">
        <v>1448</v>
      </c>
      <c r="R518" s="45" t="s">
        <v>23</v>
      </c>
      <c r="S518" s="17" t="s">
        <v>1449</v>
      </c>
    </row>
    <row r="519" spans="1:19" ht="12.75">
      <c r="A519" s="41">
        <v>132</v>
      </c>
      <c r="B519" s="41">
        <v>2021</v>
      </c>
      <c r="C519" s="1" t="s">
        <v>102</v>
      </c>
      <c r="D519" s="42">
        <v>44371</v>
      </c>
      <c r="E519" s="1" t="s">
        <v>20</v>
      </c>
      <c r="F519" s="1" t="s">
        <v>39</v>
      </c>
      <c r="G519" s="41">
        <v>1</v>
      </c>
      <c r="H519" s="41">
        <v>2</v>
      </c>
      <c r="I519" s="41">
        <v>2</v>
      </c>
      <c r="J519" s="3" t="s">
        <v>71</v>
      </c>
      <c r="K519" s="3">
        <v>31841</v>
      </c>
      <c r="L519" s="14" t="s">
        <v>61</v>
      </c>
      <c r="M519" s="1" t="s">
        <v>1450</v>
      </c>
      <c r="N519" s="4" t="s">
        <v>20</v>
      </c>
      <c r="O519" s="1" t="s">
        <v>23</v>
      </c>
      <c r="P519" s="1" t="s">
        <v>23</v>
      </c>
      <c r="Q519" s="7" t="s">
        <v>23</v>
      </c>
      <c r="R519" s="45" t="s">
        <v>23</v>
      </c>
      <c r="S519" s="20" t="s">
        <v>23</v>
      </c>
    </row>
    <row r="520" spans="1:19" ht="12.75">
      <c r="A520" s="41">
        <v>133</v>
      </c>
      <c r="B520" s="41">
        <v>2021</v>
      </c>
      <c r="C520" s="1" t="s">
        <v>102</v>
      </c>
      <c r="D520" s="42">
        <v>44371</v>
      </c>
      <c r="E520" s="1" t="s">
        <v>20</v>
      </c>
      <c r="F520" s="1" t="s">
        <v>49</v>
      </c>
      <c r="G520" s="41">
        <v>1</v>
      </c>
      <c r="H520" s="41">
        <v>1</v>
      </c>
      <c r="I520" s="41">
        <v>1</v>
      </c>
      <c r="J520" s="3" t="s">
        <v>23</v>
      </c>
      <c r="K520" s="3" t="s">
        <v>23</v>
      </c>
      <c r="L520" s="3" t="s">
        <v>23</v>
      </c>
      <c r="M520" s="1" t="s">
        <v>1451</v>
      </c>
      <c r="N520" s="1" t="s">
        <v>23</v>
      </c>
      <c r="O520" s="1" t="s">
        <v>33</v>
      </c>
      <c r="P520" s="1">
        <v>4</v>
      </c>
      <c r="Q520" s="32" t="s">
        <v>1452</v>
      </c>
      <c r="R520" s="44" t="s">
        <v>1453</v>
      </c>
      <c r="S520" s="17" t="s">
        <v>1454</v>
      </c>
    </row>
    <row r="521" spans="1:19" ht="12.75">
      <c r="A521" s="41">
        <v>134</v>
      </c>
      <c r="B521" s="41">
        <v>2021</v>
      </c>
      <c r="C521" s="1" t="s">
        <v>102</v>
      </c>
      <c r="D521" s="42">
        <v>44371</v>
      </c>
      <c r="E521" s="1" t="s">
        <v>20</v>
      </c>
      <c r="F521" s="1" t="s">
        <v>37</v>
      </c>
      <c r="G521" s="41">
        <v>1</v>
      </c>
      <c r="H521" s="41">
        <v>4</v>
      </c>
      <c r="I521" s="41">
        <v>1</v>
      </c>
      <c r="J521" s="3" t="s">
        <v>64</v>
      </c>
      <c r="K521" s="3">
        <v>33054</v>
      </c>
      <c r="L521" s="3" t="s">
        <v>31</v>
      </c>
      <c r="M521" s="1" t="s">
        <v>1455</v>
      </c>
      <c r="N521" s="4" t="s">
        <v>33</v>
      </c>
      <c r="O521" s="1" t="s">
        <v>20</v>
      </c>
      <c r="P521" s="1">
        <v>0</v>
      </c>
      <c r="Q521" s="28" t="s">
        <v>1456</v>
      </c>
      <c r="R521" s="44" t="s">
        <v>1457</v>
      </c>
      <c r="S521" s="17" t="s">
        <v>1458</v>
      </c>
    </row>
    <row r="522" spans="1:19" ht="12.75">
      <c r="A522" s="41">
        <v>134</v>
      </c>
      <c r="B522" s="41">
        <v>2021</v>
      </c>
      <c r="C522" s="1" t="s">
        <v>102</v>
      </c>
      <c r="D522" s="42">
        <v>44371</v>
      </c>
      <c r="E522" s="1" t="s">
        <v>20</v>
      </c>
      <c r="F522" s="1" t="s">
        <v>37</v>
      </c>
      <c r="G522" s="41">
        <v>1</v>
      </c>
      <c r="H522" s="41">
        <v>4</v>
      </c>
      <c r="I522" s="41">
        <v>2</v>
      </c>
      <c r="J522" s="3" t="s">
        <v>64</v>
      </c>
      <c r="K522" s="3">
        <v>33055</v>
      </c>
      <c r="L522" s="3" t="s">
        <v>31</v>
      </c>
      <c r="M522" s="1" t="s">
        <v>1459</v>
      </c>
      <c r="N522" s="4" t="s">
        <v>33</v>
      </c>
      <c r="O522" s="1" t="s">
        <v>23</v>
      </c>
      <c r="P522" s="1" t="s">
        <v>23</v>
      </c>
      <c r="Q522" s="7" t="s">
        <v>23</v>
      </c>
      <c r="R522" s="8" t="s">
        <v>23</v>
      </c>
      <c r="S522" s="20" t="s">
        <v>23</v>
      </c>
    </row>
    <row r="523" spans="1:19" ht="12.75">
      <c r="A523" s="41">
        <v>134</v>
      </c>
      <c r="B523" s="41">
        <v>2021</v>
      </c>
      <c r="C523" s="1" t="s">
        <v>102</v>
      </c>
      <c r="D523" s="42">
        <v>44371</v>
      </c>
      <c r="E523" s="1" t="s">
        <v>20</v>
      </c>
      <c r="F523" s="1" t="s">
        <v>37</v>
      </c>
      <c r="G523" s="41">
        <v>1</v>
      </c>
      <c r="H523" s="41">
        <v>4</v>
      </c>
      <c r="I523" s="41">
        <v>3</v>
      </c>
      <c r="J523" s="3" t="s">
        <v>64</v>
      </c>
      <c r="K523" s="3">
        <v>33056</v>
      </c>
      <c r="L523" s="3" t="s">
        <v>31</v>
      </c>
      <c r="M523" s="1" t="s">
        <v>1460</v>
      </c>
      <c r="N523" s="4" t="s">
        <v>33</v>
      </c>
      <c r="O523" s="1" t="s">
        <v>23</v>
      </c>
      <c r="P523" s="1" t="s">
        <v>23</v>
      </c>
      <c r="Q523" s="7" t="s">
        <v>23</v>
      </c>
      <c r="R523" s="8" t="s">
        <v>23</v>
      </c>
      <c r="S523" s="20" t="s">
        <v>23</v>
      </c>
    </row>
    <row r="524" spans="1:19" ht="12.75">
      <c r="A524" s="41">
        <v>134</v>
      </c>
      <c r="B524" s="41">
        <v>2021</v>
      </c>
      <c r="C524" s="1" t="s">
        <v>102</v>
      </c>
      <c r="D524" s="42">
        <v>44371</v>
      </c>
      <c r="E524" s="1" t="s">
        <v>20</v>
      </c>
      <c r="F524" s="1" t="s">
        <v>37</v>
      </c>
      <c r="G524" s="41">
        <v>1</v>
      </c>
      <c r="H524" s="41">
        <v>4</v>
      </c>
      <c r="I524" s="41">
        <v>4</v>
      </c>
      <c r="J524" s="3" t="s">
        <v>64</v>
      </c>
      <c r="K524" s="3">
        <v>33057</v>
      </c>
      <c r="L524" s="3" t="s">
        <v>31</v>
      </c>
      <c r="M524" s="1" t="s">
        <v>1461</v>
      </c>
      <c r="N524" s="4" t="s">
        <v>33</v>
      </c>
      <c r="O524" s="1" t="s">
        <v>23</v>
      </c>
      <c r="P524" s="1" t="s">
        <v>23</v>
      </c>
      <c r="Q524" s="7" t="s">
        <v>23</v>
      </c>
      <c r="R524" s="8" t="s">
        <v>23</v>
      </c>
      <c r="S524" s="20" t="s">
        <v>23</v>
      </c>
    </row>
    <row r="525" spans="1:19" ht="12.75">
      <c r="A525" s="41">
        <v>135</v>
      </c>
      <c r="B525" s="41">
        <v>2021</v>
      </c>
      <c r="C525" s="1" t="s">
        <v>102</v>
      </c>
      <c r="D525" s="42">
        <v>44376</v>
      </c>
      <c r="E525" s="1" t="s">
        <v>20</v>
      </c>
      <c r="F525" s="1" t="s">
        <v>37</v>
      </c>
      <c r="G525" s="41">
        <v>1</v>
      </c>
      <c r="H525" s="41">
        <v>4</v>
      </c>
      <c r="I525" s="41">
        <v>1</v>
      </c>
      <c r="J525" s="3" t="s">
        <v>64</v>
      </c>
      <c r="K525" s="3">
        <v>33059</v>
      </c>
      <c r="L525" s="3" t="s">
        <v>31</v>
      </c>
      <c r="M525" s="1" t="s">
        <v>1462</v>
      </c>
      <c r="N525" s="4" t="s">
        <v>33</v>
      </c>
      <c r="O525" s="1" t="s">
        <v>20</v>
      </c>
      <c r="P525" s="1">
        <v>0</v>
      </c>
      <c r="Q525" s="28" t="s">
        <v>1463</v>
      </c>
      <c r="R525" s="44" t="s">
        <v>1464</v>
      </c>
      <c r="S525" s="17" t="s">
        <v>1465</v>
      </c>
    </row>
    <row r="526" spans="1:19" ht="12.75">
      <c r="A526" s="41">
        <v>135</v>
      </c>
      <c r="B526" s="41">
        <v>2021</v>
      </c>
      <c r="C526" s="1" t="s">
        <v>102</v>
      </c>
      <c r="D526" s="42">
        <v>44376</v>
      </c>
      <c r="E526" s="1" t="s">
        <v>20</v>
      </c>
      <c r="F526" s="1" t="s">
        <v>37</v>
      </c>
      <c r="G526" s="41">
        <v>1</v>
      </c>
      <c r="H526" s="41">
        <v>4</v>
      </c>
      <c r="I526" s="41">
        <v>2</v>
      </c>
      <c r="J526" s="3" t="s">
        <v>64</v>
      </c>
      <c r="K526" s="3">
        <v>33060</v>
      </c>
      <c r="L526" s="3" t="s">
        <v>31</v>
      </c>
      <c r="M526" s="1" t="s">
        <v>1466</v>
      </c>
      <c r="N526" s="4" t="s">
        <v>33</v>
      </c>
      <c r="O526" s="1" t="s">
        <v>23</v>
      </c>
      <c r="P526" s="1" t="s">
        <v>23</v>
      </c>
      <c r="Q526" s="7" t="s">
        <v>23</v>
      </c>
      <c r="R526" s="8" t="s">
        <v>23</v>
      </c>
      <c r="S526" s="20" t="s">
        <v>23</v>
      </c>
    </row>
    <row r="527" spans="1:19" ht="12.75">
      <c r="A527" s="41">
        <v>135</v>
      </c>
      <c r="B527" s="41">
        <v>2021</v>
      </c>
      <c r="C527" s="1" t="s">
        <v>102</v>
      </c>
      <c r="D527" s="42">
        <v>44376</v>
      </c>
      <c r="E527" s="1" t="s">
        <v>20</v>
      </c>
      <c r="F527" s="1" t="s">
        <v>37</v>
      </c>
      <c r="G527" s="41">
        <v>1</v>
      </c>
      <c r="H527" s="41">
        <v>4</v>
      </c>
      <c r="I527" s="41">
        <v>3</v>
      </c>
      <c r="J527" s="3" t="s">
        <v>64</v>
      </c>
      <c r="K527" s="3">
        <v>33061</v>
      </c>
      <c r="L527" s="3" t="s">
        <v>31</v>
      </c>
      <c r="M527" s="1" t="s">
        <v>1467</v>
      </c>
      <c r="N527" s="4" t="s">
        <v>33</v>
      </c>
      <c r="O527" s="1" t="s">
        <v>23</v>
      </c>
      <c r="P527" s="1" t="s">
        <v>23</v>
      </c>
      <c r="Q527" s="7" t="s">
        <v>23</v>
      </c>
      <c r="R527" s="8" t="s">
        <v>23</v>
      </c>
      <c r="S527" s="20" t="s">
        <v>23</v>
      </c>
    </row>
    <row r="528" spans="1:19" ht="12.75">
      <c r="A528" s="41">
        <v>135</v>
      </c>
      <c r="B528" s="41">
        <v>2021</v>
      </c>
      <c r="C528" s="1" t="s">
        <v>102</v>
      </c>
      <c r="D528" s="42">
        <v>44376</v>
      </c>
      <c r="E528" s="1" t="s">
        <v>20</v>
      </c>
      <c r="F528" s="1" t="s">
        <v>37</v>
      </c>
      <c r="G528" s="41">
        <v>1</v>
      </c>
      <c r="H528" s="41">
        <v>4</v>
      </c>
      <c r="I528" s="41">
        <v>4</v>
      </c>
      <c r="J528" s="3" t="s">
        <v>64</v>
      </c>
      <c r="K528" s="3">
        <v>33062</v>
      </c>
      <c r="L528" s="3" t="s">
        <v>31</v>
      </c>
      <c r="M528" s="1" t="s">
        <v>1468</v>
      </c>
      <c r="N528" s="4" t="s">
        <v>33</v>
      </c>
      <c r="O528" s="1" t="s">
        <v>23</v>
      </c>
      <c r="P528" s="1" t="s">
        <v>23</v>
      </c>
      <c r="Q528" s="7" t="s">
        <v>23</v>
      </c>
      <c r="R528" s="8" t="s">
        <v>23</v>
      </c>
      <c r="S528" s="20" t="s">
        <v>23</v>
      </c>
    </row>
    <row r="529" spans="1:19" ht="12.75">
      <c r="A529" s="41">
        <v>136</v>
      </c>
      <c r="B529" s="41">
        <v>2021</v>
      </c>
      <c r="C529" s="1" t="s">
        <v>102</v>
      </c>
      <c r="D529" s="42">
        <v>44376</v>
      </c>
      <c r="E529" s="1" t="s">
        <v>20</v>
      </c>
      <c r="F529" s="1" t="s">
        <v>53</v>
      </c>
      <c r="G529" s="41">
        <v>1</v>
      </c>
      <c r="H529" s="41">
        <v>2</v>
      </c>
      <c r="I529" s="41">
        <v>1</v>
      </c>
      <c r="J529" s="3" t="s">
        <v>30</v>
      </c>
      <c r="K529" s="3">
        <v>32725</v>
      </c>
      <c r="L529" s="3" t="s">
        <v>31</v>
      </c>
      <c r="M529" s="1" t="s">
        <v>1415</v>
      </c>
      <c r="N529" s="4" t="s">
        <v>20</v>
      </c>
      <c r="O529" s="1" t="s">
        <v>20</v>
      </c>
      <c r="P529" s="1">
        <v>0</v>
      </c>
      <c r="Q529" s="28" t="s">
        <v>1469</v>
      </c>
      <c r="R529" s="44" t="s">
        <v>1470</v>
      </c>
      <c r="S529" s="17" t="s">
        <v>1471</v>
      </c>
    </row>
    <row r="530" spans="1:19" ht="12.75">
      <c r="A530" s="41">
        <v>136</v>
      </c>
      <c r="B530" s="41">
        <v>2021</v>
      </c>
      <c r="C530" s="1" t="s">
        <v>102</v>
      </c>
      <c r="D530" s="42">
        <v>44376</v>
      </c>
      <c r="E530" s="1" t="s">
        <v>20</v>
      </c>
      <c r="F530" s="1" t="s">
        <v>53</v>
      </c>
      <c r="G530" s="41">
        <v>1</v>
      </c>
      <c r="H530" s="41">
        <v>2</v>
      </c>
      <c r="I530" s="41">
        <v>2</v>
      </c>
      <c r="J530" s="3" t="s">
        <v>30</v>
      </c>
      <c r="K530" s="3">
        <v>32772</v>
      </c>
      <c r="L530" s="3" t="s">
        <v>31</v>
      </c>
      <c r="M530" s="1" t="s">
        <v>1472</v>
      </c>
      <c r="N530" s="4" t="s">
        <v>20</v>
      </c>
      <c r="O530" s="1" t="s">
        <v>23</v>
      </c>
      <c r="P530" s="1" t="s">
        <v>23</v>
      </c>
      <c r="Q530" s="7" t="s">
        <v>23</v>
      </c>
      <c r="R530" s="8" t="s">
        <v>23</v>
      </c>
      <c r="S530" s="20" t="s">
        <v>23</v>
      </c>
    </row>
    <row r="531" spans="1:19" ht="12.75">
      <c r="A531" s="41">
        <v>137</v>
      </c>
      <c r="B531" s="41">
        <v>2021</v>
      </c>
      <c r="C531" s="1" t="s">
        <v>102</v>
      </c>
      <c r="D531" s="42">
        <v>44376</v>
      </c>
      <c r="E531" s="1" t="s">
        <v>20</v>
      </c>
      <c r="F531" s="1" t="s">
        <v>47</v>
      </c>
      <c r="G531" s="41">
        <v>1</v>
      </c>
      <c r="H531" s="41">
        <v>1</v>
      </c>
      <c r="I531" s="41">
        <v>1</v>
      </c>
      <c r="J531" s="3" t="s">
        <v>30</v>
      </c>
      <c r="K531" s="3">
        <v>33128</v>
      </c>
      <c r="L531" s="3" t="s">
        <v>31</v>
      </c>
      <c r="M531" s="1" t="s">
        <v>1473</v>
      </c>
      <c r="N531" s="25" t="s">
        <v>33</v>
      </c>
      <c r="O531" s="1" t="s">
        <v>20</v>
      </c>
      <c r="P531" s="1">
        <v>0</v>
      </c>
      <c r="Q531" s="28" t="s">
        <v>1474</v>
      </c>
      <c r="R531" s="44" t="s">
        <v>1475</v>
      </c>
      <c r="S531" s="17" t="s">
        <v>1476</v>
      </c>
    </row>
    <row r="532" spans="1:19" ht="12.75">
      <c r="A532" s="41">
        <v>138</v>
      </c>
      <c r="B532" s="41">
        <v>2021</v>
      </c>
      <c r="C532" s="1" t="s">
        <v>102</v>
      </c>
      <c r="D532" s="42">
        <v>44378</v>
      </c>
      <c r="E532" s="1" t="s">
        <v>20</v>
      </c>
      <c r="F532" s="1" t="s">
        <v>67</v>
      </c>
      <c r="G532" s="41">
        <v>1</v>
      </c>
      <c r="H532" s="41">
        <v>1</v>
      </c>
      <c r="I532" s="41">
        <v>1</v>
      </c>
      <c r="J532" s="3" t="s">
        <v>23</v>
      </c>
      <c r="K532" s="3" t="s">
        <v>23</v>
      </c>
      <c r="L532" s="3" t="s">
        <v>23</v>
      </c>
      <c r="M532" s="1" t="s">
        <v>1477</v>
      </c>
      <c r="N532" s="1" t="s">
        <v>23</v>
      </c>
      <c r="O532" s="1" t="s">
        <v>33</v>
      </c>
      <c r="P532" s="1">
        <v>1</v>
      </c>
      <c r="Q532" s="28" t="s">
        <v>1478</v>
      </c>
      <c r="R532" s="44" t="s">
        <v>1479</v>
      </c>
      <c r="S532" s="17" t="s">
        <v>1480</v>
      </c>
    </row>
    <row r="533" spans="1:19" ht="12.75">
      <c r="A533" s="41">
        <v>139</v>
      </c>
      <c r="B533" s="41">
        <v>2021</v>
      </c>
      <c r="C533" s="1" t="s">
        <v>102</v>
      </c>
      <c r="D533" s="42">
        <v>44378</v>
      </c>
      <c r="E533" s="1" t="s">
        <v>33</v>
      </c>
      <c r="F533" s="6" t="s">
        <v>1189</v>
      </c>
      <c r="G533" s="41">
        <v>2</v>
      </c>
      <c r="H533" s="41">
        <v>1</v>
      </c>
      <c r="I533" s="41">
        <v>1</v>
      </c>
      <c r="J533" s="3" t="s">
        <v>30</v>
      </c>
      <c r="K533" s="3">
        <v>33156</v>
      </c>
      <c r="L533" s="3" t="s">
        <v>31</v>
      </c>
      <c r="M533" s="1" t="s">
        <v>1481</v>
      </c>
      <c r="N533" s="4" t="s">
        <v>20</v>
      </c>
      <c r="O533" s="1" t="s">
        <v>20</v>
      </c>
      <c r="P533" s="1">
        <v>0</v>
      </c>
      <c r="Q533" s="28" t="s">
        <v>1482</v>
      </c>
      <c r="R533" s="44" t="s">
        <v>1483</v>
      </c>
      <c r="S533" s="26" t="s">
        <v>1484</v>
      </c>
    </row>
    <row r="534" spans="1:19" ht="12.75">
      <c r="A534" s="41">
        <v>140</v>
      </c>
      <c r="B534" s="41">
        <v>2021</v>
      </c>
      <c r="C534" s="1" t="s">
        <v>102</v>
      </c>
      <c r="D534" s="42">
        <v>44378</v>
      </c>
      <c r="E534" s="1" t="s">
        <v>33</v>
      </c>
      <c r="F534" s="6" t="s">
        <v>497</v>
      </c>
      <c r="G534" s="41">
        <v>2</v>
      </c>
      <c r="H534" s="41">
        <v>1</v>
      </c>
      <c r="I534" s="41">
        <v>1</v>
      </c>
      <c r="J534" s="3" t="s">
        <v>30</v>
      </c>
      <c r="K534" s="3">
        <v>33069</v>
      </c>
      <c r="L534" s="3" t="s">
        <v>31</v>
      </c>
      <c r="M534" s="1" t="s">
        <v>1485</v>
      </c>
      <c r="N534" s="4" t="s">
        <v>20</v>
      </c>
      <c r="O534" s="1" t="s">
        <v>20</v>
      </c>
      <c r="P534" s="1">
        <v>0</v>
      </c>
      <c r="Q534" s="28" t="s">
        <v>1486</v>
      </c>
      <c r="R534" s="44" t="s">
        <v>1487</v>
      </c>
      <c r="S534" s="26" t="s">
        <v>1488</v>
      </c>
    </row>
    <row r="535" spans="1:19" ht="12.75">
      <c r="A535" s="41">
        <v>141</v>
      </c>
      <c r="B535" s="41">
        <v>2021</v>
      </c>
      <c r="C535" s="1" t="s">
        <v>102</v>
      </c>
      <c r="D535" s="42">
        <v>44378</v>
      </c>
      <c r="E535" s="1" t="s">
        <v>20</v>
      </c>
      <c r="F535" s="1" t="s">
        <v>43</v>
      </c>
      <c r="G535" s="41">
        <v>1</v>
      </c>
      <c r="H535" s="41">
        <v>1</v>
      </c>
      <c r="I535" s="41">
        <v>1</v>
      </c>
      <c r="J535" s="3" t="s">
        <v>23</v>
      </c>
      <c r="K535" s="3" t="s">
        <v>23</v>
      </c>
      <c r="L535" s="3" t="s">
        <v>23</v>
      </c>
      <c r="M535" s="1" t="s">
        <v>1489</v>
      </c>
      <c r="N535" s="1" t="s">
        <v>23</v>
      </c>
      <c r="O535" s="1" t="s">
        <v>33</v>
      </c>
      <c r="P535" s="1">
        <v>1</v>
      </c>
      <c r="Q535" s="28" t="s">
        <v>1490</v>
      </c>
      <c r="R535" s="44" t="s">
        <v>1491</v>
      </c>
      <c r="S535" s="17" t="s">
        <v>1492</v>
      </c>
    </row>
    <row r="536" spans="1:19" ht="12.75">
      <c r="A536" s="41">
        <v>142</v>
      </c>
      <c r="B536" s="41">
        <v>2021</v>
      </c>
      <c r="C536" s="1" t="s">
        <v>102</v>
      </c>
      <c r="D536" s="42">
        <v>44378</v>
      </c>
      <c r="E536" s="1" t="s">
        <v>20</v>
      </c>
      <c r="F536" s="1" t="s">
        <v>41</v>
      </c>
      <c r="G536" s="41">
        <v>1</v>
      </c>
      <c r="H536" s="41">
        <v>2</v>
      </c>
      <c r="I536" s="41">
        <v>1</v>
      </c>
      <c r="J536" s="3" t="s">
        <v>23</v>
      </c>
      <c r="K536" s="3" t="s">
        <v>23</v>
      </c>
      <c r="L536" s="3" t="s">
        <v>23</v>
      </c>
      <c r="M536" s="1" t="s">
        <v>1493</v>
      </c>
      <c r="N536" s="1" t="s">
        <v>23</v>
      </c>
      <c r="O536" s="1" t="s">
        <v>33</v>
      </c>
      <c r="P536" s="1">
        <v>1</v>
      </c>
      <c r="Q536" s="28" t="s">
        <v>1494</v>
      </c>
      <c r="R536" s="45" t="s">
        <v>23</v>
      </c>
      <c r="S536" s="17" t="s">
        <v>1495</v>
      </c>
    </row>
    <row r="537" spans="1:19" ht="12.75">
      <c r="A537" s="41">
        <v>142</v>
      </c>
      <c r="B537" s="41">
        <v>2021</v>
      </c>
      <c r="C537" s="1" t="s">
        <v>102</v>
      </c>
      <c r="D537" s="42">
        <v>44378</v>
      </c>
      <c r="E537" s="1" t="s">
        <v>20</v>
      </c>
      <c r="F537" s="1" t="s">
        <v>41</v>
      </c>
      <c r="G537" s="41">
        <v>1</v>
      </c>
      <c r="H537" s="41">
        <v>2</v>
      </c>
      <c r="I537" s="41">
        <v>2</v>
      </c>
      <c r="J537" s="3" t="s">
        <v>71</v>
      </c>
      <c r="K537" s="3">
        <v>32944</v>
      </c>
      <c r="L537" s="14" t="s">
        <v>61</v>
      </c>
      <c r="M537" s="1" t="s">
        <v>1496</v>
      </c>
      <c r="N537" s="4" t="s">
        <v>20</v>
      </c>
      <c r="O537" s="1" t="s">
        <v>23</v>
      </c>
      <c r="P537" s="1" t="s">
        <v>23</v>
      </c>
      <c r="Q537" s="7" t="s">
        <v>23</v>
      </c>
      <c r="R537" s="45" t="s">
        <v>23</v>
      </c>
      <c r="S537" s="20" t="s">
        <v>23</v>
      </c>
    </row>
    <row r="538" spans="1:19" ht="12.75">
      <c r="A538" s="41">
        <v>143</v>
      </c>
      <c r="B538" s="41">
        <v>2021</v>
      </c>
      <c r="C538" s="1" t="s">
        <v>102</v>
      </c>
      <c r="D538" s="42">
        <v>44384</v>
      </c>
      <c r="E538" s="1" t="s">
        <v>33</v>
      </c>
      <c r="F538" s="6" t="s">
        <v>1189</v>
      </c>
      <c r="G538" s="41">
        <v>2</v>
      </c>
      <c r="H538" s="18">
        <v>2</v>
      </c>
      <c r="I538" s="41">
        <v>1</v>
      </c>
      <c r="J538" s="3" t="s">
        <v>30</v>
      </c>
      <c r="K538" s="3">
        <v>33156</v>
      </c>
      <c r="L538" s="3" t="s">
        <v>31</v>
      </c>
      <c r="M538" s="1" t="s">
        <v>1481</v>
      </c>
      <c r="N538" s="4" t="s">
        <v>33</v>
      </c>
      <c r="O538" s="1" t="s">
        <v>20</v>
      </c>
      <c r="P538" s="1">
        <v>0</v>
      </c>
      <c r="Q538" s="28" t="s">
        <v>1497</v>
      </c>
      <c r="R538" s="44" t="s">
        <v>1498</v>
      </c>
      <c r="S538" s="26" t="s">
        <v>1499</v>
      </c>
    </row>
    <row r="539" spans="1:19" ht="12.75">
      <c r="A539" s="41">
        <v>143</v>
      </c>
      <c r="B539" s="41">
        <v>2021</v>
      </c>
      <c r="C539" s="1" t="s">
        <v>102</v>
      </c>
      <c r="D539" s="42">
        <v>44384</v>
      </c>
      <c r="E539" s="1" t="s">
        <v>33</v>
      </c>
      <c r="F539" s="6" t="s">
        <v>1189</v>
      </c>
      <c r="G539" s="41">
        <v>2</v>
      </c>
      <c r="H539" s="18">
        <v>2</v>
      </c>
      <c r="I539" s="18">
        <v>2</v>
      </c>
      <c r="J539" s="3" t="s">
        <v>30</v>
      </c>
      <c r="K539" s="3">
        <v>33128</v>
      </c>
      <c r="L539" s="3" t="s">
        <v>31</v>
      </c>
      <c r="M539" s="1" t="s">
        <v>1500</v>
      </c>
      <c r="N539" s="4" t="s">
        <v>20</v>
      </c>
      <c r="O539" s="1" t="s">
        <v>23</v>
      </c>
      <c r="P539" s="1" t="s">
        <v>23</v>
      </c>
      <c r="Q539" s="7" t="s">
        <v>23</v>
      </c>
      <c r="R539" s="8" t="s">
        <v>23</v>
      </c>
      <c r="S539" s="20" t="s">
        <v>23</v>
      </c>
    </row>
    <row r="540" spans="1:19" ht="12.75">
      <c r="A540" s="41">
        <v>144</v>
      </c>
      <c r="B540" s="41">
        <v>2021</v>
      </c>
      <c r="C540" s="1" t="s">
        <v>102</v>
      </c>
      <c r="D540" s="42">
        <v>44404</v>
      </c>
      <c r="E540" s="1" t="s">
        <v>33</v>
      </c>
      <c r="F540" s="6" t="s">
        <v>497</v>
      </c>
      <c r="G540" s="41">
        <v>2</v>
      </c>
      <c r="H540" s="41">
        <v>1</v>
      </c>
      <c r="I540" s="41">
        <v>1</v>
      </c>
      <c r="J540" s="3" t="s">
        <v>30</v>
      </c>
      <c r="K540" s="3">
        <v>33069</v>
      </c>
      <c r="L540" s="3" t="s">
        <v>31</v>
      </c>
      <c r="M540" s="1" t="s">
        <v>1485</v>
      </c>
      <c r="N540" s="4" t="s">
        <v>33</v>
      </c>
      <c r="O540" s="1" t="s">
        <v>20</v>
      </c>
      <c r="P540" s="1">
        <v>0</v>
      </c>
      <c r="Q540" s="28" t="s">
        <v>1501</v>
      </c>
      <c r="R540" s="44" t="s">
        <v>1502</v>
      </c>
      <c r="S540" s="26" t="s">
        <v>1503</v>
      </c>
    </row>
    <row r="541" spans="1:19" ht="12.75">
      <c r="A541" s="41">
        <v>145</v>
      </c>
      <c r="B541" s="41">
        <v>2021</v>
      </c>
      <c r="C541" s="1" t="s">
        <v>102</v>
      </c>
      <c r="D541" s="42">
        <v>44404</v>
      </c>
      <c r="E541" s="1" t="s">
        <v>20</v>
      </c>
      <c r="F541" s="1" t="s">
        <v>45</v>
      </c>
      <c r="G541" s="41">
        <v>1</v>
      </c>
      <c r="H541" s="41">
        <v>1</v>
      </c>
      <c r="I541" s="41">
        <v>1</v>
      </c>
      <c r="J541" s="3" t="s">
        <v>23</v>
      </c>
      <c r="K541" s="3" t="s">
        <v>23</v>
      </c>
      <c r="L541" s="3" t="s">
        <v>23</v>
      </c>
      <c r="M541" s="1" t="s">
        <v>1504</v>
      </c>
      <c r="N541" s="1" t="s">
        <v>23</v>
      </c>
      <c r="O541" s="1" t="s">
        <v>20</v>
      </c>
      <c r="P541" s="1">
        <v>0</v>
      </c>
      <c r="Q541" s="32" t="s">
        <v>1505</v>
      </c>
      <c r="R541" s="44" t="s">
        <v>1506</v>
      </c>
      <c r="S541" s="17" t="s">
        <v>1507</v>
      </c>
    </row>
    <row r="542" spans="1:19" ht="12.75">
      <c r="A542" s="41">
        <v>146</v>
      </c>
      <c r="B542" s="41">
        <v>2021</v>
      </c>
      <c r="C542" s="1" t="s">
        <v>102</v>
      </c>
      <c r="D542" s="42">
        <v>44406</v>
      </c>
      <c r="E542" s="1" t="s">
        <v>20</v>
      </c>
      <c r="F542" s="1" t="s">
        <v>47</v>
      </c>
      <c r="G542" s="41">
        <v>1</v>
      </c>
      <c r="H542" s="41">
        <v>2</v>
      </c>
      <c r="I542" s="41">
        <v>1</v>
      </c>
      <c r="J542" s="3" t="s">
        <v>30</v>
      </c>
      <c r="K542" s="3">
        <v>33124</v>
      </c>
      <c r="L542" s="3" t="s">
        <v>31</v>
      </c>
      <c r="M542" s="1" t="s">
        <v>1508</v>
      </c>
      <c r="N542" s="25" t="s">
        <v>33</v>
      </c>
      <c r="O542" s="1" t="s">
        <v>20</v>
      </c>
      <c r="P542" s="1">
        <v>0</v>
      </c>
      <c r="Q542" s="28" t="s">
        <v>1509</v>
      </c>
      <c r="R542" s="44" t="s">
        <v>1510</v>
      </c>
      <c r="S542" s="17" t="s">
        <v>1511</v>
      </c>
    </row>
    <row r="543" spans="1:19" ht="12.75">
      <c r="A543" s="41">
        <v>146</v>
      </c>
      <c r="B543" s="41">
        <v>2021</v>
      </c>
      <c r="C543" s="1" t="s">
        <v>102</v>
      </c>
      <c r="D543" s="42">
        <v>44406</v>
      </c>
      <c r="E543" s="1" t="s">
        <v>20</v>
      </c>
      <c r="F543" s="1" t="s">
        <v>47</v>
      </c>
      <c r="G543" s="41">
        <v>1</v>
      </c>
      <c r="H543" s="41">
        <v>2</v>
      </c>
      <c r="I543" s="41">
        <v>2</v>
      </c>
      <c r="J543" s="3" t="s">
        <v>30</v>
      </c>
      <c r="K543" s="3">
        <v>33126</v>
      </c>
      <c r="L543" s="3" t="s">
        <v>31</v>
      </c>
      <c r="M543" s="1" t="s">
        <v>1512</v>
      </c>
      <c r="N543" s="25" t="s">
        <v>33</v>
      </c>
      <c r="O543" s="1" t="s">
        <v>23</v>
      </c>
      <c r="P543" s="1" t="s">
        <v>23</v>
      </c>
      <c r="Q543" s="7" t="s">
        <v>23</v>
      </c>
      <c r="R543" s="8" t="s">
        <v>23</v>
      </c>
      <c r="S543" s="20" t="s">
        <v>23</v>
      </c>
    </row>
    <row r="544" spans="1:19" ht="12.75">
      <c r="A544" s="41">
        <v>147</v>
      </c>
      <c r="B544" s="41">
        <v>2021</v>
      </c>
      <c r="C544" s="1" t="s">
        <v>102</v>
      </c>
      <c r="D544" s="42">
        <v>44406</v>
      </c>
      <c r="E544" s="1" t="s">
        <v>20</v>
      </c>
      <c r="F544" s="1" t="s">
        <v>49</v>
      </c>
      <c r="G544" s="41">
        <v>1</v>
      </c>
      <c r="H544" s="41">
        <v>1</v>
      </c>
      <c r="I544" s="41">
        <v>1</v>
      </c>
      <c r="J544" s="3" t="s">
        <v>23</v>
      </c>
      <c r="K544" s="3" t="s">
        <v>23</v>
      </c>
      <c r="L544" s="3" t="s">
        <v>23</v>
      </c>
      <c r="M544" s="1" t="s">
        <v>1513</v>
      </c>
      <c r="N544" s="1" t="s">
        <v>23</v>
      </c>
      <c r="O544" s="1" t="s">
        <v>33</v>
      </c>
      <c r="P544" s="1">
        <v>1</v>
      </c>
      <c r="Q544" s="7" t="s">
        <v>23</v>
      </c>
      <c r="R544" s="44" t="s">
        <v>1514</v>
      </c>
      <c r="S544" s="17" t="s">
        <v>1515</v>
      </c>
    </row>
    <row r="545" spans="1:19" ht="12.75">
      <c r="A545" s="41">
        <v>148</v>
      </c>
      <c r="B545" s="41">
        <v>2021</v>
      </c>
      <c r="C545" s="1" t="s">
        <v>102</v>
      </c>
      <c r="D545" s="42">
        <v>44406</v>
      </c>
      <c r="E545" s="1" t="s">
        <v>20</v>
      </c>
      <c r="F545" s="1" t="s">
        <v>37</v>
      </c>
      <c r="G545" s="41">
        <v>1</v>
      </c>
      <c r="H545" s="41">
        <v>4</v>
      </c>
      <c r="I545" s="41">
        <v>1</v>
      </c>
      <c r="J545" s="3" t="s">
        <v>64</v>
      </c>
      <c r="K545" s="3">
        <v>33063</v>
      </c>
      <c r="L545" s="3" t="s">
        <v>31</v>
      </c>
      <c r="M545" s="1" t="s">
        <v>1516</v>
      </c>
      <c r="N545" s="4" t="s">
        <v>33</v>
      </c>
      <c r="O545" s="1" t="s">
        <v>20</v>
      </c>
      <c r="P545" s="1">
        <v>0</v>
      </c>
      <c r="Q545" s="28" t="s">
        <v>1517</v>
      </c>
      <c r="R545" s="45" t="s">
        <v>23</v>
      </c>
      <c r="S545" s="17" t="s">
        <v>1518</v>
      </c>
    </row>
    <row r="546" spans="1:19" ht="12.75">
      <c r="A546" s="41">
        <v>148</v>
      </c>
      <c r="B546" s="41">
        <v>2021</v>
      </c>
      <c r="C546" s="1" t="s">
        <v>102</v>
      </c>
      <c r="D546" s="42">
        <v>44406</v>
      </c>
      <c r="E546" s="1" t="s">
        <v>20</v>
      </c>
      <c r="F546" s="1" t="s">
        <v>37</v>
      </c>
      <c r="G546" s="41">
        <v>1</v>
      </c>
      <c r="H546" s="41">
        <v>4</v>
      </c>
      <c r="I546" s="41">
        <v>2</v>
      </c>
      <c r="J546" s="3" t="s">
        <v>64</v>
      </c>
      <c r="K546" s="3">
        <v>33064</v>
      </c>
      <c r="L546" s="3" t="s">
        <v>31</v>
      </c>
      <c r="M546" s="1" t="s">
        <v>1519</v>
      </c>
      <c r="N546" s="4" t="s">
        <v>33</v>
      </c>
      <c r="O546" s="1" t="s">
        <v>23</v>
      </c>
      <c r="P546" s="1" t="s">
        <v>23</v>
      </c>
      <c r="Q546" s="7" t="s">
        <v>23</v>
      </c>
      <c r="R546" s="45" t="s">
        <v>23</v>
      </c>
      <c r="S546" s="20" t="s">
        <v>23</v>
      </c>
    </row>
    <row r="547" spans="1:19" ht="12.75">
      <c r="A547" s="41">
        <v>148</v>
      </c>
      <c r="B547" s="41">
        <v>2021</v>
      </c>
      <c r="C547" s="1" t="s">
        <v>102</v>
      </c>
      <c r="D547" s="42">
        <v>44406</v>
      </c>
      <c r="E547" s="1" t="s">
        <v>20</v>
      </c>
      <c r="F547" s="1" t="s">
        <v>37</v>
      </c>
      <c r="G547" s="41">
        <v>1</v>
      </c>
      <c r="H547" s="41">
        <v>4</v>
      </c>
      <c r="I547" s="41">
        <v>3</v>
      </c>
      <c r="J547" s="3" t="s">
        <v>64</v>
      </c>
      <c r="K547" s="3">
        <v>33070</v>
      </c>
      <c r="L547" s="3" t="s">
        <v>31</v>
      </c>
      <c r="M547" s="1" t="s">
        <v>1520</v>
      </c>
      <c r="N547" s="4" t="s">
        <v>33</v>
      </c>
      <c r="O547" s="1" t="s">
        <v>23</v>
      </c>
      <c r="P547" s="1" t="s">
        <v>23</v>
      </c>
      <c r="Q547" s="7" t="s">
        <v>23</v>
      </c>
      <c r="R547" s="45" t="s">
        <v>23</v>
      </c>
      <c r="S547" s="20" t="s">
        <v>23</v>
      </c>
    </row>
    <row r="548" spans="1:19" ht="12.75">
      <c r="A548" s="41">
        <v>148</v>
      </c>
      <c r="B548" s="41">
        <v>2021</v>
      </c>
      <c r="C548" s="1" t="s">
        <v>102</v>
      </c>
      <c r="D548" s="42">
        <v>44406</v>
      </c>
      <c r="E548" s="1" t="s">
        <v>20</v>
      </c>
      <c r="F548" s="1" t="s">
        <v>37</v>
      </c>
      <c r="G548" s="41">
        <v>1</v>
      </c>
      <c r="H548" s="41">
        <v>4</v>
      </c>
      <c r="I548" s="41">
        <v>4</v>
      </c>
      <c r="J548" s="3" t="s">
        <v>64</v>
      </c>
      <c r="K548" s="3">
        <v>33072</v>
      </c>
      <c r="L548" s="3" t="s">
        <v>31</v>
      </c>
      <c r="M548" s="1" t="s">
        <v>1521</v>
      </c>
      <c r="N548" s="4" t="s">
        <v>33</v>
      </c>
      <c r="O548" s="1" t="s">
        <v>23</v>
      </c>
      <c r="P548" s="1" t="s">
        <v>23</v>
      </c>
      <c r="Q548" s="7" t="s">
        <v>23</v>
      </c>
      <c r="R548" s="8" t="s">
        <v>23</v>
      </c>
      <c r="S548" s="20" t="s">
        <v>23</v>
      </c>
    </row>
    <row r="549" spans="1:19" ht="12.75">
      <c r="A549" s="41">
        <v>149</v>
      </c>
      <c r="B549" s="41">
        <v>2021</v>
      </c>
      <c r="C549" s="1" t="s">
        <v>102</v>
      </c>
      <c r="D549" s="42">
        <v>44411</v>
      </c>
      <c r="E549" s="1" t="s">
        <v>20</v>
      </c>
      <c r="F549" s="1" t="s">
        <v>53</v>
      </c>
      <c r="G549" s="41">
        <v>1</v>
      </c>
      <c r="H549" s="41">
        <v>2</v>
      </c>
      <c r="I549" s="41">
        <v>1</v>
      </c>
      <c r="J549" s="3" t="s">
        <v>30</v>
      </c>
      <c r="K549" s="3">
        <v>33124</v>
      </c>
      <c r="L549" s="3" t="s">
        <v>31</v>
      </c>
      <c r="M549" s="1" t="s">
        <v>1508</v>
      </c>
      <c r="N549" s="4" t="s">
        <v>20</v>
      </c>
      <c r="O549" s="1" t="s">
        <v>20</v>
      </c>
      <c r="P549" s="1">
        <v>0</v>
      </c>
      <c r="Q549" s="28" t="s">
        <v>1522</v>
      </c>
      <c r="R549" s="44" t="s">
        <v>1523</v>
      </c>
      <c r="S549" s="17" t="s">
        <v>1524</v>
      </c>
    </row>
    <row r="550" spans="1:19" ht="12.75">
      <c r="A550" s="41">
        <v>149</v>
      </c>
      <c r="B550" s="41">
        <v>2021</v>
      </c>
      <c r="C550" s="1" t="s">
        <v>102</v>
      </c>
      <c r="D550" s="42">
        <v>44411</v>
      </c>
      <c r="E550" s="1" t="s">
        <v>20</v>
      </c>
      <c r="F550" s="1" t="s">
        <v>53</v>
      </c>
      <c r="G550" s="41">
        <v>1</v>
      </c>
      <c r="H550" s="41">
        <v>2</v>
      </c>
      <c r="I550" s="41">
        <v>2</v>
      </c>
      <c r="J550" s="3" t="s">
        <v>30</v>
      </c>
      <c r="K550" s="3">
        <v>33126</v>
      </c>
      <c r="L550" s="3" t="s">
        <v>31</v>
      </c>
      <c r="M550" s="1" t="s">
        <v>1512</v>
      </c>
      <c r="N550" s="4" t="s">
        <v>20</v>
      </c>
      <c r="O550" s="1" t="s">
        <v>23</v>
      </c>
      <c r="P550" s="1" t="s">
        <v>23</v>
      </c>
      <c r="Q550" s="7" t="s">
        <v>23</v>
      </c>
      <c r="R550" s="8" t="s">
        <v>23</v>
      </c>
      <c r="S550" s="20" t="s">
        <v>23</v>
      </c>
    </row>
    <row r="551" spans="1:19" ht="12.75">
      <c r="A551" s="41">
        <v>150</v>
      </c>
      <c r="B551" s="41">
        <v>2021</v>
      </c>
      <c r="C551" s="1" t="s">
        <v>102</v>
      </c>
      <c r="D551" s="42">
        <v>44411</v>
      </c>
      <c r="E551" s="1" t="s">
        <v>20</v>
      </c>
      <c r="F551" s="1" t="s">
        <v>67</v>
      </c>
      <c r="G551" s="41">
        <v>1</v>
      </c>
      <c r="H551" s="41">
        <v>1</v>
      </c>
      <c r="I551" s="41">
        <v>1</v>
      </c>
      <c r="J551" s="3" t="s">
        <v>23</v>
      </c>
      <c r="K551" s="3" t="s">
        <v>23</v>
      </c>
      <c r="L551" s="3" t="s">
        <v>23</v>
      </c>
      <c r="M551" s="1" t="s">
        <v>1525</v>
      </c>
      <c r="N551" s="1" t="s">
        <v>23</v>
      </c>
      <c r="O551" s="1" t="s">
        <v>33</v>
      </c>
      <c r="P551" s="1">
        <v>4</v>
      </c>
      <c r="Q551" s="32" t="s">
        <v>1526</v>
      </c>
      <c r="R551" s="44" t="s">
        <v>1527</v>
      </c>
      <c r="S551" s="17" t="s">
        <v>1528</v>
      </c>
    </row>
    <row r="552" spans="1:19" ht="12.75">
      <c r="A552" s="41">
        <v>151</v>
      </c>
      <c r="B552" s="41">
        <v>2021</v>
      </c>
      <c r="C552" s="1" t="s">
        <v>102</v>
      </c>
      <c r="D552" s="42">
        <v>44411</v>
      </c>
      <c r="E552" s="1" t="s">
        <v>33</v>
      </c>
      <c r="F552" s="6" t="s">
        <v>244</v>
      </c>
      <c r="G552" s="41">
        <v>2</v>
      </c>
      <c r="H552" s="41">
        <v>1</v>
      </c>
      <c r="I552" s="41">
        <v>1</v>
      </c>
      <c r="J552" s="3" t="s">
        <v>30</v>
      </c>
      <c r="K552" s="3">
        <v>33305</v>
      </c>
      <c r="L552" s="3" t="s">
        <v>31</v>
      </c>
      <c r="M552" s="1" t="s">
        <v>1529</v>
      </c>
      <c r="N552" s="4" t="s">
        <v>20</v>
      </c>
      <c r="O552" s="1" t="s">
        <v>20</v>
      </c>
      <c r="P552" s="1">
        <v>0</v>
      </c>
      <c r="Q552" s="28" t="s">
        <v>1530</v>
      </c>
      <c r="R552" s="44" t="s">
        <v>1531</v>
      </c>
      <c r="S552" s="26" t="s">
        <v>1532</v>
      </c>
    </row>
    <row r="553" spans="1:19" ht="12.75">
      <c r="A553" s="41">
        <v>152</v>
      </c>
      <c r="B553" s="41">
        <v>2021</v>
      </c>
      <c r="C553" s="1" t="s">
        <v>102</v>
      </c>
      <c r="D553" s="42">
        <v>44413</v>
      </c>
      <c r="E553" s="1" t="s">
        <v>20</v>
      </c>
      <c r="F553" s="1" t="s">
        <v>41</v>
      </c>
      <c r="G553" s="41">
        <v>1</v>
      </c>
      <c r="H553" s="41">
        <v>1</v>
      </c>
      <c r="I553" s="41">
        <v>1</v>
      </c>
      <c r="J553" s="3" t="s">
        <v>23</v>
      </c>
      <c r="K553" s="3" t="s">
        <v>23</v>
      </c>
      <c r="L553" s="3" t="s">
        <v>23</v>
      </c>
      <c r="M553" s="1" t="s">
        <v>1533</v>
      </c>
      <c r="N553" s="1" t="s">
        <v>23</v>
      </c>
      <c r="O553" s="1" t="s">
        <v>33</v>
      </c>
      <c r="P553" s="1">
        <v>4</v>
      </c>
      <c r="Q553" s="28" t="s">
        <v>1534</v>
      </c>
      <c r="R553" s="45" t="s">
        <v>23</v>
      </c>
      <c r="S553" s="17" t="s">
        <v>1535</v>
      </c>
    </row>
    <row r="554" spans="1:19" ht="12.75">
      <c r="A554" s="41">
        <v>153</v>
      </c>
      <c r="B554" s="41">
        <v>2021</v>
      </c>
      <c r="C554" s="1" t="s">
        <v>102</v>
      </c>
      <c r="D554" s="42">
        <v>44413</v>
      </c>
      <c r="E554" s="1" t="s">
        <v>20</v>
      </c>
      <c r="F554" s="1" t="s">
        <v>39</v>
      </c>
      <c r="G554" s="41">
        <v>1</v>
      </c>
      <c r="H554" s="41">
        <v>1</v>
      </c>
      <c r="I554" s="41">
        <v>1</v>
      </c>
      <c r="J554" s="3" t="s">
        <v>23</v>
      </c>
      <c r="K554" s="3" t="s">
        <v>23</v>
      </c>
      <c r="L554" s="3" t="s">
        <v>23</v>
      </c>
      <c r="M554" s="1" t="s">
        <v>1536</v>
      </c>
      <c r="N554" s="1" t="s">
        <v>23</v>
      </c>
      <c r="O554" s="1" t="s">
        <v>33</v>
      </c>
      <c r="P554" s="1">
        <v>1</v>
      </c>
      <c r="Q554" s="28" t="s">
        <v>1537</v>
      </c>
      <c r="R554" s="44" t="s">
        <v>1538</v>
      </c>
      <c r="S554" s="17" t="s">
        <v>1539</v>
      </c>
    </row>
    <row r="555" spans="1:19" ht="12.75">
      <c r="A555" s="41">
        <v>154</v>
      </c>
      <c r="B555" s="41">
        <v>2021</v>
      </c>
      <c r="C555" s="1" t="s">
        <v>102</v>
      </c>
      <c r="D555" s="42">
        <v>44418</v>
      </c>
      <c r="E555" s="1" t="s">
        <v>20</v>
      </c>
      <c r="F555" s="1" t="s">
        <v>28</v>
      </c>
      <c r="G555" s="41">
        <v>1</v>
      </c>
      <c r="H555" s="41">
        <v>1</v>
      </c>
      <c r="I555" s="41">
        <v>1</v>
      </c>
      <c r="J555" s="3" t="s">
        <v>30</v>
      </c>
      <c r="K555" s="3">
        <v>33366</v>
      </c>
      <c r="L555" s="3" t="s">
        <v>31</v>
      </c>
      <c r="M555" s="1" t="s">
        <v>1540</v>
      </c>
      <c r="N555" s="4" t="s">
        <v>20</v>
      </c>
      <c r="O555" s="1" t="s">
        <v>33</v>
      </c>
      <c r="P555" s="1">
        <v>1</v>
      </c>
      <c r="Q555" s="28" t="s">
        <v>1541</v>
      </c>
      <c r="R555" s="45" t="s">
        <v>23</v>
      </c>
      <c r="S555" s="17" t="s">
        <v>1542</v>
      </c>
    </row>
    <row r="556" spans="1:19" ht="12.75">
      <c r="A556" s="41">
        <v>155</v>
      </c>
      <c r="B556" s="41">
        <v>2021</v>
      </c>
      <c r="C556" s="1" t="s">
        <v>102</v>
      </c>
      <c r="D556" s="42">
        <v>44418</v>
      </c>
      <c r="E556" s="1" t="s">
        <v>20</v>
      </c>
      <c r="F556" s="1" t="s">
        <v>47</v>
      </c>
      <c r="G556" s="41">
        <v>1</v>
      </c>
      <c r="H556" s="41">
        <v>1</v>
      </c>
      <c r="I556" s="41">
        <v>1</v>
      </c>
      <c r="J556" s="3" t="s">
        <v>30</v>
      </c>
      <c r="K556" s="3">
        <v>33125</v>
      </c>
      <c r="L556" s="3" t="s">
        <v>31</v>
      </c>
      <c r="M556" s="1" t="s">
        <v>1543</v>
      </c>
      <c r="N556" s="25" t="s">
        <v>33</v>
      </c>
      <c r="O556" s="1" t="s">
        <v>20</v>
      </c>
      <c r="P556" s="1">
        <v>0</v>
      </c>
      <c r="Q556" s="28" t="s">
        <v>1544</v>
      </c>
      <c r="R556" s="44" t="s">
        <v>1545</v>
      </c>
      <c r="S556" s="17" t="s">
        <v>1546</v>
      </c>
    </row>
    <row r="557" spans="1:19" ht="12.75">
      <c r="A557" s="41">
        <v>156</v>
      </c>
      <c r="B557" s="41">
        <v>2021</v>
      </c>
      <c r="C557" s="1" t="s">
        <v>102</v>
      </c>
      <c r="D557" s="42">
        <v>44418</v>
      </c>
      <c r="E557" s="1" t="s">
        <v>33</v>
      </c>
      <c r="F557" s="6" t="s">
        <v>244</v>
      </c>
      <c r="G557" s="41">
        <v>2</v>
      </c>
      <c r="H557" s="41">
        <v>1</v>
      </c>
      <c r="I557" s="41">
        <v>1</v>
      </c>
      <c r="J557" s="3" t="s">
        <v>30</v>
      </c>
      <c r="K557" s="3">
        <v>33305</v>
      </c>
      <c r="L557" s="3" t="s">
        <v>31</v>
      </c>
      <c r="M557" s="1" t="s">
        <v>1529</v>
      </c>
      <c r="N557" s="4" t="s">
        <v>33</v>
      </c>
      <c r="O557" s="1" t="s">
        <v>20</v>
      </c>
      <c r="P557" s="1">
        <v>0</v>
      </c>
      <c r="Q557" s="28" t="s">
        <v>1547</v>
      </c>
      <c r="R557" s="44" t="s">
        <v>1548</v>
      </c>
      <c r="S557" s="26" t="s">
        <v>1549</v>
      </c>
    </row>
    <row r="558" spans="1:19" ht="12.75">
      <c r="A558" s="41">
        <v>157</v>
      </c>
      <c r="B558" s="41">
        <v>2021</v>
      </c>
      <c r="C558" s="1" t="s">
        <v>102</v>
      </c>
      <c r="D558" s="42">
        <v>44420</v>
      </c>
      <c r="E558" s="1" t="s">
        <v>20</v>
      </c>
      <c r="F558" s="1" t="s">
        <v>370</v>
      </c>
      <c r="G558" s="41">
        <v>1</v>
      </c>
      <c r="H558" s="41">
        <v>2</v>
      </c>
      <c r="I558" s="41">
        <v>1</v>
      </c>
      <c r="J558" s="3" t="s">
        <v>71</v>
      </c>
      <c r="K558" s="3">
        <v>32404</v>
      </c>
      <c r="L558" s="14" t="s">
        <v>61</v>
      </c>
      <c r="M558" s="1" t="s">
        <v>1550</v>
      </c>
      <c r="N558" s="4" t="s">
        <v>20</v>
      </c>
      <c r="O558" s="1" t="s">
        <v>33</v>
      </c>
      <c r="P558" s="1">
        <v>1</v>
      </c>
      <c r="Q558" s="28" t="s">
        <v>1551</v>
      </c>
      <c r="R558" s="44" t="s">
        <v>1552</v>
      </c>
      <c r="S558" s="17" t="s">
        <v>1553</v>
      </c>
    </row>
    <row r="559" spans="1:19" ht="12.75">
      <c r="A559" s="41">
        <v>157</v>
      </c>
      <c r="B559" s="41">
        <v>2021</v>
      </c>
      <c r="C559" s="1" t="s">
        <v>102</v>
      </c>
      <c r="D559" s="42">
        <v>44420</v>
      </c>
      <c r="E559" s="1" t="s">
        <v>20</v>
      </c>
      <c r="F559" s="1" t="s">
        <v>370</v>
      </c>
      <c r="G559" s="41">
        <v>1</v>
      </c>
      <c r="H559" s="41">
        <v>2</v>
      </c>
      <c r="I559" s="41">
        <v>2</v>
      </c>
      <c r="J559" s="3" t="s">
        <v>71</v>
      </c>
      <c r="K559" s="3">
        <v>33295</v>
      </c>
      <c r="L559" s="14" t="s">
        <v>61</v>
      </c>
      <c r="M559" s="1" t="s">
        <v>1554</v>
      </c>
      <c r="N559" s="4" t="s">
        <v>20</v>
      </c>
      <c r="O559" s="1" t="s">
        <v>23</v>
      </c>
      <c r="P559" s="1" t="s">
        <v>23</v>
      </c>
      <c r="Q559" s="7" t="s">
        <v>23</v>
      </c>
      <c r="R559" s="8" t="s">
        <v>23</v>
      </c>
      <c r="S559" s="20" t="s">
        <v>23</v>
      </c>
    </row>
    <row r="560" spans="1:19" ht="12.75">
      <c r="A560" s="41">
        <v>158</v>
      </c>
      <c r="B560" s="41">
        <v>2021</v>
      </c>
      <c r="C560" s="1" t="s">
        <v>102</v>
      </c>
      <c r="D560" s="42">
        <v>44420</v>
      </c>
      <c r="E560" s="1" t="s">
        <v>20</v>
      </c>
      <c r="F560" s="1" t="s">
        <v>43</v>
      </c>
      <c r="G560" s="41">
        <v>1</v>
      </c>
      <c r="H560" s="41">
        <v>1</v>
      </c>
      <c r="I560" s="41">
        <v>1</v>
      </c>
      <c r="J560" s="3" t="s">
        <v>23</v>
      </c>
      <c r="K560" s="3" t="s">
        <v>23</v>
      </c>
      <c r="L560" s="3" t="s">
        <v>23</v>
      </c>
      <c r="M560" s="1" t="s">
        <v>1555</v>
      </c>
      <c r="N560" s="1" t="s">
        <v>23</v>
      </c>
      <c r="O560" s="1" t="s">
        <v>33</v>
      </c>
      <c r="P560" s="1">
        <v>4</v>
      </c>
      <c r="Q560" s="28" t="s">
        <v>1556</v>
      </c>
      <c r="R560" s="44" t="s">
        <v>1557</v>
      </c>
      <c r="S560" s="17" t="s">
        <v>1558</v>
      </c>
    </row>
    <row r="561" spans="1:19" ht="12.75">
      <c r="A561" s="41">
        <v>159</v>
      </c>
      <c r="B561" s="41">
        <v>2021</v>
      </c>
      <c r="C561" s="1" t="s">
        <v>102</v>
      </c>
      <c r="D561" s="42">
        <v>44420</v>
      </c>
      <c r="E561" s="1" t="s">
        <v>20</v>
      </c>
      <c r="F561" s="1" t="s">
        <v>190</v>
      </c>
      <c r="G561" s="41">
        <v>1</v>
      </c>
      <c r="H561" s="41">
        <v>1</v>
      </c>
      <c r="I561" s="41">
        <v>1</v>
      </c>
      <c r="J561" s="3" t="s">
        <v>23</v>
      </c>
      <c r="K561" s="3" t="s">
        <v>23</v>
      </c>
      <c r="L561" s="3" t="s">
        <v>23</v>
      </c>
      <c r="M561" s="1" t="s">
        <v>1559</v>
      </c>
      <c r="N561" s="1" t="s">
        <v>23</v>
      </c>
      <c r="O561" s="1" t="s">
        <v>33</v>
      </c>
      <c r="P561" s="1">
        <v>1</v>
      </c>
      <c r="Q561" s="28" t="s">
        <v>1560</v>
      </c>
      <c r="R561" s="45" t="s">
        <v>23</v>
      </c>
      <c r="S561" s="17" t="s">
        <v>1561</v>
      </c>
    </row>
    <row r="562" spans="1:19" ht="12.75">
      <c r="A562" s="41">
        <v>160</v>
      </c>
      <c r="B562" s="41">
        <v>2021</v>
      </c>
      <c r="C562" s="1" t="s">
        <v>102</v>
      </c>
      <c r="D562" s="42">
        <v>44425</v>
      </c>
      <c r="E562" s="1" t="s">
        <v>20</v>
      </c>
      <c r="F562" s="1" t="s">
        <v>51</v>
      </c>
      <c r="G562" s="41">
        <v>1</v>
      </c>
      <c r="H562" s="41">
        <v>1</v>
      </c>
      <c r="I562" s="41">
        <v>1</v>
      </c>
      <c r="J562" s="3" t="s">
        <v>30</v>
      </c>
      <c r="K562" s="3">
        <v>30639</v>
      </c>
      <c r="L562" s="3" t="s">
        <v>61</v>
      </c>
      <c r="M562" s="1" t="s">
        <v>1287</v>
      </c>
      <c r="N562" s="4" t="s">
        <v>33</v>
      </c>
      <c r="O562" s="1" t="s">
        <v>33</v>
      </c>
      <c r="P562" s="1">
        <v>1</v>
      </c>
      <c r="Q562" s="7" t="s">
        <v>23</v>
      </c>
      <c r="R562" s="45" t="s">
        <v>23</v>
      </c>
      <c r="S562" s="17" t="s">
        <v>1562</v>
      </c>
    </row>
    <row r="563" spans="1:19" ht="12.75">
      <c r="A563" s="41">
        <v>161</v>
      </c>
      <c r="B563" s="41">
        <v>2021</v>
      </c>
      <c r="C563" s="1" t="s">
        <v>102</v>
      </c>
      <c r="D563" s="42">
        <v>44425</v>
      </c>
      <c r="E563" s="1" t="s">
        <v>20</v>
      </c>
      <c r="F563" s="1" t="s">
        <v>21</v>
      </c>
      <c r="G563" s="41">
        <v>1</v>
      </c>
      <c r="H563" s="41">
        <v>2</v>
      </c>
      <c r="I563" s="41">
        <v>1</v>
      </c>
      <c r="J563" s="3" t="s">
        <v>85</v>
      </c>
      <c r="K563" s="3">
        <v>33407</v>
      </c>
      <c r="L563" s="3" t="s">
        <v>61</v>
      </c>
      <c r="M563" s="1" t="s">
        <v>1563</v>
      </c>
      <c r="N563" s="4" t="s">
        <v>33</v>
      </c>
      <c r="O563" s="1" t="s">
        <v>20</v>
      </c>
      <c r="P563" s="1">
        <v>0</v>
      </c>
      <c r="Q563" s="28" t="s">
        <v>1564</v>
      </c>
      <c r="R563" s="44" t="s">
        <v>1565</v>
      </c>
      <c r="S563" s="17" t="s">
        <v>1566</v>
      </c>
    </row>
    <row r="564" spans="1:19" ht="12.75">
      <c r="A564" s="41">
        <v>161</v>
      </c>
      <c r="B564" s="41">
        <v>2021</v>
      </c>
      <c r="C564" s="1" t="s">
        <v>102</v>
      </c>
      <c r="D564" s="42">
        <v>44425</v>
      </c>
      <c r="E564" s="1" t="s">
        <v>20</v>
      </c>
      <c r="F564" s="1" t="s">
        <v>21</v>
      </c>
      <c r="G564" s="41">
        <v>1</v>
      </c>
      <c r="H564" s="41">
        <v>2</v>
      </c>
      <c r="I564" s="41">
        <v>2</v>
      </c>
      <c r="J564" s="3" t="s">
        <v>85</v>
      </c>
      <c r="K564" s="3">
        <v>33422</v>
      </c>
      <c r="L564" s="3" t="s">
        <v>61</v>
      </c>
      <c r="M564" s="1" t="s">
        <v>1567</v>
      </c>
      <c r="N564" s="4" t="s">
        <v>33</v>
      </c>
      <c r="O564" s="1" t="s">
        <v>23</v>
      </c>
      <c r="P564" s="1" t="s">
        <v>23</v>
      </c>
      <c r="Q564" s="7" t="s">
        <v>23</v>
      </c>
      <c r="R564" s="8" t="s">
        <v>23</v>
      </c>
      <c r="S564" s="20" t="s">
        <v>23</v>
      </c>
    </row>
    <row r="565" spans="1:19" ht="12.75">
      <c r="A565" s="41">
        <v>162</v>
      </c>
      <c r="B565" s="41">
        <v>2021</v>
      </c>
      <c r="C565" s="1" t="s">
        <v>102</v>
      </c>
      <c r="D565" s="42">
        <v>44425</v>
      </c>
      <c r="E565" s="1" t="s">
        <v>20</v>
      </c>
      <c r="F565" s="1" t="s">
        <v>53</v>
      </c>
      <c r="G565" s="41">
        <v>1</v>
      </c>
      <c r="H565" s="41">
        <v>2</v>
      </c>
      <c r="I565" s="41">
        <v>1</v>
      </c>
      <c r="J565" s="3" t="s">
        <v>30</v>
      </c>
      <c r="K565" s="3">
        <v>33366</v>
      </c>
      <c r="L565" s="3" t="s">
        <v>31</v>
      </c>
      <c r="M565" s="1" t="s">
        <v>1540</v>
      </c>
      <c r="N565" s="4" t="s">
        <v>33</v>
      </c>
      <c r="O565" s="1" t="s">
        <v>20</v>
      </c>
      <c r="P565" s="1">
        <v>0</v>
      </c>
      <c r="Q565" s="28" t="s">
        <v>1568</v>
      </c>
      <c r="R565" s="44" t="s">
        <v>1569</v>
      </c>
      <c r="S565" s="17" t="s">
        <v>1570</v>
      </c>
    </row>
    <row r="566" spans="1:19" ht="12.75">
      <c r="A566" s="41">
        <v>162</v>
      </c>
      <c r="B566" s="41">
        <v>2021</v>
      </c>
      <c r="C566" s="1" t="s">
        <v>102</v>
      </c>
      <c r="D566" s="42">
        <v>44425</v>
      </c>
      <c r="E566" s="1" t="s">
        <v>20</v>
      </c>
      <c r="F566" s="1" t="s">
        <v>53</v>
      </c>
      <c r="G566" s="41">
        <v>1</v>
      </c>
      <c r="H566" s="41">
        <v>2</v>
      </c>
      <c r="I566" s="41">
        <v>2</v>
      </c>
      <c r="J566" s="3" t="s">
        <v>30</v>
      </c>
      <c r="K566" s="3">
        <v>33125</v>
      </c>
      <c r="L566" s="3" t="s">
        <v>31</v>
      </c>
      <c r="M566" s="1" t="s">
        <v>1571</v>
      </c>
      <c r="N566" s="4" t="s">
        <v>20</v>
      </c>
      <c r="O566" s="1" t="s">
        <v>23</v>
      </c>
      <c r="P566" s="1" t="s">
        <v>23</v>
      </c>
      <c r="Q566" s="7" t="s">
        <v>23</v>
      </c>
      <c r="R566" s="8" t="s">
        <v>23</v>
      </c>
      <c r="S566" s="20" t="s">
        <v>23</v>
      </c>
    </row>
    <row r="567" spans="1:19" ht="12.75">
      <c r="A567" s="41">
        <v>163</v>
      </c>
      <c r="B567" s="41">
        <v>2021</v>
      </c>
      <c r="C567" s="1" t="s">
        <v>102</v>
      </c>
      <c r="D567" s="42">
        <v>44425</v>
      </c>
      <c r="E567" s="1" t="s">
        <v>33</v>
      </c>
      <c r="F567" s="6" t="s">
        <v>1572</v>
      </c>
      <c r="G567" s="41">
        <v>4</v>
      </c>
      <c r="H567" s="41">
        <v>1</v>
      </c>
      <c r="I567" s="41">
        <v>1</v>
      </c>
      <c r="J567" s="3" t="s">
        <v>30</v>
      </c>
      <c r="K567" s="3">
        <v>33412</v>
      </c>
      <c r="L567" s="3" t="s">
        <v>31</v>
      </c>
      <c r="M567" s="1" t="s">
        <v>1573</v>
      </c>
      <c r="N567" s="25" t="s">
        <v>20</v>
      </c>
      <c r="O567" s="1" t="s">
        <v>33</v>
      </c>
      <c r="P567" s="1">
        <v>6</v>
      </c>
      <c r="Q567" s="28" t="s">
        <v>1574</v>
      </c>
      <c r="R567" s="44" t="s">
        <v>1575</v>
      </c>
      <c r="S567" s="26" t="s">
        <v>1576</v>
      </c>
    </row>
    <row r="568" spans="1:19" ht="12.75">
      <c r="A568" s="41">
        <v>164</v>
      </c>
      <c r="B568" s="41">
        <v>2021</v>
      </c>
      <c r="C568" s="1" t="s">
        <v>102</v>
      </c>
      <c r="D568" s="42">
        <v>44427</v>
      </c>
      <c r="E568" s="1" t="s">
        <v>33</v>
      </c>
      <c r="F568" s="6" t="s">
        <v>1577</v>
      </c>
      <c r="G568" s="41">
        <v>2</v>
      </c>
      <c r="H568" s="41">
        <v>2</v>
      </c>
      <c r="I568" s="41">
        <v>1</v>
      </c>
      <c r="J568" s="3" t="s">
        <v>30</v>
      </c>
      <c r="K568" s="3">
        <v>33273</v>
      </c>
      <c r="L568" s="3" t="s">
        <v>61</v>
      </c>
      <c r="M568" s="1" t="s">
        <v>1578</v>
      </c>
      <c r="N568" s="4" t="s">
        <v>20</v>
      </c>
      <c r="O568" s="1" t="s">
        <v>20</v>
      </c>
      <c r="P568" s="1">
        <v>0</v>
      </c>
      <c r="Q568" s="32" t="s">
        <v>1579</v>
      </c>
      <c r="R568" s="44" t="s">
        <v>1580</v>
      </c>
      <c r="S568" s="26" t="s">
        <v>1581</v>
      </c>
    </row>
    <row r="569" spans="1:19" ht="12.75">
      <c r="A569" s="41">
        <v>164</v>
      </c>
      <c r="B569" s="41">
        <v>2021</v>
      </c>
      <c r="C569" s="1" t="s">
        <v>102</v>
      </c>
      <c r="D569" s="42">
        <v>44427</v>
      </c>
      <c r="E569" s="1" t="s">
        <v>33</v>
      </c>
      <c r="F569" s="6" t="s">
        <v>1577</v>
      </c>
      <c r="G569" s="41">
        <v>2</v>
      </c>
      <c r="H569" s="41">
        <v>2</v>
      </c>
      <c r="I569" s="41">
        <v>2</v>
      </c>
      <c r="J569" s="3" t="s">
        <v>30</v>
      </c>
      <c r="K569" s="3">
        <v>30511</v>
      </c>
      <c r="L569" s="14" t="s">
        <v>61</v>
      </c>
      <c r="M569" s="1" t="s">
        <v>1582</v>
      </c>
      <c r="N569" s="4" t="s">
        <v>20</v>
      </c>
      <c r="O569" s="1" t="s">
        <v>23</v>
      </c>
      <c r="P569" s="1" t="s">
        <v>23</v>
      </c>
      <c r="Q569" s="7" t="s">
        <v>23</v>
      </c>
      <c r="R569" s="8" t="s">
        <v>23</v>
      </c>
      <c r="S569" s="20" t="s">
        <v>23</v>
      </c>
    </row>
    <row r="570" spans="1:19" ht="12.75">
      <c r="A570" s="41">
        <v>165</v>
      </c>
      <c r="B570" s="41">
        <v>2021</v>
      </c>
      <c r="C570" s="1" t="s">
        <v>102</v>
      </c>
      <c r="D570" s="42">
        <v>44427</v>
      </c>
      <c r="E570" s="1" t="s">
        <v>20</v>
      </c>
      <c r="F570" s="1" t="s">
        <v>471</v>
      </c>
      <c r="G570" s="41">
        <v>1</v>
      </c>
      <c r="H570" s="41">
        <v>1</v>
      </c>
      <c r="I570" s="41">
        <v>1</v>
      </c>
      <c r="J570" s="3" t="s">
        <v>23</v>
      </c>
      <c r="K570" s="3" t="s">
        <v>23</v>
      </c>
      <c r="L570" s="3" t="s">
        <v>23</v>
      </c>
      <c r="M570" s="1" t="s">
        <v>1583</v>
      </c>
      <c r="N570" s="1" t="s">
        <v>23</v>
      </c>
      <c r="O570" s="1" t="s">
        <v>33</v>
      </c>
      <c r="P570" s="1">
        <v>1</v>
      </c>
      <c r="Q570" s="32" t="s">
        <v>1584</v>
      </c>
      <c r="R570" s="44" t="s">
        <v>1585</v>
      </c>
      <c r="S570" s="17" t="s">
        <v>1586</v>
      </c>
    </row>
    <row r="571" spans="1:19" ht="12.75">
      <c r="A571" s="41">
        <v>166</v>
      </c>
      <c r="B571" s="41">
        <v>2021</v>
      </c>
      <c r="C571" s="1" t="s">
        <v>102</v>
      </c>
      <c r="D571" s="42">
        <v>44427</v>
      </c>
      <c r="E571" s="1" t="s">
        <v>20</v>
      </c>
      <c r="F571" s="1" t="s">
        <v>39</v>
      </c>
      <c r="G571" s="41">
        <v>1</v>
      </c>
      <c r="H571" s="41">
        <v>1</v>
      </c>
      <c r="I571" s="41">
        <v>1</v>
      </c>
      <c r="J571" s="3" t="s">
        <v>30</v>
      </c>
      <c r="K571" s="3">
        <v>33003</v>
      </c>
      <c r="L571" s="3" t="s">
        <v>61</v>
      </c>
      <c r="M571" s="1" t="s">
        <v>1587</v>
      </c>
      <c r="N571" s="4" t="s">
        <v>20</v>
      </c>
      <c r="O571" s="1" t="s">
        <v>20</v>
      </c>
      <c r="P571" s="1">
        <v>0</v>
      </c>
      <c r="Q571" s="28" t="s">
        <v>1588</v>
      </c>
      <c r="R571" s="44" t="s">
        <v>1589</v>
      </c>
      <c r="S571" s="17" t="s">
        <v>1590</v>
      </c>
    </row>
    <row r="572" spans="1:19" ht="12.75">
      <c r="A572" s="41">
        <v>167</v>
      </c>
      <c r="B572" s="41">
        <v>2021</v>
      </c>
      <c r="C572" s="1" t="s">
        <v>102</v>
      </c>
      <c r="D572" s="42">
        <v>44432</v>
      </c>
      <c r="E572" s="1" t="s">
        <v>33</v>
      </c>
      <c r="F572" s="6" t="s">
        <v>1591</v>
      </c>
      <c r="G572" s="41">
        <v>2</v>
      </c>
      <c r="H572" s="41">
        <v>1</v>
      </c>
      <c r="I572" s="41">
        <v>1</v>
      </c>
      <c r="J572" s="3" t="s">
        <v>30</v>
      </c>
      <c r="K572" s="3">
        <v>32825</v>
      </c>
      <c r="L572" s="14" t="s">
        <v>61</v>
      </c>
      <c r="M572" s="1" t="s">
        <v>1592</v>
      </c>
      <c r="N572" s="4" t="s">
        <v>20</v>
      </c>
      <c r="O572" s="1" t="s">
        <v>20</v>
      </c>
      <c r="P572" s="1">
        <v>0</v>
      </c>
      <c r="Q572" s="28" t="s">
        <v>1593</v>
      </c>
      <c r="R572" s="44" t="s">
        <v>1594</v>
      </c>
      <c r="S572" s="26" t="s">
        <v>1595</v>
      </c>
    </row>
    <row r="573" spans="1:19" ht="12.75">
      <c r="A573" s="41">
        <v>168</v>
      </c>
      <c r="B573" s="41">
        <v>2021</v>
      </c>
      <c r="C573" s="1" t="s">
        <v>102</v>
      </c>
      <c r="D573" s="42">
        <v>44432</v>
      </c>
      <c r="E573" s="1" t="s">
        <v>20</v>
      </c>
      <c r="F573" s="1" t="s">
        <v>190</v>
      </c>
      <c r="G573" s="41">
        <v>1</v>
      </c>
      <c r="H573" s="41">
        <v>1</v>
      </c>
      <c r="I573" s="41">
        <v>1</v>
      </c>
      <c r="J573" s="3" t="s">
        <v>85</v>
      </c>
      <c r="K573" s="3">
        <v>33539</v>
      </c>
      <c r="L573" s="3" t="s">
        <v>61</v>
      </c>
      <c r="M573" s="1" t="s">
        <v>1596</v>
      </c>
      <c r="N573" s="4" t="s">
        <v>20</v>
      </c>
      <c r="O573" s="1" t="s">
        <v>33</v>
      </c>
      <c r="P573" s="1">
        <v>7</v>
      </c>
      <c r="Q573" s="28" t="s">
        <v>1597</v>
      </c>
      <c r="R573" s="45" t="s">
        <v>23</v>
      </c>
      <c r="S573" s="17" t="s">
        <v>1598</v>
      </c>
    </row>
    <row r="574" spans="1:19" ht="12.75">
      <c r="A574" s="41">
        <v>169</v>
      </c>
      <c r="B574" s="41">
        <v>2021</v>
      </c>
      <c r="C574" s="1" t="s">
        <v>102</v>
      </c>
      <c r="D574" s="42">
        <v>44432</v>
      </c>
      <c r="E574" s="1" t="s">
        <v>33</v>
      </c>
      <c r="F574" s="6" t="s">
        <v>1599</v>
      </c>
      <c r="G574" s="41">
        <v>5</v>
      </c>
      <c r="H574" s="41">
        <v>1</v>
      </c>
      <c r="I574" s="41">
        <v>1</v>
      </c>
      <c r="J574" s="3" t="s">
        <v>30</v>
      </c>
      <c r="K574" s="3">
        <v>33412</v>
      </c>
      <c r="L574" s="3" t="s">
        <v>31</v>
      </c>
      <c r="M574" s="1" t="s">
        <v>1573</v>
      </c>
      <c r="N574" s="25" t="s">
        <v>33</v>
      </c>
      <c r="O574" s="1" t="s">
        <v>20</v>
      </c>
      <c r="P574" s="1">
        <v>0</v>
      </c>
      <c r="Q574" s="28" t="s">
        <v>1600</v>
      </c>
      <c r="R574" s="45" t="s">
        <v>23</v>
      </c>
      <c r="S574" s="26" t="s">
        <v>1601</v>
      </c>
    </row>
    <row r="575" spans="1:19" ht="12.75">
      <c r="A575" s="41">
        <v>170</v>
      </c>
      <c r="B575" s="41">
        <v>2021</v>
      </c>
      <c r="C575" s="1" t="s">
        <v>102</v>
      </c>
      <c r="D575" s="42">
        <v>44434</v>
      </c>
      <c r="E575" s="1" t="s">
        <v>20</v>
      </c>
      <c r="F575" s="1" t="s">
        <v>51</v>
      </c>
      <c r="G575" s="41">
        <v>1</v>
      </c>
      <c r="H575" s="41">
        <v>1</v>
      </c>
      <c r="I575" s="41">
        <v>1</v>
      </c>
      <c r="J575" s="3" t="s">
        <v>30</v>
      </c>
      <c r="K575" s="3">
        <v>32472</v>
      </c>
      <c r="L575" s="14" t="s">
        <v>61</v>
      </c>
      <c r="M575" s="1" t="s">
        <v>1602</v>
      </c>
      <c r="N575" s="4" t="s">
        <v>33</v>
      </c>
      <c r="O575" s="1" t="s">
        <v>33</v>
      </c>
      <c r="P575" s="1">
        <v>4</v>
      </c>
      <c r="Q575" s="28" t="s">
        <v>1603</v>
      </c>
      <c r="R575" s="44" t="s">
        <v>1604</v>
      </c>
      <c r="S575" s="17" t="s">
        <v>1605</v>
      </c>
    </row>
    <row r="576" spans="1:19" ht="12.75">
      <c r="A576" s="41">
        <v>171</v>
      </c>
      <c r="B576" s="41">
        <v>2021</v>
      </c>
      <c r="C576" s="1" t="s">
        <v>102</v>
      </c>
      <c r="D576" s="42">
        <v>44434</v>
      </c>
      <c r="E576" s="1" t="s">
        <v>20</v>
      </c>
      <c r="F576" s="1" t="s">
        <v>47</v>
      </c>
      <c r="G576" s="41">
        <v>1</v>
      </c>
      <c r="H576" s="41">
        <v>1</v>
      </c>
      <c r="I576" s="41">
        <v>1</v>
      </c>
      <c r="J576" s="3" t="s">
        <v>30</v>
      </c>
      <c r="K576" s="3">
        <v>33129</v>
      </c>
      <c r="L576" s="3" t="s">
        <v>31</v>
      </c>
      <c r="M576" s="1" t="s">
        <v>1606</v>
      </c>
      <c r="N576" s="25" t="s">
        <v>33</v>
      </c>
      <c r="O576" s="1" t="s">
        <v>20</v>
      </c>
      <c r="P576" s="1">
        <v>0</v>
      </c>
      <c r="Q576" s="28" t="s">
        <v>1607</v>
      </c>
      <c r="R576" s="44" t="s">
        <v>1608</v>
      </c>
      <c r="S576" s="17" t="s">
        <v>1609</v>
      </c>
    </row>
    <row r="577" spans="1:19" ht="12.75">
      <c r="A577" s="41">
        <v>172</v>
      </c>
      <c r="B577" s="41">
        <v>2021</v>
      </c>
      <c r="C577" s="1" t="s">
        <v>102</v>
      </c>
      <c r="D577" s="42">
        <v>44439</v>
      </c>
      <c r="E577" s="1" t="s">
        <v>33</v>
      </c>
      <c r="F577" s="6" t="s">
        <v>1591</v>
      </c>
      <c r="G577" s="41">
        <v>2</v>
      </c>
      <c r="H577" s="41">
        <v>1</v>
      </c>
      <c r="I577" s="41">
        <v>1</v>
      </c>
      <c r="J577" s="3" t="s">
        <v>30</v>
      </c>
      <c r="K577" s="3">
        <v>32825</v>
      </c>
      <c r="L577" s="14" t="s">
        <v>61</v>
      </c>
      <c r="M577" s="1" t="s">
        <v>1592</v>
      </c>
      <c r="N577" s="4" t="s">
        <v>20</v>
      </c>
      <c r="O577" s="1" t="s">
        <v>33</v>
      </c>
      <c r="P577" s="1">
        <v>2</v>
      </c>
      <c r="Q577" s="28" t="s">
        <v>1610</v>
      </c>
      <c r="R577" s="44" t="s">
        <v>1611</v>
      </c>
      <c r="S577" s="26" t="s">
        <v>1612</v>
      </c>
    </row>
    <row r="578" spans="1:19" ht="12.75">
      <c r="A578" s="41">
        <v>173</v>
      </c>
      <c r="B578" s="41">
        <v>2021</v>
      </c>
      <c r="C578" s="1" t="s">
        <v>102</v>
      </c>
      <c r="D578" s="42">
        <v>44439</v>
      </c>
      <c r="E578" s="1" t="s">
        <v>20</v>
      </c>
      <c r="F578" s="1" t="s">
        <v>53</v>
      </c>
      <c r="G578" s="41">
        <v>1</v>
      </c>
      <c r="H578" s="41">
        <v>3</v>
      </c>
      <c r="I578" s="41">
        <v>1</v>
      </c>
      <c r="J578" s="3" t="s">
        <v>30</v>
      </c>
      <c r="K578" s="3">
        <v>30639</v>
      </c>
      <c r="L578" s="3" t="s">
        <v>61</v>
      </c>
      <c r="M578" s="1" t="s">
        <v>1287</v>
      </c>
      <c r="N578" s="4" t="s">
        <v>20</v>
      </c>
      <c r="O578" s="1" t="s">
        <v>20</v>
      </c>
      <c r="P578" s="1">
        <v>0</v>
      </c>
      <c r="Q578" s="28" t="s">
        <v>1613</v>
      </c>
      <c r="R578" s="44" t="s">
        <v>1614</v>
      </c>
      <c r="S578" s="17" t="s">
        <v>1615</v>
      </c>
    </row>
    <row r="579" spans="1:19" ht="12.75">
      <c r="A579" s="41">
        <v>173</v>
      </c>
      <c r="B579" s="41">
        <v>2021</v>
      </c>
      <c r="C579" s="1" t="s">
        <v>102</v>
      </c>
      <c r="D579" s="42">
        <v>44439</v>
      </c>
      <c r="E579" s="1" t="s">
        <v>20</v>
      </c>
      <c r="F579" s="1" t="s">
        <v>53</v>
      </c>
      <c r="G579" s="41">
        <v>1</v>
      </c>
      <c r="H579" s="41">
        <v>3</v>
      </c>
      <c r="I579" s="41">
        <v>2</v>
      </c>
      <c r="J579" s="3" t="s">
        <v>30</v>
      </c>
      <c r="K579" s="3">
        <v>32472</v>
      </c>
      <c r="L579" s="14" t="s">
        <v>61</v>
      </c>
      <c r="M579" s="1" t="s">
        <v>1283</v>
      </c>
      <c r="N579" s="4" t="s">
        <v>20</v>
      </c>
      <c r="O579" s="1" t="s">
        <v>23</v>
      </c>
      <c r="P579" s="1" t="s">
        <v>23</v>
      </c>
      <c r="Q579" s="7" t="s">
        <v>23</v>
      </c>
      <c r="R579" s="8" t="s">
        <v>23</v>
      </c>
      <c r="S579" s="20" t="s">
        <v>23</v>
      </c>
    </row>
    <row r="580" spans="1:19" ht="12.75">
      <c r="A580" s="41">
        <v>173</v>
      </c>
      <c r="B580" s="41">
        <v>2021</v>
      </c>
      <c r="C580" s="1" t="s">
        <v>102</v>
      </c>
      <c r="D580" s="42">
        <v>44439</v>
      </c>
      <c r="E580" s="1" t="s">
        <v>20</v>
      </c>
      <c r="F580" s="1" t="s">
        <v>53</v>
      </c>
      <c r="G580" s="41">
        <v>1</v>
      </c>
      <c r="H580" s="41">
        <v>3</v>
      </c>
      <c r="I580" s="41">
        <v>3</v>
      </c>
      <c r="J580" s="3" t="s">
        <v>30</v>
      </c>
      <c r="K580" s="3">
        <v>33129</v>
      </c>
      <c r="L580" s="3" t="s">
        <v>31</v>
      </c>
      <c r="M580" s="1" t="s">
        <v>1606</v>
      </c>
      <c r="N580" s="4" t="s">
        <v>20</v>
      </c>
      <c r="O580" s="1" t="s">
        <v>23</v>
      </c>
      <c r="P580" s="1" t="s">
        <v>23</v>
      </c>
      <c r="Q580" s="7" t="s">
        <v>23</v>
      </c>
      <c r="R580" s="8" t="s">
        <v>23</v>
      </c>
      <c r="S580" s="20" t="s">
        <v>23</v>
      </c>
    </row>
    <row r="581" spans="1:19" ht="12.75">
      <c r="A581" s="41">
        <v>174</v>
      </c>
      <c r="B581" s="41">
        <v>2021</v>
      </c>
      <c r="C581" s="1" t="s">
        <v>102</v>
      </c>
      <c r="D581" s="42">
        <v>44440</v>
      </c>
      <c r="E581" s="1" t="s">
        <v>20</v>
      </c>
      <c r="F581" s="1" t="s">
        <v>21</v>
      </c>
      <c r="G581" s="41">
        <v>1</v>
      </c>
      <c r="H581" s="41">
        <v>1</v>
      </c>
      <c r="I581" s="41">
        <v>1</v>
      </c>
      <c r="J581" s="3" t="s">
        <v>85</v>
      </c>
      <c r="K581" s="3">
        <v>33603</v>
      </c>
      <c r="L581" s="14" t="s">
        <v>61</v>
      </c>
      <c r="M581" s="1" t="s">
        <v>1616</v>
      </c>
      <c r="N581" s="4" t="s">
        <v>20</v>
      </c>
      <c r="O581" s="1" t="s">
        <v>20</v>
      </c>
      <c r="P581" s="1">
        <v>0</v>
      </c>
      <c r="Q581" s="28" t="s">
        <v>1617</v>
      </c>
      <c r="R581" s="44" t="s">
        <v>1618</v>
      </c>
      <c r="S581" s="17" t="s">
        <v>1619</v>
      </c>
    </row>
    <row r="582" spans="1:19" ht="12.75">
      <c r="A582" s="41">
        <v>175</v>
      </c>
      <c r="B582" s="41">
        <v>2021</v>
      </c>
      <c r="C582" s="1" t="s">
        <v>102</v>
      </c>
      <c r="D582" s="42">
        <v>44441</v>
      </c>
      <c r="E582" s="1" t="s">
        <v>20</v>
      </c>
      <c r="F582" s="1" t="s">
        <v>43</v>
      </c>
      <c r="G582" s="41">
        <v>1</v>
      </c>
      <c r="H582" s="41">
        <v>1</v>
      </c>
      <c r="I582" s="41">
        <v>1</v>
      </c>
      <c r="J582" s="3" t="s">
        <v>23</v>
      </c>
      <c r="K582" s="3" t="s">
        <v>23</v>
      </c>
      <c r="L582" s="3" t="s">
        <v>23</v>
      </c>
      <c r="M582" s="1" t="s">
        <v>1555</v>
      </c>
      <c r="N582" s="1" t="s">
        <v>23</v>
      </c>
      <c r="O582" s="1" t="s">
        <v>33</v>
      </c>
      <c r="P582" s="1">
        <v>7</v>
      </c>
      <c r="Q582" s="28" t="s">
        <v>1620</v>
      </c>
      <c r="R582" s="44" t="s">
        <v>1621</v>
      </c>
      <c r="S582" s="17" t="s">
        <v>1622</v>
      </c>
    </row>
    <row r="583" spans="1:19" ht="12.75">
      <c r="A583" s="41">
        <v>176</v>
      </c>
      <c r="B583" s="41">
        <v>2021</v>
      </c>
      <c r="C583" s="1" t="s">
        <v>102</v>
      </c>
      <c r="D583" s="42">
        <v>44441</v>
      </c>
      <c r="E583" s="1" t="s">
        <v>20</v>
      </c>
      <c r="F583" s="1" t="s">
        <v>96</v>
      </c>
      <c r="G583" s="41">
        <v>1</v>
      </c>
      <c r="H583" s="41">
        <v>1</v>
      </c>
      <c r="I583" s="41">
        <v>1</v>
      </c>
      <c r="J583" s="3" t="s">
        <v>23</v>
      </c>
      <c r="K583" s="3" t="s">
        <v>23</v>
      </c>
      <c r="L583" s="3" t="s">
        <v>23</v>
      </c>
      <c r="M583" s="1" t="s">
        <v>1623</v>
      </c>
      <c r="N583" s="1" t="s">
        <v>23</v>
      </c>
      <c r="O583" s="1" t="s">
        <v>33</v>
      </c>
      <c r="P583" s="1">
        <v>1</v>
      </c>
      <c r="Q583" s="7" t="s">
        <v>23</v>
      </c>
      <c r="R583" s="44" t="s">
        <v>1624</v>
      </c>
      <c r="S583" s="17" t="s">
        <v>1625</v>
      </c>
    </row>
    <row r="584" spans="1:19" ht="12.75">
      <c r="A584" s="41">
        <v>177</v>
      </c>
      <c r="B584" s="41">
        <v>2021</v>
      </c>
      <c r="C584" s="1" t="s">
        <v>102</v>
      </c>
      <c r="D584" s="42">
        <v>44441</v>
      </c>
      <c r="E584" s="1" t="s">
        <v>20</v>
      </c>
      <c r="F584" s="1" t="s">
        <v>47</v>
      </c>
      <c r="G584" s="41">
        <v>1</v>
      </c>
      <c r="H584" s="41">
        <v>1</v>
      </c>
      <c r="I584" s="41">
        <v>1</v>
      </c>
      <c r="J584" s="3" t="s">
        <v>30</v>
      </c>
      <c r="K584" s="3">
        <v>33149</v>
      </c>
      <c r="L584" s="3" t="s">
        <v>31</v>
      </c>
      <c r="M584" s="1" t="s">
        <v>1626</v>
      </c>
      <c r="N584" s="25" t="s">
        <v>33</v>
      </c>
      <c r="O584" s="1" t="s">
        <v>20</v>
      </c>
      <c r="P584" s="1">
        <v>0</v>
      </c>
      <c r="Q584" s="28" t="s">
        <v>1627</v>
      </c>
      <c r="R584" s="44" t="s">
        <v>1628</v>
      </c>
      <c r="S584" s="17" t="s">
        <v>1629</v>
      </c>
    </row>
    <row r="585" spans="1:19" ht="12.75">
      <c r="A585" s="41">
        <v>178</v>
      </c>
      <c r="B585" s="41">
        <v>2021</v>
      </c>
      <c r="C585" s="1" t="s">
        <v>102</v>
      </c>
      <c r="D585" s="42">
        <v>44453</v>
      </c>
      <c r="E585" s="1" t="s">
        <v>33</v>
      </c>
      <c r="F585" s="6" t="s">
        <v>1591</v>
      </c>
      <c r="G585" s="41">
        <v>2</v>
      </c>
      <c r="H585" s="41">
        <v>1</v>
      </c>
      <c r="I585" s="41">
        <v>1</v>
      </c>
      <c r="J585" s="3" t="s">
        <v>30</v>
      </c>
      <c r="K585" s="3">
        <v>32825</v>
      </c>
      <c r="L585" s="14" t="s">
        <v>61</v>
      </c>
      <c r="M585" s="1" t="s">
        <v>1592</v>
      </c>
      <c r="N585" s="4" t="s">
        <v>20</v>
      </c>
      <c r="O585" s="1" t="s">
        <v>33</v>
      </c>
      <c r="P585" s="1">
        <v>5</v>
      </c>
      <c r="Q585" s="28" t="s">
        <v>1630</v>
      </c>
      <c r="R585" s="44" t="s">
        <v>1631</v>
      </c>
      <c r="S585" s="26" t="s">
        <v>1632</v>
      </c>
    </row>
    <row r="586" spans="1:19" ht="12.75">
      <c r="A586" s="41">
        <v>179</v>
      </c>
      <c r="B586" s="41">
        <v>2021</v>
      </c>
      <c r="C586" s="1" t="s">
        <v>102</v>
      </c>
      <c r="D586" s="42">
        <v>44453</v>
      </c>
      <c r="E586" s="1" t="s">
        <v>20</v>
      </c>
      <c r="F586" s="1" t="s">
        <v>53</v>
      </c>
      <c r="G586" s="41">
        <v>1</v>
      </c>
      <c r="H586" s="41">
        <v>1</v>
      </c>
      <c r="I586" s="41">
        <v>1</v>
      </c>
      <c r="J586" s="3" t="s">
        <v>30</v>
      </c>
      <c r="K586" s="3">
        <v>33149</v>
      </c>
      <c r="L586" s="3" t="s">
        <v>31</v>
      </c>
      <c r="M586" s="1" t="s">
        <v>1633</v>
      </c>
      <c r="N586" s="4" t="s">
        <v>20</v>
      </c>
      <c r="O586" s="1" t="s">
        <v>20</v>
      </c>
      <c r="P586" s="1">
        <v>0</v>
      </c>
      <c r="Q586" s="28" t="s">
        <v>1634</v>
      </c>
      <c r="R586" s="44" t="s">
        <v>1635</v>
      </c>
      <c r="S586" s="17" t="s">
        <v>1636</v>
      </c>
    </row>
    <row r="587" spans="1:19" ht="12.75">
      <c r="A587" s="41">
        <v>180</v>
      </c>
      <c r="B587" s="41">
        <v>2021</v>
      </c>
      <c r="C587" s="1" t="s">
        <v>102</v>
      </c>
      <c r="D587" s="42">
        <v>44453</v>
      </c>
      <c r="E587" s="1" t="s">
        <v>20</v>
      </c>
      <c r="F587" s="1" t="s">
        <v>190</v>
      </c>
      <c r="G587" s="41">
        <v>1</v>
      </c>
      <c r="H587" s="41">
        <v>1</v>
      </c>
      <c r="I587" s="41">
        <v>1</v>
      </c>
      <c r="J587" s="3" t="s">
        <v>30</v>
      </c>
      <c r="K587" s="3">
        <v>32770</v>
      </c>
      <c r="L587" s="14" t="s">
        <v>61</v>
      </c>
      <c r="M587" s="1" t="s">
        <v>1637</v>
      </c>
      <c r="N587" s="4" t="s">
        <v>20</v>
      </c>
      <c r="O587" s="1" t="s">
        <v>20</v>
      </c>
      <c r="P587" s="1">
        <v>0</v>
      </c>
      <c r="Q587" s="28" t="s">
        <v>1638</v>
      </c>
      <c r="R587" s="44" t="s">
        <v>1639</v>
      </c>
      <c r="S587" s="17" t="s">
        <v>1640</v>
      </c>
    </row>
    <row r="588" spans="1:19" ht="12.75">
      <c r="A588" s="41">
        <v>181</v>
      </c>
      <c r="B588" s="41">
        <v>2021</v>
      </c>
      <c r="C588" s="1" t="s">
        <v>102</v>
      </c>
      <c r="D588" s="42">
        <v>44453</v>
      </c>
      <c r="E588" s="1" t="s">
        <v>20</v>
      </c>
      <c r="F588" s="1" t="s">
        <v>37</v>
      </c>
      <c r="G588" s="41">
        <v>1</v>
      </c>
      <c r="H588" s="41">
        <v>2</v>
      </c>
      <c r="I588" s="41">
        <v>1</v>
      </c>
      <c r="J588" s="3" t="s">
        <v>64</v>
      </c>
      <c r="K588" s="3">
        <v>33564</v>
      </c>
      <c r="L588" s="3" t="s">
        <v>31</v>
      </c>
      <c r="M588" s="1" t="s">
        <v>1641</v>
      </c>
      <c r="N588" s="4" t="s">
        <v>33</v>
      </c>
      <c r="O588" s="1" t="s">
        <v>20</v>
      </c>
      <c r="P588" s="1">
        <v>0</v>
      </c>
      <c r="Q588" s="28" t="s">
        <v>1642</v>
      </c>
      <c r="R588" s="44" t="s">
        <v>1643</v>
      </c>
      <c r="S588" s="17" t="s">
        <v>1644</v>
      </c>
    </row>
    <row r="589" spans="1:19" ht="12.75">
      <c r="A589" s="41">
        <v>181</v>
      </c>
      <c r="B589" s="41">
        <v>2021</v>
      </c>
      <c r="C589" s="1" t="s">
        <v>102</v>
      </c>
      <c r="D589" s="42">
        <v>44453</v>
      </c>
      <c r="E589" s="1" t="s">
        <v>20</v>
      </c>
      <c r="F589" s="1" t="s">
        <v>37</v>
      </c>
      <c r="G589" s="41">
        <v>1</v>
      </c>
      <c r="H589" s="41">
        <v>2</v>
      </c>
      <c r="I589" s="41">
        <v>2</v>
      </c>
      <c r="J589" s="3" t="s">
        <v>64</v>
      </c>
      <c r="K589" s="3">
        <v>33565</v>
      </c>
      <c r="L589" s="3" t="s">
        <v>31</v>
      </c>
      <c r="M589" s="1" t="s">
        <v>1645</v>
      </c>
      <c r="N589" s="4" t="s">
        <v>33</v>
      </c>
      <c r="O589" s="1" t="s">
        <v>23</v>
      </c>
      <c r="P589" s="1" t="s">
        <v>23</v>
      </c>
      <c r="Q589" s="7" t="s">
        <v>23</v>
      </c>
      <c r="R589" s="8" t="s">
        <v>23</v>
      </c>
      <c r="S589" s="20" t="s">
        <v>23</v>
      </c>
    </row>
    <row r="590" spans="1:19" ht="12.75">
      <c r="A590" s="41">
        <v>182</v>
      </c>
      <c r="B590" s="41">
        <v>2021</v>
      </c>
      <c r="C590" s="1" t="s">
        <v>102</v>
      </c>
      <c r="D590" s="42">
        <v>44455</v>
      </c>
      <c r="E590" s="1" t="s">
        <v>33</v>
      </c>
      <c r="F590" s="6" t="s">
        <v>1577</v>
      </c>
      <c r="G590" s="41">
        <v>2</v>
      </c>
      <c r="H590" s="41">
        <v>2</v>
      </c>
      <c r="I590" s="41">
        <v>1</v>
      </c>
      <c r="J590" s="3" t="s">
        <v>30</v>
      </c>
      <c r="K590" s="3">
        <v>30511</v>
      </c>
      <c r="L590" s="14" t="s">
        <v>61</v>
      </c>
      <c r="M590" s="1" t="s">
        <v>1582</v>
      </c>
      <c r="N590" s="4" t="s">
        <v>20</v>
      </c>
      <c r="O590" s="1" t="s">
        <v>33</v>
      </c>
      <c r="P590" s="1">
        <v>1</v>
      </c>
      <c r="Q590" s="32" t="s">
        <v>1646</v>
      </c>
      <c r="R590" s="44" t="s">
        <v>1647</v>
      </c>
      <c r="S590" s="26" t="s">
        <v>1648</v>
      </c>
    </row>
    <row r="591" spans="1:19" ht="12.75">
      <c r="A591" s="41">
        <v>182</v>
      </c>
      <c r="B591" s="41">
        <v>2021</v>
      </c>
      <c r="C591" s="1" t="s">
        <v>102</v>
      </c>
      <c r="D591" s="42">
        <v>44455</v>
      </c>
      <c r="E591" s="1" t="s">
        <v>33</v>
      </c>
      <c r="F591" s="6" t="s">
        <v>1577</v>
      </c>
      <c r="G591" s="41">
        <v>2</v>
      </c>
      <c r="H591" s="41">
        <v>2</v>
      </c>
      <c r="I591" s="41">
        <v>2</v>
      </c>
      <c r="J591" s="3" t="s">
        <v>30</v>
      </c>
      <c r="K591" s="3">
        <v>33273</v>
      </c>
      <c r="L591" s="3" t="s">
        <v>61</v>
      </c>
      <c r="M591" s="1" t="s">
        <v>1578</v>
      </c>
      <c r="N591" s="4" t="s">
        <v>20</v>
      </c>
      <c r="O591" s="1" t="s">
        <v>23</v>
      </c>
      <c r="P591" s="1" t="s">
        <v>23</v>
      </c>
      <c r="Q591" s="7" t="s">
        <v>23</v>
      </c>
      <c r="R591" s="8" t="s">
        <v>23</v>
      </c>
      <c r="S591" s="20" t="s">
        <v>23</v>
      </c>
    </row>
    <row r="592" spans="1:19" ht="12.75">
      <c r="A592" s="41">
        <v>183</v>
      </c>
      <c r="B592" s="41">
        <v>2021</v>
      </c>
      <c r="C592" s="1" t="s">
        <v>102</v>
      </c>
      <c r="D592" s="42">
        <v>44455</v>
      </c>
      <c r="E592" s="1" t="s">
        <v>33</v>
      </c>
      <c r="F592" s="6" t="s">
        <v>1649</v>
      </c>
      <c r="G592" s="41">
        <v>3</v>
      </c>
      <c r="H592" s="41">
        <v>1</v>
      </c>
      <c r="I592" s="41">
        <v>1</v>
      </c>
      <c r="J592" s="3" t="s">
        <v>30</v>
      </c>
      <c r="K592" s="3">
        <v>30707</v>
      </c>
      <c r="L592" s="14" t="s">
        <v>61</v>
      </c>
      <c r="M592" s="1" t="s">
        <v>1650</v>
      </c>
      <c r="N592" s="4" t="s">
        <v>20</v>
      </c>
      <c r="O592" s="1" t="s">
        <v>20</v>
      </c>
      <c r="P592" s="1">
        <v>0</v>
      </c>
      <c r="Q592" s="28" t="s">
        <v>1651</v>
      </c>
      <c r="R592" s="44" t="s">
        <v>1652</v>
      </c>
      <c r="S592" s="26" t="s">
        <v>1653</v>
      </c>
    </row>
    <row r="593" spans="1:19" ht="12.75">
      <c r="A593" s="41">
        <v>184</v>
      </c>
      <c r="B593" s="41">
        <v>2021</v>
      </c>
      <c r="C593" s="1" t="s">
        <v>102</v>
      </c>
      <c r="D593" s="42">
        <v>44455</v>
      </c>
      <c r="E593" s="1" t="s">
        <v>20</v>
      </c>
      <c r="F593" s="1" t="s">
        <v>47</v>
      </c>
      <c r="G593" s="41">
        <v>1</v>
      </c>
      <c r="H593" s="41">
        <v>1</v>
      </c>
      <c r="I593" s="41">
        <v>1</v>
      </c>
      <c r="J593" s="3" t="s">
        <v>30</v>
      </c>
      <c r="K593" s="3">
        <v>33155</v>
      </c>
      <c r="L593" s="3" t="s">
        <v>31</v>
      </c>
      <c r="M593" s="1" t="s">
        <v>1654</v>
      </c>
      <c r="N593" s="25" t="s">
        <v>33</v>
      </c>
      <c r="O593" s="1" t="s">
        <v>20</v>
      </c>
      <c r="P593" s="1">
        <v>0</v>
      </c>
      <c r="Q593" s="28" t="s">
        <v>1655</v>
      </c>
      <c r="R593" s="45" t="s">
        <v>23</v>
      </c>
      <c r="S593" s="17" t="s">
        <v>1656</v>
      </c>
    </row>
    <row r="594" spans="1:19" ht="12.75">
      <c r="A594" s="41">
        <v>185</v>
      </c>
      <c r="B594" s="41">
        <v>2021</v>
      </c>
      <c r="C594" s="1" t="s">
        <v>102</v>
      </c>
      <c r="D594" s="42">
        <v>44460</v>
      </c>
      <c r="E594" s="1" t="s">
        <v>33</v>
      </c>
      <c r="F594" s="6" t="s">
        <v>1591</v>
      </c>
      <c r="G594" s="41">
        <v>2</v>
      </c>
      <c r="H594" s="41">
        <v>1</v>
      </c>
      <c r="I594" s="41">
        <v>1</v>
      </c>
      <c r="J594" s="3" t="s">
        <v>30</v>
      </c>
      <c r="K594" s="3">
        <v>32825</v>
      </c>
      <c r="L594" s="14" t="s">
        <v>61</v>
      </c>
      <c r="M594" s="1" t="s">
        <v>1592</v>
      </c>
      <c r="N594" s="4" t="s">
        <v>33</v>
      </c>
      <c r="O594" s="1" t="s">
        <v>20</v>
      </c>
      <c r="P594" s="1">
        <v>0</v>
      </c>
      <c r="Q594" s="28" t="s">
        <v>1657</v>
      </c>
      <c r="R594" s="44" t="s">
        <v>1658</v>
      </c>
      <c r="S594" s="26" t="s">
        <v>1659</v>
      </c>
    </row>
    <row r="595" spans="1:19" ht="12.75">
      <c r="A595" s="41">
        <v>186</v>
      </c>
      <c r="B595" s="41">
        <v>2021</v>
      </c>
      <c r="C595" s="1" t="s">
        <v>102</v>
      </c>
      <c r="D595" s="42">
        <v>44460</v>
      </c>
      <c r="E595" s="1" t="s">
        <v>33</v>
      </c>
      <c r="F595" s="6" t="s">
        <v>1660</v>
      </c>
      <c r="G595" s="41">
        <v>2</v>
      </c>
      <c r="H595" s="41">
        <v>1</v>
      </c>
      <c r="I595" s="41">
        <v>1</v>
      </c>
      <c r="J595" s="3" t="s">
        <v>30</v>
      </c>
      <c r="K595" s="3">
        <v>33548</v>
      </c>
      <c r="L595" s="3" t="s">
        <v>31</v>
      </c>
      <c r="M595" s="1" t="s">
        <v>1661</v>
      </c>
      <c r="N595" s="4" t="s">
        <v>33</v>
      </c>
      <c r="O595" s="1" t="s">
        <v>33</v>
      </c>
      <c r="P595" s="1">
        <v>3</v>
      </c>
      <c r="Q595" s="28" t="s">
        <v>1662</v>
      </c>
      <c r="R595" s="44" t="s">
        <v>1663</v>
      </c>
      <c r="S595" s="26" t="s">
        <v>1664</v>
      </c>
    </row>
    <row r="596" spans="1:19" ht="12.75">
      <c r="A596" s="41">
        <v>187</v>
      </c>
      <c r="B596" s="41">
        <v>2021</v>
      </c>
      <c r="C596" s="1" t="s">
        <v>102</v>
      </c>
      <c r="D596" s="42">
        <v>44460</v>
      </c>
      <c r="E596" s="1" t="s">
        <v>33</v>
      </c>
      <c r="F596" s="6" t="s">
        <v>1665</v>
      </c>
      <c r="G596" s="41">
        <v>2</v>
      </c>
      <c r="H596" s="41">
        <v>1</v>
      </c>
      <c r="I596" s="41">
        <v>1</v>
      </c>
      <c r="J596" s="3" t="s">
        <v>30</v>
      </c>
      <c r="K596" s="3">
        <v>33211</v>
      </c>
      <c r="L596" s="3" t="s">
        <v>61</v>
      </c>
      <c r="M596" s="1" t="s">
        <v>1666</v>
      </c>
      <c r="N596" s="4" t="s">
        <v>20</v>
      </c>
      <c r="O596" s="1" t="s">
        <v>20</v>
      </c>
      <c r="P596" s="1">
        <v>0</v>
      </c>
      <c r="Q596" s="28" t="s">
        <v>1667</v>
      </c>
      <c r="R596" s="44" t="s">
        <v>1668</v>
      </c>
      <c r="S596" s="26" t="s">
        <v>1669</v>
      </c>
    </row>
    <row r="597" spans="1:19" ht="12.75">
      <c r="A597" s="41">
        <v>188</v>
      </c>
      <c r="B597" s="41">
        <v>2021</v>
      </c>
      <c r="C597" s="1" t="s">
        <v>102</v>
      </c>
      <c r="D597" s="42">
        <v>44462</v>
      </c>
      <c r="E597" s="1" t="s">
        <v>20</v>
      </c>
      <c r="F597" s="1" t="s">
        <v>55</v>
      </c>
      <c r="G597" s="41">
        <v>1</v>
      </c>
      <c r="H597" s="41">
        <v>1</v>
      </c>
      <c r="I597" s="41">
        <v>1</v>
      </c>
      <c r="J597" s="3" t="s">
        <v>23</v>
      </c>
      <c r="K597" s="3" t="s">
        <v>23</v>
      </c>
      <c r="L597" s="3" t="s">
        <v>23</v>
      </c>
      <c r="M597" s="1" t="s">
        <v>1670</v>
      </c>
      <c r="N597" s="1" t="s">
        <v>23</v>
      </c>
      <c r="O597" s="1" t="s">
        <v>33</v>
      </c>
      <c r="P597" s="1">
        <v>1</v>
      </c>
      <c r="Q597" s="28" t="s">
        <v>1671</v>
      </c>
      <c r="R597" s="44" t="s">
        <v>1672</v>
      </c>
      <c r="S597" s="17" t="s">
        <v>1673</v>
      </c>
    </row>
    <row r="598" spans="1:19" ht="12.75">
      <c r="A598" s="41">
        <v>189</v>
      </c>
      <c r="B598" s="41">
        <v>2021</v>
      </c>
      <c r="C598" s="1" t="s">
        <v>102</v>
      </c>
      <c r="D598" s="42">
        <v>44462</v>
      </c>
      <c r="E598" s="1" t="s">
        <v>20</v>
      </c>
      <c r="F598" s="1" t="s">
        <v>37</v>
      </c>
      <c r="G598" s="41">
        <v>1</v>
      </c>
      <c r="H598" s="41">
        <v>1</v>
      </c>
      <c r="I598" s="41">
        <v>1</v>
      </c>
      <c r="J598" s="3" t="s">
        <v>64</v>
      </c>
      <c r="K598" s="3">
        <v>33650</v>
      </c>
      <c r="L598" s="3" t="s">
        <v>31</v>
      </c>
      <c r="M598" s="1" t="s">
        <v>1674</v>
      </c>
      <c r="N598" s="4" t="s">
        <v>33</v>
      </c>
      <c r="O598" s="1" t="s">
        <v>20</v>
      </c>
      <c r="P598" s="1">
        <v>0</v>
      </c>
      <c r="Q598" s="28" t="s">
        <v>1675</v>
      </c>
      <c r="R598" s="44" t="s">
        <v>1676</v>
      </c>
      <c r="S598" s="17" t="s">
        <v>1677</v>
      </c>
    </row>
    <row r="599" spans="1:19" ht="12.75">
      <c r="A599" s="41">
        <v>190</v>
      </c>
      <c r="B599" s="41">
        <v>2021</v>
      </c>
      <c r="C599" s="1" t="s">
        <v>102</v>
      </c>
      <c r="D599" s="42">
        <v>44462</v>
      </c>
      <c r="E599" s="1" t="s">
        <v>20</v>
      </c>
      <c r="F599" s="1" t="s">
        <v>73</v>
      </c>
      <c r="G599" s="41">
        <v>1</v>
      </c>
      <c r="H599" s="41">
        <v>3</v>
      </c>
      <c r="I599" s="41">
        <v>1</v>
      </c>
      <c r="J599" s="3" t="s">
        <v>30</v>
      </c>
      <c r="K599" s="3">
        <v>30515</v>
      </c>
      <c r="L599" s="14" t="s">
        <v>61</v>
      </c>
      <c r="M599" s="1" t="s">
        <v>1678</v>
      </c>
      <c r="N599" s="4" t="s">
        <v>20</v>
      </c>
      <c r="O599" s="1" t="s">
        <v>20</v>
      </c>
      <c r="P599" s="1">
        <v>0</v>
      </c>
      <c r="Q599" s="28" t="s">
        <v>1679</v>
      </c>
      <c r="R599" s="44" t="s">
        <v>1680</v>
      </c>
      <c r="S599" s="17" t="s">
        <v>1681</v>
      </c>
    </row>
    <row r="600" spans="1:19" ht="12.75">
      <c r="A600" s="41">
        <v>190</v>
      </c>
      <c r="B600" s="41">
        <v>2021</v>
      </c>
      <c r="C600" s="1" t="s">
        <v>102</v>
      </c>
      <c r="D600" s="42">
        <v>44462</v>
      </c>
      <c r="E600" s="1" t="s">
        <v>20</v>
      </c>
      <c r="F600" s="1" t="s">
        <v>73</v>
      </c>
      <c r="G600" s="41">
        <v>1</v>
      </c>
      <c r="H600" s="41">
        <v>3</v>
      </c>
      <c r="I600" s="41">
        <v>2</v>
      </c>
      <c r="J600" s="3" t="s">
        <v>85</v>
      </c>
      <c r="K600" s="3">
        <v>33712</v>
      </c>
      <c r="L600" s="14" t="s">
        <v>61</v>
      </c>
      <c r="M600" s="1" t="s">
        <v>1682</v>
      </c>
      <c r="N600" s="4" t="s">
        <v>33</v>
      </c>
      <c r="O600" s="1" t="s">
        <v>23</v>
      </c>
      <c r="P600" s="1" t="s">
        <v>23</v>
      </c>
      <c r="Q600" s="7" t="s">
        <v>23</v>
      </c>
      <c r="R600" s="8" t="s">
        <v>23</v>
      </c>
      <c r="S600" s="20" t="s">
        <v>23</v>
      </c>
    </row>
    <row r="601" spans="1:19" ht="12.75">
      <c r="A601" s="41">
        <v>190</v>
      </c>
      <c r="B601" s="41">
        <v>2021</v>
      </c>
      <c r="C601" s="1" t="s">
        <v>102</v>
      </c>
      <c r="D601" s="42">
        <v>44462</v>
      </c>
      <c r="E601" s="1" t="s">
        <v>20</v>
      </c>
      <c r="F601" s="1" t="s">
        <v>73</v>
      </c>
      <c r="G601" s="41">
        <v>1</v>
      </c>
      <c r="H601" s="41">
        <v>3</v>
      </c>
      <c r="I601" s="41">
        <v>3</v>
      </c>
      <c r="J601" s="3" t="s">
        <v>85</v>
      </c>
      <c r="K601" s="3">
        <v>33725</v>
      </c>
      <c r="L601" s="3" t="s">
        <v>61</v>
      </c>
      <c r="M601" s="1" t="s">
        <v>1683</v>
      </c>
      <c r="N601" s="4" t="s">
        <v>33</v>
      </c>
      <c r="O601" s="1" t="s">
        <v>23</v>
      </c>
      <c r="P601" s="1" t="s">
        <v>23</v>
      </c>
      <c r="Q601" s="7" t="s">
        <v>23</v>
      </c>
      <c r="R601" s="8" t="s">
        <v>23</v>
      </c>
      <c r="S601" s="20" t="s">
        <v>23</v>
      </c>
    </row>
    <row r="602" spans="1:19" ht="12.75">
      <c r="A602" s="41">
        <v>191</v>
      </c>
      <c r="B602" s="41">
        <v>2021</v>
      </c>
      <c r="C602" s="1" t="s">
        <v>102</v>
      </c>
      <c r="D602" s="42">
        <v>44462</v>
      </c>
      <c r="E602" s="1" t="s">
        <v>33</v>
      </c>
      <c r="F602" s="6" t="s">
        <v>1649</v>
      </c>
      <c r="G602" s="41">
        <v>3</v>
      </c>
      <c r="H602" s="41">
        <v>1</v>
      </c>
      <c r="I602" s="41">
        <v>1</v>
      </c>
      <c r="J602" s="3" t="s">
        <v>30</v>
      </c>
      <c r="K602" s="3">
        <v>30707</v>
      </c>
      <c r="L602" s="14" t="s">
        <v>61</v>
      </c>
      <c r="M602" s="1" t="s">
        <v>1650</v>
      </c>
      <c r="N602" s="4" t="s">
        <v>20</v>
      </c>
      <c r="O602" s="1" t="s">
        <v>33</v>
      </c>
      <c r="P602" s="1">
        <v>3</v>
      </c>
      <c r="Q602" s="28" t="s">
        <v>1684</v>
      </c>
      <c r="R602" s="44" t="s">
        <v>1685</v>
      </c>
      <c r="S602" s="26" t="s">
        <v>1686</v>
      </c>
    </row>
    <row r="603" spans="1:19" ht="12.75">
      <c r="A603" s="41">
        <v>192</v>
      </c>
      <c r="B603" s="41">
        <v>2021</v>
      </c>
      <c r="C603" s="1" t="s">
        <v>102</v>
      </c>
      <c r="D603" s="42">
        <v>44467</v>
      </c>
      <c r="E603" s="1" t="s">
        <v>33</v>
      </c>
      <c r="F603" s="6" t="s">
        <v>1039</v>
      </c>
      <c r="G603" s="41">
        <v>2</v>
      </c>
      <c r="H603" s="41">
        <v>1</v>
      </c>
      <c r="I603" s="41">
        <v>1</v>
      </c>
      <c r="J603" s="3" t="s">
        <v>30</v>
      </c>
      <c r="K603" s="3">
        <v>33582</v>
      </c>
      <c r="L603" s="3" t="s">
        <v>31</v>
      </c>
      <c r="M603" s="1" t="s">
        <v>1687</v>
      </c>
      <c r="N603" s="4" t="s">
        <v>20</v>
      </c>
      <c r="O603" s="1" t="s">
        <v>20</v>
      </c>
      <c r="P603" s="1">
        <v>0</v>
      </c>
      <c r="Q603" s="28" t="s">
        <v>1688</v>
      </c>
      <c r="R603" s="44" t="s">
        <v>1689</v>
      </c>
      <c r="S603" s="26" t="s">
        <v>1690</v>
      </c>
    </row>
    <row r="604" spans="1:19" ht="12.75">
      <c r="A604" s="41">
        <v>193</v>
      </c>
      <c r="B604" s="41">
        <v>2021</v>
      </c>
      <c r="C604" s="1" t="s">
        <v>102</v>
      </c>
      <c r="D604" s="42">
        <v>44467</v>
      </c>
      <c r="E604" s="1" t="s">
        <v>20</v>
      </c>
      <c r="F604" s="1" t="s">
        <v>39</v>
      </c>
      <c r="G604" s="41">
        <v>1</v>
      </c>
      <c r="H604" s="41">
        <v>1</v>
      </c>
      <c r="I604" s="41">
        <v>1</v>
      </c>
      <c r="J604" s="3" t="s">
        <v>23</v>
      </c>
      <c r="K604" s="3" t="s">
        <v>23</v>
      </c>
      <c r="L604" s="3" t="s">
        <v>23</v>
      </c>
      <c r="M604" s="1" t="s">
        <v>1691</v>
      </c>
      <c r="N604" s="1" t="s">
        <v>23</v>
      </c>
      <c r="O604" s="1" t="s">
        <v>33</v>
      </c>
      <c r="P604" s="1">
        <v>2</v>
      </c>
      <c r="Q604" s="28" t="s">
        <v>1692</v>
      </c>
      <c r="R604" s="44" t="s">
        <v>1693</v>
      </c>
      <c r="S604" s="17" t="s">
        <v>1694</v>
      </c>
    </row>
    <row r="605" spans="1:19" ht="12.75">
      <c r="A605" s="41">
        <v>194</v>
      </c>
      <c r="B605" s="41">
        <v>2021</v>
      </c>
      <c r="C605" s="1" t="s">
        <v>102</v>
      </c>
      <c r="D605" s="42">
        <v>44467</v>
      </c>
      <c r="E605" s="1" t="s">
        <v>20</v>
      </c>
      <c r="F605" s="1" t="s">
        <v>37</v>
      </c>
      <c r="G605" s="41">
        <v>1</v>
      </c>
      <c r="H605" s="41">
        <v>3</v>
      </c>
      <c r="I605" s="41">
        <v>1</v>
      </c>
      <c r="J605" s="3" t="s">
        <v>64</v>
      </c>
      <c r="K605" s="3">
        <v>33697</v>
      </c>
      <c r="L605" s="3" t="s">
        <v>31</v>
      </c>
      <c r="M605" s="1" t="s">
        <v>1695</v>
      </c>
      <c r="N605" s="4" t="s">
        <v>33</v>
      </c>
      <c r="O605" s="1" t="s">
        <v>20</v>
      </c>
      <c r="P605" s="1">
        <v>0</v>
      </c>
      <c r="Q605" s="28" t="s">
        <v>1696</v>
      </c>
      <c r="R605" s="44" t="s">
        <v>1697</v>
      </c>
      <c r="S605" s="17" t="s">
        <v>1698</v>
      </c>
    </row>
    <row r="606" spans="1:19" ht="12.75">
      <c r="A606" s="41">
        <v>194</v>
      </c>
      <c r="B606" s="41">
        <v>2021</v>
      </c>
      <c r="C606" s="1" t="s">
        <v>102</v>
      </c>
      <c r="D606" s="42">
        <v>44467</v>
      </c>
      <c r="E606" s="1" t="s">
        <v>20</v>
      </c>
      <c r="F606" s="1" t="s">
        <v>37</v>
      </c>
      <c r="G606" s="41">
        <v>1</v>
      </c>
      <c r="H606" s="41">
        <v>3</v>
      </c>
      <c r="I606" s="41">
        <v>2</v>
      </c>
      <c r="J606" s="3" t="s">
        <v>64</v>
      </c>
      <c r="K606" s="3">
        <v>33698</v>
      </c>
      <c r="L606" s="3" t="s">
        <v>31</v>
      </c>
      <c r="M606" s="1" t="s">
        <v>1699</v>
      </c>
      <c r="N606" s="4" t="s">
        <v>33</v>
      </c>
      <c r="O606" s="1" t="s">
        <v>23</v>
      </c>
      <c r="P606" s="1" t="s">
        <v>23</v>
      </c>
      <c r="Q606" s="7" t="s">
        <v>23</v>
      </c>
      <c r="R606" s="8" t="s">
        <v>23</v>
      </c>
      <c r="S606" s="20" t="s">
        <v>23</v>
      </c>
    </row>
    <row r="607" spans="1:19" ht="12.75">
      <c r="A607" s="41">
        <v>194</v>
      </c>
      <c r="B607" s="41">
        <v>2021</v>
      </c>
      <c r="C607" s="1" t="s">
        <v>102</v>
      </c>
      <c r="D607" s="42">
        <v>44467</v>
      </c>
      <c r="E607" s="1" t="s">
        <v>20</v>
      </c>
      <c r="F607" s="1" t="s">
        <v>37</v>
      </c>
      <c r="G607" s="41">
        <v>1</v>
      </c>
      <c r="H607" s="41">
        <v>3</v>
      </c>
      <c r="I607" s="41">
        <v>3</v>
      </c>
      <c r="J607" s="3" t="s">
        <v>30</v>
      </c>
      <c r="K607" s="3">
        <v>30515</v>
      </c>
      <c r="L607" s="14" t="s">
        <v>61</v>
      </c>
      <c r="M607" s="1" t="s">
        <v>1678</v>
      </c>
      <c r="N607" s="4" t="s">
        <v>33</v>
      </c>
      <c r="O607" s="1" t="s">
        <v>23</v>
      </c>
      <c r="P607" s="1" t="s">
        <v>23</v>
      </c>
      <c r="Q607" s="7" t="s">
        <v>23</v>
      </c>
      <c r="R607" s="8" t="s">
        <v>23</v>
      </c>
      <c r="S607" s="20" t="s">
        <v>23</v>
      </c>
    </row>
    <row r="608" spans="1:19" ht="12.75">
      <c r="A608" s="41">
        <v>195</v>
      </c>
      <c r="B608" s="41">
        <v>2021</v>
      </c>
      <c r="C608" s="1" t="s">
        <v>19</v>
      </c>
      <c r="D608" s="42">
        <v>44469</v>
      </c>
      <c r="E608" s="1" t="s">
        <v>33</v>
      </c>
      <c r="F608" s="6" t="s">
        <v>1700</v>
      </c>
      <c r="G608" s="41">
        <v>3</v>
      </c>
      <c r="H608" s="41">
        <v>1</v>
      </c>
      <c r="I608" s="41">
        <v>1</v>
      </c>
      <c r="J608" s="3" t="s">
        <v>23</v>
      </c>
      <c r="K608" s="3" t="s">
        <v>23</v>
      </c>
      <c r="L608" s="3" t="s">
        <v>23</v>
      </c>
      <c r="M608" s="1" t="s">
        <v>1701</v>
      </c>
      <c r="N608" s="5" t="s">
        <v>23</v>
      </c>
      <c r="O608" s="1" t="s">
        <v>20</v>
      </c>
      <c r="P608" s="1">
        <v>0</v>
      </c>
      <c r="Q608" s="7" t="s">
        <v>23</v>
      </c>
      <c r="R608" s="45" t="s">
        <v>23</v>
      </c>
      <c r="S608" s="17" t="s">
        <v>1702</v>
      </c>
    </row>
    <row r="609" spans="1:19" ht="12.75">
      <c r="A609" s="41">
        <v>196</v>
      </c>
      <c r="B609" s="41">
        <v>2021</v>
      </c>
      <c r="C609" s="1" t="s">
        <v>102</v>
      </c>
      <c r="D609" s="42">
        <v>44474</v>
      </c>
      <c r="E609" s="1" t="s">
        <v>33</v>
      </c>
      <c r="F609" s="6" t="s">
        <v>1039</v>
      </c>
      <c r="G609" s="41">
        <v>2</v>
      </c>
      <c r="H609" s="41">
        <v>1</v>
      </c>
      <c r="I609" s="41">
        <v>1</v>
      </c>
      <c r="J609" s="3" t="s">
        <v>30</v>
      </c>
      <c r="K609" s="3">
        <v>33582</v>
      </c>
      <c r="L609" s="3" t="s">
        <v>31</v>
      </c>
      <c r="M609" s="1" t="s">
        <v>1687</v>
      </c>
      <c r="N609" s="4" t="s">
        <v>33</v>
      </c>
      <c r="O609" s="1" t="s">
        <v>20</v>
      </c>
      <c r="P609" s="1">
        <v>0</v>
      </c>
      <c r="Q609" s="28" t="s">
        <v>1703</v>
      </c>
      <c r="R609" s="44" t="s">
        <v>1704</v>
      </c>
      <c r="S609" s="26" t="s">
        <v>1705</v>
      </c>
    </row>
    <row r="610" spans="1:19" ht="12.75">
      <c r="A610" s="41">
        <v>197</v>
      </c>
      <c r="B610" s="41">
        <v>2021</v>
      </c>
      <c r="C610" s="1" t="s">
        <v>102</v>
      </c>
      <c r="D610" s="42">
        <v>44474</v>
      </c>
      <c r="E610" s="1" t="s">
        <v>20</v>
      </c>
      <c r="F610" s="1" t="s">
        <v>53</v>
      </c>
      <c r="G610" s="41">
        <v>1</v>
      </c>
      <c r="H610" s="41">
        <v>1</v>
      </c>
      <c r="I610" s="41">
        <v>1</v>
      </c>
      <c r="J610" s="3" t="s">
        <v>30</v>
      </c>
      <c r="K610" s="3">
        <v>33155</v>
      </c>
      <c r="L610" s="3" t="s">
        <v>31</v>
      </c>
      <c r="M610" s="1" t="s">
        <v>1706</v>
      </c>
      <c r="N610" s="4" t="s">
        <v>20</v>
      </c>
      <c r="O610" s="1" t="s">
        <v>20</v>
      </c>
      <c r="P610" s="1">
        <v>0</v>
      </c>
      <c r="Q610" s="28" t="s">
        <v>1707</v>
      </c>
      <c r="R610" s="44" t="s">
        <v>1708</v>
      </c>
      <c r="S610" s="17" t="s">
        <v>1709</v>
      </c>
    </row>
    <row r="611" spans="1:19" ht="12.75">
      <c r="A611" s="41">
        <v>198</v>
      </c>
      <c r="B611" s="41">
        <v>2021</v>
      </c>
      <c r="C611" s="1" t="s">
        <v>102</v>
      </c>
      <c r="D611" s="42">
        <v>44474</v>
      </c>
      <c r="E611" s="1" t="s">
        <v>33</v>
      </c>
      <c r="F611" s="6" t="s">
        <v>1710</v>
      </c>
      <c r="G611" s="41">
        <v>2</v>
      </c>
      <c r="H611" s="41">
        <v>1</v>
      </c>
      <c r="I611" s="41">
        <v>1</v>
      </c>
      <c r="J611" s="3" t="s">
        <v>30</v>
      </c>
      <c r="K611" s="3">
        <v>33550</v>
      </c>
      <c r="L611" s="14" t="s">
        <v>61</v>
      </c>
      <c r="M611" s="1" t="s">
        <v>1711</v>
      </c>
      <c r="N611" s="4" t="s">
        <v>20</v>
      </c>
      <c r="O611" s="1" t="s">
        <v>33</v>
      </c>
      <c r="P611" s="1">
        <v>2</v>
      </c>
      <c r="Q611" s="28" t="s">
        <v>1712</v>
      </c>
      <c r="R611" s="44" t="s">
        <v>1713</v>
      </c>
      <c r="S611" s="26" t="s">
        <v>1714</v>
      </c>
    </row>
    <row r="612" spans="1:19" ht="12.75">
      <c r="A612" s="41">
        <v>199</v>
      </c>
      <c r="B612" s="41">
        <v>2021</v>
      </c>
      <c r="C612" s="1" t="s">
        <v>102</v>
      </c>
      <c r="D612" s="42">
        <v>44476</v>
      </c>
      <c r="E612" s="1" t="s">
        <v>20</v>
      </c>
      <c r="F612" s="1" t="s">
        <v>41</v>
      </c>
      <c r="G612" s="41">
        <v>1</v>
      </c>
      <c r="H612" s="41">
        <v>1</v>
      </c>
      <c r="I612" s="41">
        <v>1</v>
      </c>
      <c r="J612" s="3" t="s">
        <v>23</v>
      </c>
      <c r="K612" s="3" t="s">
        <v>23</v>
      </c>
      <c r="L612" s="3" t="s">
        <v>23</v>
      </c>
      <c r="M612" s="1" t="s">
        <v>1715</v>
      </c>
      <c r="N612" s="1" t="s">
        <v>23</v>
      </c>
      <c r="O612" s="1" t="s">
        <v>33</v>
      </c>
      <c r="P612" s="1">
        <v>3</v>
      </c>
      <c r="Q612" s="28" t="s">
        <v>1716</v>
      </c>
      <c r="R612" s="45" t="s">
        <v>23</v>
      </c>
      <c r="S612" s="17" t="s">
        <v>1717</v>
      </c>
    </row>
    <row r="613" spans="1:19" ht="12.75">
      <c r="A613" s="41">
        <v>200</v>
      </c>
      <c r="B613" s="41">
        <v>2021</v>
      </c>
      <c r="C613" s="1" t="s">
        <v>102</v>
      </c>
      <c r="D613" s="42">
        <v>44476</v>
      </c>
      <c r="E613" s="1" t="s">
        <v>20</v>
      </c>
      <c r="F613" s="1" t="s">
        <v>21</v>
      </c>
      <c r="G613" s="41">
        <v>1</v>
      </c>
      <c r="H613" s="41">
        <v>1</v>
      </c>
      <c r="I613" s="41">
        <v>1</v>
      </c>
      <c r="J613" s="3" t="s">
        <v>23</v>
      </c>
      <c r="K613" s="3" t="s">
        <v>23</v>
      </c>
      <c r="L613" s="3" t="s">
        <v>23</v>
      </c>
      <c r="M613" s="1" t="s">
        <v>1129</v>
      </c>
      <c r="N613" s="1" t="s">
        <v>23</v>
      </c>
      <c r="O613" s="1" t="s">
        <v>33</v>
      </c>
      <c r="P613" s="1">
        <v>1</v>
      </c>
      <c r="Q613" s="28" t="s">
        <v>1718</v>
      </c>
      <c r="R613" s="44" t="s">
        <v>1719</v>
      </c>
      <c r="S613" s="17" t="s">
        <v>1720</v>
      </c>
    </row>
    <row r="614" spans="1:19" ht="12.75">
      <c r="A614" s="41">
        <v>201</v>
      </c>
      <c r="B614" s="41">
        <v>2021</v>
      </c>
      <c r="C614" s="1" t="s">
        <v>102</v>
      </c>
      <c r="D614" s="42">
        <v>44476</v>
      </c>
      <c r="E614" s="1" t="s">
        <v>33</v>
      </c>
      <c r="F614" s="6" t="s">
        <v>1649</v>
      </c>
      <c r="G614" s="41">
        <v>3</v>
      </c>
      <c r="H614" s="41">
        <v>1</v>
      </c>
      <c r="I614" s="41">
        <v>1</v>
      </c>
      <c r="J614" s="3" t="s">
        <v>30</v>
      </c>
      <c r="K614" s="3">
        <v>30707</v>
      </c>
      <c r="L614" s="14" t="s">
        <v>61</v>
      </c>
      <c r="M614" s="1" t="s">
        <v>1650</v>
      </c>
      <c r="N614" s="4" t="s">
        <v>20</v>
      </c>
      <c r="O614" s="1" t="s">
        <v>33</v>
      </c>
      <c r="P614" s="1">
        <v>3</v>
      </c>
      <c r="Q614" s="28" t="s">
        <v>1721</v>
      </c>
      <c r="R614" s="44" t="s">
        <v>1722</v>
      </c>
      <c r="S614" s="26" t="s">
        <v>1723</v>
      </c>
    </row>
    <row r="615" spans="1:19" ht="12.75">
      <c r="A615" s="41">
        <v>202</v>
      </c>
      <c r="B615" s="41">
        <v>2021</v>
      </c>
      <c r="C615" s="1" t="s">
        <v>102</v>
      </c>
      <c r="D615" s="42">
        <v>44481</v>
      </c>
      <c r="E615" s="1" t="s">
        <v>20</v>
      </c>
      <c r="F615" s="1" t="s">
        <v>148</v>
      </c>
      <c r="G615" s="41">
        <v>1</v>
      </c>
      <c r="H615" s="41">
        <v>1</v>
      </c>
      <c r="I615" s="41">
        <v>1</v>
      </c>
      <c r="J615" s="3" t="s">
        <v>30</v>
      </c>
      <c r="K615" s="3">
        <v>32599</v>
      </c>
      <c r="L615" s="14" t="s">
        <v>61</v>
      </c>
      <c r="M615" s="1" t="s">
        <v>1724</v>
      </c>
      <c r="N615" s="4" t="s">
        <v>20</v>
      </c>
      <c r="O615" s="1" t="s">
        <v>20</v>
      </c>
      <c r="P615" s="1">
        <v>0</v>
      </c>
      <c r="Q615" s="32" t="s">
        <v>1725</v>
      </c>
      <c r="R615" s="44" t="s">
        <v>1726</v>
      </c>
      <c r="S615" s="17" t="s">
        <v>1727</v>
      </c>
    </row>
    <row r="616" spans="1:19" ht="12.75">
      <c r="A616" s="41">
        <v>203</v>
      </c>
      <c r="B616" s="41">
        <v>2021</v>
      </c>
      <c r="C616" s="1" t="s">
        <v>102</v>
      </c>
      <c r="D616" s="42">
        <v>44481</v>
      </c>
      <c r="E616" s="1" t="s">
        <v>20</v>
      </c>
      <c r="F616" s="1" t="s">
        <v>37</v>
      </c>
      <c r="G616" s="41">
        <v>1</v>
      </c>
      <c r="H616" s="41">
        <v>3</v>
      </c>
      <c r="I616" s="41">
        <v>1</v>
      </c>
      <c r="J616" s="3" t="s">
        <v>64</v>
      </c>
      <c r="K616" s="3">
        <v>33752</v>
      </c>
      <c r="L616" s="3" t="s">
        <v>31</v>
      </c>
      <c r="M616" s="1" t="s">
        <v>1728</v>
      </c>
      <c r="N616" s="4" t="s">
        <v>33</v>
      </c>
      <c r="O616" s="1" t="s">
        <v>20</v>
      </c>
      <c r="P616" s="1">
        <v>0</v>
      </c>
      <c r="Q616" s="28" t="s">
        <v>1729</v>
      </c>
      <c r="R616" s="44" t="s">
        <v>1730</v>
      </c>
      <c r="S616" s="17" t="s">
        <v>1731</v>
      </c>
    </row>
    <row r="617" spans="1:19" ht="12.75">
      <c r="A617" s="41">
        <v>203</v>
      </c>
      <c r="B617" s="41">
        <v>2021</v>
      </c>
      <c r="C617" s="1" t="s">
        <v>102</v>
      </c>
      <c r="D617" s="42">
        <v>44481</v>
      </c>
      <c r="E617" s="1" t="s">
        <v>20</v>
      </c>
      <c r="F617" s="1" t="s">
        <v>37</v>
      </c>
      <c r="G617" s="41">
        <v>1</v>
      </c>
      <c r="H617" s="41">
        <v>3</v>
      </c>
      <c r="I617" s="41">
        <v>2</v>
      </c>
      <c r="J617" s="3" t="s">
        <v>64</v>
      </c>
      <c r="K617" s="3">
        <v>33811</v>
      </c>
      <c r="L617" s="3" t="s">
        <v>31</v>
      </c>
      <c r="M617" s="1" t="s">
        <v>1732</v>
      </c>
      <c r="N617" s="4" t="s">
        <v>33</v>
      </c>
      <c r="O617" s="1" t="s">
        <v>23</v>
      </c>
      <c r="P617" s="1" t="s">
        <v>23</v>
      </c>
      <c r="Q617" s="7" t="s">
        <v>23</v>
      </c>
      <c r="R617" s="8" t="s">
        <v>23</v>
      </c>
      <c r="S617" s="20" t="s">
        <v>23</v>
      </c>
    </row>
    <row r="618" spans="1:19" ht="12.75">
      <c r="A618" s="41">
        <v>203</v>
      </c>
      <c r="B618" s="41">
        <v>2021</v>
      </c>
      <c r="C618" s="1" t="s">
        <v>102</v>
      </c>
      <c r="D618" s="42">
        <v>44481</v>
      </c>
      <c r="E618" s="1" t="s">
        <v>20</v>
      </c>
      <c r="F618" s="1" t="s">
        <v>37</v>
      </c>
      <c r="G618" s="41">
        <v>1</v>
      </c>
      <c r="H618" s="41">
        <v>3</v>
      </c>
      <c r="I618" s="41">
        <v>3</v>
      </c>
      <c r="J618" s="3" t="s">
        <v>64</v>
      </c>
      <c r="K618" s="3">
        <v>33812</v>
      </c>
      <c r="L618" s="3" t="s">
        <v>31</v>
      </c>
      <c r="M618" s="1" t="s">
        <v>1733</v>
      </c>
      <c r="N618" s="4" t="s">
        <v>33</v>
      </c>
      <c r="O618" s="1" t="s">
        <v>23</v>
      </c>
      <c r="P618" s="1" t="s">
        <v>23</v>
      </c>
      <c r="Q618" s="7" t="s">
        <v>23</v>
      </c>
      <c r="R618" s="8" t="s">
        <v>23</v>
      </c>
      <c r="S618" s="20" t="s">
        <v>23</v>
      </c>
    </row>
    <row r="619" spans="1:19" ht="12.75">
      <c r="A619" s="41">
        <v>204</v>
      </c>
      <c r="B619" s="41">
        <v>2021</v>
      </c>
      <c r="C619" s="1" t="s">
        <v>102</v>
      </c>
      <c r="D619" s="42">
        <v>44483</v>
      </c>
      <c r="E619" s="1" t="s">
        <v>33</v>
      </c>
      <c r="F619" s="6" t="s">
        <v>1734</v>
      </c>
      <c r="G619" s="18">
        <v>3</v>
      </c>
      <c r="H619" s="41">
        <v>1</v>
      </c>
      <c r="I619" s="41">
        <v>1</v>
      </c>
      <c r="J619" s="3" t="s">
        <v>30</v>
      </c>
      <c r="K619" s="3">
        <v>33550</v>
      </c>
      <c r="L619" s="14" t="s">
        <v>61</v>
      </c>
      <c r="M619" s="1" t="s">
        <v>1711</v>
      </c>
      <c r="N619" s="4" t="s">
        <v>33</v>
      </c>
      <c r="O619" s="1" t="s">
        <v>1735</v>
      </c>
      <c r="P619" s="1">
        <v>0</v>
      </c>
      <c r="Q619" s="28" t="s">
        <v>1736</v>
      </c>
      <c r="R619" s="44" t="s">
        <v>1737</v>
      </c>
      <c r="S619" s="26" t="s">
        <v>1738</v>
      </c>
    </row>
    <row r="620" spans="1:19" ht="12.75">
      <c r="A620" s="41">
        <v>205</v>
      </c>
      <c r="B620" s="41">
        <v>2021</v>
      </c>
      <c r="C620" s="1" t="s">
        <v>102</v>
      </c>
      <c r="D620" s="42">
        <v>44483</v>
      </c>
      <c r="E620" s="1" t="s">
        <v>33</v>
      </c>
      <c r="F620" s="6" t="s">
        <v>1739</v>
      </c>
      <c r="G620" s="18">
        <v>3</v>
      </c>
      <c r="H620" s="41">
        <v>2</v>
      </c>
      <c r="I620" s="41">
        <v>1</v>
      </c>
      <c r="J620" s="3" t="s">
        <v>23</v>
      </c>
      <c r="K620" s="3" t="s">
        <v>23</v>
      </c>
      <c r="L620" s="3" t="s">
        <v>23</v>
      </c>
      <c r="M620" s="1" t="s">
        <v>1740</v>
      </c>
      <c r="N620" s="1" t="s">
        <v>23</v>
      </c>
      <c r="O620" s="1" t="s">
        <v>33</v>
      </c>
      <c r="P620" s="1">
        <v>1</v>
      </c>
      <c r="Q620" s="28" t="s">
        <v>1741</v>
      </c>
      <c r="R620" s="44" t="s">
        <v>1742</v>
      </c>
      <c r="S620" s="26" t="s">
        <v>1743</v>
      </c>
    </row>
    <row r="621" spans="1:19" ht="12.75">
      <c r="A621" s="41">
        <v>205</v>
      </c>
      <c r="B621" s="41">
        <v>2021</v>
      </c>
      <c r="C621" s="1" t="s">
        <v>102</v>
      </c>
      <c r="D621" s="42">
        <v>44483</v>
      </c>
      <c r="E621" s="1" t="s">
        <v>33</v>
      </c>
      <c r="F621" s="6" t="s">
        <v>1739</v>
      </c>
      <c r="G621" s="18">
        <v>3</v>
      </c>
      <c r="H621" s="41">
        <v>2</v>
      </c>
      <c r="I621" s="41">
        <v>2</v>
      </c>
      <c r="J621" s="3" t="s">
        <v>71</v>
      </c>
      <c r="K621" s="3">
        <v>33229</v>
      </c>
      <c r="L621" s="14" t="s">
        <v>61</v>
      </c>
      <c r="M621" s="1" t="s">
        <v>1744</v>
      </c>
      <c r="N621" s="4" t="s">
        <v>20</v>
      </c>
      <c r="O621" s="1" t="s">
        <v>23</v>
      </c>
      <c r="P621" s="1" t="s">
        <v>23</v>
      </c>
      <c r="Q621" s="7" t="s">
        <v>23</v>
      </c>
      <c r="R621" s="8" t="s">
        <v>23</v>
      </c>
      <c r="S621" s="20" t="s">
        <v>23</v>
      </c>
    </row>
    <row r="622" spans="1:19" ht="12.75">
      <c r="A622" s="41">
        <v>206</v>
      </c>
      <c r="B622" s="41">
        <v>2021</v>
      </c>
      <c r="C622" s="1" t="s">
        <v>102</v>
      </c>
      <c r="D622" s="42">
        <v>44488</v>
      </c>
      <c r="E622" s="1" t="s">
        <v>33</v>
      </c>
      <c r="F622" s="6" t="s">
        <v>1649</v>
      </c>
      <c r="G622" s="41">
        <v>3</v>
      </c>
      <c r="H622" s="41">
        <v>1</v>
      </c>
      <c r="I622" s="41">
        <v>1</v>
      </c>
      <c r="J622" s="3" t="s">
        <v>30</v>
      </c>
      <c r="K622" s="3">
        <v>30707</v>
      </c>
      <c r="L622" s="14" t="s">
        <v>61</v>
      </c>
      <c r="M622" s="1" t="s">
        <v>1650</v>
      </c>
      <c r="N622" s="4" t="s">
        <v>20</v>
      </c>
      <c r="O622" s="1" t="s">
        <v>33</v>
      </c>
      <c r="P622" s="1">
        <v>6</v>
      </c>
      <c r="Q622" s="28" t="s">
        <v>1745</v>
      </c>
      <c r="R622" s="44" t="s">
        <v>1746</v>
      </c>
      <c r="S622" s="26" t="s">
        <v>1747</v>
      </c>
    </row>
    <row r="623" spans="1:19" ht="12.75">
      <c r="A623" s="41">
        <v>207</v>
      </c>
      <c r="B623" s="41">
        <v>2021</v>
      </c>
      <c r="C623" s="1" t="s">
        <v>102</v>
      </c>
      <c r="D623" s="42">
        <v>44488</v>
      </c>
      <c r="E623" s="1" t="s">
        <v>33</v>
      </c>
      <c r="F623" s="6" t="s">
        <v>282</v>
      </c>
      <c r="G623" s="41">
        <v>2</v>
      </c>
      <c r="H623" s="41">
        <v>2</v>
      </c>
      <c r="I623" s="41">
        <v>1</v>
      </c>
      <c r="J623" s="3" t="s">
        <v>30</v>
      </c>
      <c r="K623" s="3">
        <v>32770</v>
      </c>
      <c r="L623" s="14" t="s">
        <v>61</v>
      </c>
      <c r="M623" s="1" t="s">
        <v>1748</v>
      </c>
      <c r="N623" s="4" t="s">
        <v>20</v>
      </c>
      <c r="O623" s="1" t="s">
        <v>20</v>
      </c>
      <c r="P623" s="1">
        <v>0</v>
      </c>
      <c r="Q623" s="28" t="s">
        <v>1749</v>
      </c>
      <c r="R623" s="44" t="s">
        <v>1750</v>
      </c>
      <c r="S623" s="26" t="s">
        <v>1751</v>
      </c>
    </row>
    <row r="624" spans="1:19" ht="12.75">
      <c r="A624" s="41">
        <v>207</v>
      </c>
      <c r="B624" s="41">
        <v>2021</v>
      </c>
      <c r="C624" s="1" t="s">
        <v>102</v>
      </c>
      <c r="D624" s="42">
        <v>44488</v>
      </c>
      <c r="E624" s="1" t="s">
        <v>33</v>
      </c>
      <c r="F624" s="6" t="s">
        <v>282</v>
      </c>
      <c r="G624" s="41">
        <v>2</v>
      </c>
      <c r="H624" s="41">
        <v>2</v>
      </c>
      <c r="I624" s="41">
        <v>2</v>
      </c>
      <c r="J624" s="3" t="s">
        <v>30</v>
      </c>
      <c r="K624" s="3">
        <v>32537</v>
      </c>
      <c r="L624" s="3" t="s">
        <v>61</v>
      </c>
      <c r="M624" s="1" t="s">
        <v>1752</v>
      </c>
      <c r="N624" s="4" t="s">
        <v>20</v>
      </c>
      <c r="O624" s="1" t="s">
        <v>23</v>
      </c>
      <c r="P624" s="1" t="s">
        <v>23</v>
      </c>
      <c r="Q624" s="7" t="s">
        <v>23</v>
      </c>
      <c r="R624" s="8" t="s">
        <v>23</v>
      </c>
      <c r="S624" s="20" t="s">
        <v>23</v>
      </c>
    </row>
    <row r="625" spans="1:19" ht="12.75">
      <c r="A625" s="41">
        <v>208</v>
      </c>
      <c r="B625" s="41">
        <v>2021</v>
      </c>
      <c r="C625" s="1" t="s">
        <v>102</v>
      </c>
      <c r="D625" s="42">
        <v>44488</v>
      </c>
      <c r="E625" s="1" t="s">
        <v>20</v>
      </c>
      <c r="F625" s="1" t="s">
        <v>37</v>
      </c>
      <c r="G625" s="41">
        <v>1</v>
      </c>
      <c r="H625" s="41">
        <v>3</v>
      </c>
      <c r="I625" s="41">
        <v>1</v>
      </c>
      <c r="J625" s="3" t="s">
        <v>64</v>
      </c>
      <c r="K625" s="3">
        <v>33813</v>
      </c>
      <c r="L625" s="3" t="s">
        <v>31</v>
      </c>
      <c r="M625" s="1" t="s">
        <v>1753</v>
      </c>
      <c r="N625" s="4" t="s">
        <v>33</v>
      </c>
      <c r="O625" s="1" t="s">
        <v>20</v>
      </c>
      <c r="P625" s="1">
        <v>0</v>
      </c>
      <c r="Q625" s="28" t="s">
        <v>1754</v>
      </c>
      <c r="R625" s="44" t="s">
        <v>1755</v>
      </c>
      <c r="S625" s="17" t="s">
        <v>1756</v>
      </c>
    </row>
    <row r="626" spans="1:19" ht="12.75">
      <c r="A626" s="41">
        <v>208</v>
      </c>
      <c r="B626" s="41">
        <v>2021</v>
      </c>
      <c r="C626" s="1" t="s">
        <v>102</v>
      </c>
      <c r="D626" s="42">
        <v>44488</v>
      </c>
      <c r="E626" s="1" t="s">
        <v>20</v>
      </c>
      <c r="F626" s="1" t="s">
        <v>37</v>
      </c>
      <c r="G626" s="41">
        <v>1</v>
      </c>
      <c r="H626" s="41">
        <v>3</v>
      </c>
      <c r="I626" s="41">
        <v>2</v>
      </c>
      <c r="J626" s="3" t="s">
        <v>64</v>
      </c>
      <c r="K626" s="3">
        <v>33882</v>
      </c>
      <c r="L626" s="3" t="s">
        <v>31</v>
      </c>
      <c r="M626" s="1" t="s">
        <v>1757</v>
      </c>
      <c r="N626" s="4" t="s">
        <v>33</v>
      </c>
      <c r="O626" s="1" t="s">
        <v>23</v>
      </c>
      <c r="P626" s="1" t="s">
        <v>23</v>
      </c>
      <c r="Q626" s="7" t="s">
        <v>23</v>
      </c>
      <c r="R626" s="8" t="s">
        <v>23</v>
      </c>
      <c r="S626" s="20" t="s">
        <v>23</v>
      </c>
    </row>
    <row r="627" spans="1:19" ht="12.75">
      <c r="A627" s="41">
        <v>208</v>
      </c>
      <c r="B627" s="41">
        <v>2021</v>
      </c>
      <c r="C627" s="1" t="s">
        <v>102</v>
      </c>
      <c r="D627" s="42">
        <v>44488</v>
      </c>
      <c r="E627" s="1" t="s">
        <v>20</v>
      </c>
      <c r="F627" s="1" t="s">
        <v>37</v>
      </c>
      <c r="G627" s="41">
        <v>1</v>
      </c>
      <c r="H627" s="41">
        <v>3</v>
      </c>
      <c r="I627" s="41">
        <v>3</v>
      </c>
      <c r="J627" s="3" t="s">
        <v>64</v>
      </c>
      <c r="K627" s="3">
        <v>33883</v>
      </c>
      <c r="L627" s="3" t="s">
        <v>31</v>
      </c>
      <c r="M627" s="1" t="s">
        <v>1758</v>
      </c>
      <c r="N627" s="4" t="s">
        <v>33</v>
      </c>
      <c r="O627" s="1" t="s">
        <v>23</v>
      </c>
      <c r="P627" s="1" t="s">
        <v>23</v>
      </c>
      <c r="Q627" s="7" t="s">
        <v>23</v>
      </c>
      <c r="R627" s="8" t="s">
        <v>23</v>
      </c>
      <c r="S627" s="20" t="s">
        <v>23</v>
      </c>
    </row>
    <row r="628" spans="1:19" ht="12.75">
      <c r="A628" s="41">
        <v>209</v>
      </c>
      <c r="B628" s="41">
        <v>2021</v>
      </c>
      <c r="C628" s="1" t="s">
        <v>102</v>
      </c>
      <c r="D628" s="42">
        <v>44490</v>
      </c>
      <c r="E628" s="1" t="s">
        <v>33</v>
      </c>
      <c r="F628" s="6" t="s">
        <v>1759</v>
      </c>
      <c r="G628" s="41">
        <v>2</v>
      </c>
      <c r="H628" s="41">
        <v>1</v>
      </c>
      <c r="I628" s="41">
        <v>1</v>
      </c>
      <c r="J628" s="3" t="s">
        <v>30</v>
      </c>
      <c r="K628" s="3">
        <v>33954</v>
      </c>
      <c r="L628" s="3" t="s">
        <v>31</v>
      </c>
      <c r="M628" s="1" t="s">
        <v>1760</v>
      </c>
      <c r="N628" s="4" t="s">
        <v>20</v>
      </c>
      <c r="O628" s="1" t="s">
        <v>33</v>
      </c>
      <c r="P628" s="1">
        <v>1</v>
      </c>
      <c r="Q628" s="28" t="s">
        <v>1761</v>
      </c>
      <c r="R628" s="44" t="s">
        <v>1762</v>
      </c>
      <c r="S628" s="24" t="s">
        <v>1763</v>
      </c>
    </row>
    <row r="629" spans="1:19" ht="12.75">
      <c r="A629" s="41">
        <v>210</v>
      </c>
      <c r="B629" s="41">
        <v>2021</v>
      </c>
      <c r="C629" s="1" t="s">
        <v>102</v>
      </c>
      <c r="D629" s="42">
        <v>44490</v>
      </c>
      <c r="E629" s="1" t="s">
        <v>20</v>
      </c>
      <c r="F629" s="1" t="s">
        <v>55</v>
      </c>
      <c r="G629" s="41">
        <v>1</v>
      </c>
      <c r="H629" s="41">
        <v>1</v>
      </c>
      <c r="I629" s="41">
        <v>1</v>
      </c>
      <c r="J629" s="3" t="s">
        <v>23</v>
      </c>
      <c r="K629" s="3" t="s">
        <v>23</v>
      </c>
      <c r="L629" s="3" t="s">
        <v>23</v>
      </c>
      <c r="M629" s="1" t="s">
        <v>1764</v>
      </c>
      <c r="N629" s="1" t="s">
        <v>23</v>
      </c>
      <c r="O629" s="1" t="s">
        <v>33</v>
      </c>
      <c r="P629" s="1">
        <v>3</v>
      </c>
      <c r="Q629" s="7" t="s">
        <v>23</v>
      </c>
      <c r="R629" s="47" t="s">
        <v>1765</v>
      </c>
      <c r="S629" s="17" t="s">
        <v>1766</v>
      </c>
    </row>
    <row r="630" spans="1:19" ht="12.75">
      <c r="A630" s="41">
        <v>211</v>
      </c>
      <c r="B630" s="41">
        <v>2021</v>
      </c>
      <c r="C630" s="1" t="s">
        <v>102</v>
      </c>
      <c r="D630" s="42">
        <v>44490</v>
      </c>
      <c r="E630" s="1" t="s">
        <v>20</v>
      </c>
      <c r="F630" s="1" t="s">
        <v>39</v>
      </c>
      <c r="G630" s="41">
        <v>1</v>
      </c>
      <c r="H630" s="41">
        <v>1</v>
      </c>
      <c r="I630" s="41">
        <v>1</v>
      </c>
      <c r="J630" s="3" t="s">
        <v>71</v>
      </c>
      <c r="K630" s="3">
        <v>33604</v>
      </c>
      <c r="L630" s="3" t="s">
        <v>61</v>
      </c>
      <c r="M630" s="1" t="s">
        <v>1767</v>
      </c>
      <c r="N630" s="4" t="s">
        <v>20</v>
      </c>
      <c r="O630" s="1" t="s">
        <v>33</v>
      </c>
      <c r="P630" s="1">
        <v>2</v>
      </c>
      <c r="Q630" s="28" t="s">
        <v>1768</v>
      </c>
      <c r="R630" s="44" t="s">
        <v>1658</v>
      </c>
      <c r="S630" s="17" t="s">
        <v>1769</v>
      </c>
    </row>
    <row r="631" spans="1:19" ht="12.75">
      <c r="A631" s="41">
        <v>212</v>
      </c>
      <c r="B631" s="41">
        <v>2021</v>
      </c>
      <c r="C631" s="1" t="s">
        <v>102</v>
      </c>
      <c r="D631" s="42">
        <v>44495</v>
      </c>
      <c r="E631" s="1" t="s">
        <v>33</v>
      </c>
      <c r="F631" s="6" t="s">
        <v>1759</v>
      </c>
      <c r="G631" s="41">
        <v>2</v>
      </c>
      <c r="H631" s="41">
        <v>1</v>
      </c>
      <c r="I631" s="41">
        <v>1</v>
      </c>
      <c r="J631" s="3" t="s">
        <v>30</v>
      </c>
      <c r="K631" s="3">
        <v>33954</v>
      </c>
      <c r="L631" s="3" t="s">
        <v>31</v>
      </c>
      <c r="M631" s="1" t="s">
        <v>1760</v>
      </c>
      <c r="N631" s="4" t="s">
        <v>33</v>
      </c>
      <c r="O631" s="1" t="s">
        <v>20</v>
      </c>
      <c r="P631" s="1">
        <v>0</v>
      </c>
      <c r="Q631" s="28" t="s">
        <v>1770</v>
      </c>
      <c r="R631" s="44" t="s">
        <v>1771</v>
      </c>
      <c r="S631" s="24" t="s">
        <v>1772</v>
      </c>
    </row>
    <row r="632" spans="1:19" ht="12.75">
      <c r="A632" s="41">
        <v>213</v>
      </c>
      <c r="B632" s="41">
        <v>2021</v>
      </c>
      <c r="C632" s="1" t="s">
        <v>102</v>
      </c>
      <c r="D632" s="42">
        <v>44495</v>
      </c>
      <c r="E632" s="6" t="s">
        <v>20</v>
      </c>
      <c r="F632" s="1" t="s">
        <v>148</v>
      </c>
      <c r="G632" s="41">
        <v>1</v>
      </c>
      <c r="H632" s="41">
        <v>1</v>
      </c>
      <c r="I632" s="41">
        <v>1</v>
      </c>
      <c r="J632" s="3" t="s">
        <v>30</v>
      </c>
      <c r="K632" s="3">
        <v>32599</v>
      </c>
      <c r="L632" s="14" t="s">
        <v>61</v>
      </c>
      <c r="M632" s="1" t="s">
        <v>1773</v>
      </c>
      <c r="N632" s="4" t="s">
        <v>20</v>
      </c>
      <c r="O632" s="1" t="s">
        <v>33</v>
      </c>
      <c r="P632" s="1">
        <v>4</v>
      </c>
      <c r="Q632" s="32" t="s">
        <v>1774</v>
      </c>
      <c r="R632" s="44" t="s">
        <v>1775</v>
      </c>
      <c r="S632" s="17" t="s">
        <v>1776</v>
      </c>
    </row>
    <row r="633" spans="1:19" ht="12.75">
      <c r="A633" s="41">
        <v>214</v>
      </c>
      <c r="B633" s="41">
        <v>2021</v>
      </c>
      <c r="C633" s="1" t="s">
        <v>102</v>
      </c>
      <c r="D633" s="42">
        <v>44495</v>
      </c>
      <c r="E633" s="1" t="s">
        <v>20</v>
      </c>
      <c r="F633" s="1" t="s">
        <v>37</v>
      </c>
      <c r="G633" s="41">
        <v>1</v>
      </c>
      <c r="H633" s="41">
        <v>3</v>
      </c>
      <c r="I633" s="41">
        <v>1</v>
      </c>
      <c r="J633" s="3" t="s">
        <v>64</v>
      </c>
      <c r="K633" s="3">
        <v>33884</v>
      </c>
      <c r="L633" s="3" t="s">
        <v>31</v>
      </c>
      <c r="M633" s="1" t="s">
        <v>1777</v>
      </c>
      <c r="N633" s="4" t="s">
        <v>33</v>
      </c>
      <c r="O633" s="1" t="s">
        <v>20</v>
      </c>
      <c r="P633" s="1">
        <v>0</v>
      </c>
      <c r="Q633" s="28" t="s">
        <v>1778</v>
      </c>
      <c r="R633" s="44" t="s">
        <v>1779</v>
      </c>
      <c r="S633" s="17" t="s">
        <v>1780</v>
      </c>
    </row>
    <row r="634" spans="1:19" ht="12.75">
      <c r="A634" s="41">
        <v>214</v>
      </c>
      <c r="B634" s="41">
        <v>2021</v>
      </c>
      <c r="C634" s="1" t="s">
        <v>102</v>
      </c>
      <c r="D634" s="42">
        <v>44495</v>
      </c>
      <c r="E634" s="1" t="s">
        <v>20</v>
      </c>
      <c r="F634" s="1" t="s">
        <v>37</v>
      </c>
      <c r="G634" s="41">
        <v>1</v>
      </c>
      <c r="H634" s="41">
        <v>3</v>
      </c>
      <c r="I634" s="41">
        <v>2</v>
      </c>
      <c r="J634" s="3" t="s">
        <v>64</v>
      </c>
      <c r="K634" s="3">
        <v>33885</v>
      </c>
      <c r="L634" s="3" t="s">
        <v>31</v>
      </c>
      <c r="M634" s="1" t="s">
        <v>1781</v>
      </c>
      <c r="N634" s="4" t="s">
        <v>33</v>
      </c>
      <c r="O634" s="1" t="s">
        <v>23</v>
      </c>
      <c r="P634" s="1" t="s">
        <v>23</v>
      </c>
      <c r="Q634" s="7" t="s">
        <v>23</v>
      </c>
      <c r="R634" s="8" t="s">
        <v>23</v>
      </c>
      <c r="S634" s="20" t="s">
        <v>23</v>
      </c>
    </row>
    <row r="635" spans="1:19" ht="12.75">
      <c r="A635" s="41">
        <v>214</v>
      </c>
      <c r="B635" s="41">
        <v>2021</v>
      </c>
      <c r="C635" s="1" t="s">
        <v>102</v>
      </c>
      <c r="D635" s="42">
        <v>44495</v>
      </c>
      <c r="E635" s="1" t="s">
        <v>20</v>
      </c>
      <c r="F635" s="1" t="s">
        <v>37</v>
      </c>
      <c r="G635" s="41">
        <v>1</v>
      </c>
      <c r="H635" s="41">
        <v>3</v>
      </c>
      <c r="I635" s="41">
        <v>3</v>
      </c>
      <c r="J635" s="3" t="s">
        <v>64</v>
      </c>
      <c r="K635" s="3">
        <v>33886</v>
      </c>
      <c r="L635" s="3" t="s">
        <v>31</v>
      </c>
      <c r="M635" s="1" t="s">
        <v>1782</v>
      </c>
      <c r="N635" s="4" t="s">
        <v>20</v>
      </c>
      <c r="O635" s="1" t="s">
        <v>23</v>
      </c>
      <c r="P635" s="1" t="s">
        <v>23</v>
      </c>
      <c r="Q635" s="7" t="s">
        <v>23</v>
      </c>
      <c r="R635" s="8" t="s">
        <v>23</v>
      </c>
      <c r="S635" s="20" t="s">
        <v>23</v>
      </c>
    </row>
    <row r="636" spans="1:19" ht="12.75">
      <c r="A636" s="41">
        <v>215</v>
      </c>
      <c r="B636" s="41">
        <v>2021</v>
      </c>
      <c r="C636" s="1" t="s">
        <v>19</v>
      </c>
      <c r="D636" s="42">
        <v>44496</v>
      </c>
      <c r="E636" s="1" t="s">
        <v>33</v>
      </c>
      <c r="F636" s="6" t="s">
        <v>1649</v>
      </c>
      <c r="G636" s="41">
        <v>3</v>
      </c>
      <c r="H636" s="41">
        <v>1</v>
      </c>
      <c r="I636" s="41">
        <v>1</v>
      </c>
      <c r="J636" s="3" t="s">
        <v>30</v>
      </c>
      <c r="K636" s="3">
        <v>30707</v>
      </c>
      <c r="L636" s="14" t="s">
        <v>61</v>
      </c>
      <c r="M636" s="1" t="s">
        <v>1650</v>
      </c>
      <c r="N636" s="4" t="s">
        <v>20</v>
      </c>
      <c r="O636" s="1" t="s">
        <v>20</v>
      </c>
      <c r="P636" s="1">
        <v>0</v>
      </c>
      <c r="Q636" s="7" t="s">
        <v>23</v>
      </c>
      <c r="R636" s="45" t="s">
        <v>23</v>
      </c>
      <c r="S636" s="26" t="s">
        <v>1783</v>
      </c>
    </row>
    <row r="637" spans="1:19" ht="12.75">
      <c r="A637" s="41">
        <v>216</v>
      </c>
      <c r="B637" s="41">
        <v>2021</v>
      </c>
      <c r="C637" s="1" t="s">
        <v>102</v>
      </c>
      <c r="D637" s="42">
        <v>44497</v>
      </c>
      <c r="E637" s="1" t="s">
        <v>33</v>
      </c>
      <c r="F637" s="6" t="s">
        <v>1784</v>
      </c>
      <c r="G637" s="41">
        <v>2</v>
      </c>
      <c r="H637" s="41">
        <v>1</v>
      </c>
      <c r="I637" s="41">
        <v>1</v>
      </c>
      <c r="J637" s="3" t="s">
        <v>23</v>
      </c>
      <c r="K637" s="3" t="s">
        <v>23</v>
      </c>
      <c r="L637" s="3" t="s">
        <v>23</v>
      </c>
      <c r="M637" s="1" t="s">
        <v>1785</v>
      </c>
      <c r="N637" s="1" t="s">
        <v>23</v>
      </c>
      <c r="O637" s="1" t="s">
        <v>33</v>
      </c>
      <c r="P637" s="1">
        <v>8</v>
      </c>
      <c r="Q637" s="28" t="s">
        <v>1786</v>
      </c>
      <c r="R637" s="44" t="s">
        <v>1787</v>
      </c>
      <c r="S637" s="26" t="s">
        <v>1788</v>
      </c>
    </row>
    <row r="638" spans="1:19" ht="12.75">
      <c r="A638" s="41">
        <v>217</v>
      </c>
      <c r="B638" s="41">
        <v>2021</v>
      </c>
      <c r="C638" s="1" t="s">
        <v>102</v>
      </c>
      <c r="D638" s="42">
        <v>44497</v>
      </c>
      <c r="E638" s="1" t="s">
        <v>33</v>
      </c>
      <c r="F638" s="6" t="s">
        <v>1789</v>
      </c>
      <c r="G638" s="41">
        <v>2</v>
      </c>
      <c r="H638" s="41">
        <v>1</v>
      </c>
      <c r="I638" s="41">
        <v>1</v>
      </c>
      <c r="J638" s="3" t="s">
        <v>30</v>
      </c>
      <c r="K638" s="3">
        <v>33153</v>
      </c>
      <c r="L638" s="14" t="s">
        <v>61</v>
      </c>
      <c r="M638" s="1" t="s">
        <v>1790</v>
      </c>
      <c r="N638" s="25" t="s">
        <v>20</v>
      </c>
      <c r="O638" s="1" t="s">
        <v>33</v>
      </c>
      <c r="P638" s="1">
        <v>1</v>
      </c>
      <c r="Q638" s="28" t="s">
        <v>1791</v>
      </c>
      <c r="R638" s="44" t="s">
        <v>1792</v>
      </c>
      <c r="S638" s="26" t="s">
        <v>1793</v>
      </c>
    </row>
    <row r="639" spans="1:19" ht="12.75">
      <c r="A639" s="41">
        <v>218</v>
      </c>
      <c r="B639" s="41">
        <v>2021</v>
      </c>
      <c r="C639" s="1" t="s">
        <v>102</v>
      </c>
      <c r="D639" s="42">
        <v>44497</v>
      </c>
      <c r="E639" s="1" t="s">
        <v>20</v>
      </c>
      <c r="F639" s="1" t="s">
        <v>43</v>
      </c>
      <c r="G639" s="41">
        <v>1</v>
      </c>
      <c r="H639" s="41">
        <v>1</v>
      </c>
      <c r="I639" s="41">
        <v>1</v>
      </c>
      <c r="J639" s="3" t="s">
        <v>23</v>
      </c>
      <c r="K639" s="3" t="s">
        <v>23</v>
      </c>
      <c r="L639" s="3" t="s">
        <v>23</v>
      </c>
      <c r="M639" s="1" t="s">
        <v>1794</v>
      </c>
      <c r="N639" s="1" t="s">
        <v>23</v>
      </c>
      <c r="O639" s="1" t="s">
        <v>33</v>
      </c>
      <c r="P639" s="1">
        <v>2</v>
      </c>
      <c r="Q639" s="28" t="s">
        <v>1795</v>
      </c>
      <c r="R639" s="44" t="s">
        <v>1796</v>
      </c>
      <c r="S639" s="17" t="s">
        <v>1797</v>
      </c>
    </row>
    <row r="640" spans="1:19" ht="12.75">
      <c r="A640" s="41">
        <v>219</v>
      </c>
      <c r="B640" s="41">
        <v>2021</v>
      </c>
      <c r="C640" s="1" t="s">
        <v>102</v>
      </c>
      <c r="D640" s="42">
        <v>44502</v>
      </c>
      <c r="E640" s="1" t="s">
        <v>20</v>
      </c>
      <c r="F640" s="1" t="s">
        <v>37</v>
      </c>
      <c r="G640" s="41">
        <v>1</v>
      </c>
      <c r="H640" s="41">
        <v>4</v>
      </c>
      <c r="I640" s="41">
        <v>1</v>
      </c>
      <c r="J640" s="3" t="s">
        <v>64</v>
      </c>
      <c r="K640" s="3">
        <v>33886</v>
      </c>
      <c r="L640" s="3" t="s">
        <v>31</v>
      </c>
      <c r="M640" s="1" t="s">
        <v>1782</v>
      </c>
      <c r="N640" s="4" t="s">
        <v>33</v>
      </c>
      <c r="O640" s="1" t="s">
        <v>20</v>
      </c>
      <c r="P640" s="1">
        <v>0</v>
      </c>
      <c r="Q640" s="28" t="s">
        <v>1798</v>
      </c>
      <c r="R640" s="44" t="s">
        <v>1799</v>
      </c>
      <c r="S640" s="17" t="s">
        <v>1800</v>
      </c>
    </row>
    <row r="641" spans="1:19" ht="12.75">
      <c r="A641" s="41">
        <v>219</v>
      </c>
      <c r="B641" s="41">
        <v>2021</v>
      </c>
      <c r="C641" s="1" t="s">
        <v>102</v>
      </c>
      <c r="D641" s="42">
        <v>44502</v>
      </c>
      <c r="E641" s="1" t="s">
        <v>20</v>
      </c>
      <c r="F641" s="1" t="s">
        <v>37</v>
      </c>
      <c r="G641" s="41">
        <v>1</v>
      </c>
      <c r="H641" s="41">
        <v>4</v>
      </c>
      <c r="I641" s="41">
        <v>2</v>
      </c>
      <c r="J641" s="3" t="s">
        <v>416</v>
      </c>
      <c r="K641" s="3">
        <v>33451</v>
      </c>
      <c r="L641" s="3" t="s">
        <v>61</v>
      </c>
      <c r="M641" s="1" t="s">
        <v>1801</v>
      </c>
      <c r="N641" s="4" t="s">
        <v>33</v>
      </c>
      <c r="O641" s="1" t="s">
        <v>23</v>
      </c>
      <c r="P641" s="1" t="s">
        <v>23</v>
      </c>
      <c r="Q641" s="7" t="s">
        <v>23</v>
      </c>
      <c r="R641" s="8" t="s">
        <v>23</v>
      </c>
      <c r="S641" s="20" t="s">
        <v>23</v>
      </c>
    </row>
    <row r="642" spans="1:19" ht="12.75">
      <c r="A642" s="41">
        <v>219</v>
      </c>
      <c r="B642" s="41">
        <v>2021</v>
      </c>
      <c r="C642" s="1" t="s">
        <v>102</v>
      </c>
      <c r="D642" s="42">
        <v>44502</v>
      </c>
      <c r="E642" s="1" t="s">
        <v>20</v>
      </c>
      <c r="F642" s="1" t="s">
        <v>37</v>
      </c>
      <c r="G642" s="41">
        <v>1</v>
      </c>
      <c r="H642" s="41">
        <v>4</v>
      </c>
      <c r="I642" s="41">
        <v>3</v>
      </c>
      <c r="J642" s="3" t="s">
        <v>416</v>
      </c>
      <c r="K642" s="3">
        <v>33455</v>
      </c>
      <c r="L642" s="3" t="s">
        <v>61</v>
      </c>
      <c r="M642" s="1" t="s">
        <v>1802</v>
      </c>
      <c r="N642" s="4" t="s">
        <v>20</v>
      </c>
      <c r="O642" s="1" t="s">
        <v>23</v>
      </c>
      <c r="P642" s="1" t="s">
        <v>23</v>
      </c>
      <c r="Q642" s="7" t="s">
        <v>23</v>
      </c>
      <c r="R642" s="8" t="s">
        <v>23</v>
      </c>
      <c r="S642" s="20" t="s">
        <v>23</v>
      </c>
    </row>
    <row r="643" spans="1:19" ht="12.75">
      <c r="A643" s="41">
        <v>219</v>
      </c>
      <c r="B643" s="41">
        <v>2021</v>
      </c>
      <c r="C643" s="1" t="s">
        <v>102</v>
      </c>
      <c r="D643" s="42">
        <v>44502</v>
      </c>
      <c r="E643" s="1" t="s">
        <v>20</v>
      </c>
      <c r="F643" s="1" t="s">
        <v>37</v>
      </c>
      <c r="G643" s="41">
        <v>1</v>
      </c>
      <c r="H643" s="41">
        <v>4</v>
      </c>
      <c r="I643" s="41">
        <v>4</v>
      </c>
      <c r="J643" s="3" t="s">
        <v>416</v>
      </c>
      <c r="K643" s="3">
        <v>33456</v>
      </c>
      <c r="L643" s="3" t="s">
        <v>61</v>
      </c>
      <c r="M643" s="1" t="s">
        <v>1803</v>
      </c>
      <c r="N643" s="4" t="s">
        <v>20</v>
      </c>
      <c r="O643" s="1" t="s">
        <v>23</v>
      </c>
      <c r="P643" s="1" t="s">
        <v>23</v>
      </c>
      <c r="Q643" s="7" t="s">
        <v>23</v>
      </c>
      <c r="R643" s="8" t="s">
        <v>23</v>
      </c>
      <c r="S643" s="20" t="s">
        <v>23</v>
      </c>
    </row>
    <row r="644" spans="1:19" ht="12.75">
      <c r="A644" s="41">
        <v>220</v>
      </c>
      <c r="B644" s="41">
        <v>2021</v>
      </c>
      <c r="C644" s="1" t="s">
        <v>102</v>
      </c>
      <c r="D644" s="42">
        <v>44504</v>
      </c>
      <c r="E644" s="1" t="s">
        <v>20</v>
      </c>
      <c r="F644" s="1" t="s">
        <v>55</v>
      </c>
      <c r="G644" s="41">
        <v>1</v>
      </c>
      <c r="H644" s="41">
        <v>1</v>
      </c>
      <c r="I644" s="41">
        <v>1</v>
      </c>
      <c r="J644" s="3" t="s">
        <v>23</v>
      </c>
      <c r="K644" s="3" t="s">
        <v>23</v>
      </c>
      <c r="L644" s="3" t="s">
        <v>23</v>
      </c>
      <c r="M644" s="1" t="s">
        <v>1804</v>
      </c>
      <c r="N644" s="1" t="s">
        <v>23</v>
      </c>
      <c r="O644" s="1" t="s">
        <v>33</v>
      </c>
      <c r="P644" s="1">
        <v>2</v>
      </c>
      <c r="Q644" s="28" t="s">
        <v>1805</v>
      </c>
      <c r="R644" s="44" t="s">
        <v>1806</v>
      </c>
      <c r="S644" s="17" t="s">
        <v>1807</v>
      </c>
    </row>
    <row r="645" spans="1:19" ht="12.75">
      <c r="A645" s="41">
        <v>221</v>
      </c>
      <c r="B645" s="41">
        <v>2021</v>
      </c>
      <c r="C645" s="1" t="s">
        <v>102</v>
      </c>
      <c r="D645" s="42">
        <v>44516</v>
      </c>
      <c r="E645" s="1" t="s">
        <v>33</v>
      </c>
      <c r="F645" s="6" t="s">
        <v>98</v>
      </c>
      <c r="G645" s="41">
        <v>2</v>
      </c>
      <c r="H645" s="41">
        <v>1</v>
      </c>
      <c r="I645" s="41">
        <v>1</v>
      </c>
      <c r="J645" s="3" t="s">
        <v>30</v>
      </c>
      <c r="K645" s="3">
        <v>31310</v>
      </c>
      <c r="L645" s="14" t="s">
        <v>61</v>
      </c>
      <c r="M645" s="1" t="s">
        <v>1808</v>
      </c>
      <c r="N645" s="4" t="s">
        <v>20</v>
      </c>
      <c r="O645" s="1" t="s">
        <v>20</v>
      </c>
      <c r="P645" s="1">
        <v>0</v>
      </c>
      <c r="Q645" s="28" t="s">
        <v>1809</v>
      </c>
      <c r="R645" s="44" t="s">
        <v>1810</v>
      </c>
      <c r="S645" s="26" t="s">
        <v>1811</v>
      </c>
    </row>
    <row r="646" spans="1:19" ht="12.75">
      <c r="A646" s="41">
        <v>222</v>
      </c>
      <c r="B646" s="41">
        <v>2021</v>
      </c>
      <c r="C646" s="1" t="s">
        <v>102</v>
      </c>
      <c r="D646" s="42">
        <v>44516</v>
      </c>
      <c r="E646" s="1" t="s">
        <v>33</v>
      </c>
      <c r="F646" s="6" t="s">
        <v>1039</v>
      </c>
      <c r="G646" s="41">
        <v>2</v>
      </c>
      <c r="H646" s="41">
        <v>1</v>
      </c>
      <c r="I646" s="41">
        <v>1</v>
      </c>
      <c r="J646" s="3" t="s">
        <v>30</v>
      </c>
      <c r="K646" s="3">
        <v>33583</v>
      </c>
      <c r="L646" s="3" t="s">
        <v>31</v>
      </c>
      <c r="M646" s="1" t="s">
        <v>1812</v>
      </c>
      <c r="N646" s="4" t="s">
        <v>33</v>
      </c>
      <c r="O646" s="1" t="s">
        <v>33</v>
      </c>
      <c r="P646" s="1">
        <v>1</v>
      </c>
      <c r="Q646" s="28" t="s">
        <v>1813</v>
      </c>
      <c r="R646" s="44" t="s">
        <v>1814</v>
      </c>
      <c r="S646" s="26" t="s">
        <v>1815</v>
      </c>
    </row>
    <row r="647" spans="1:19" ht="12.75">
      <c r="A647" s="41">
        <v>223</v>
      </c>
      <c r="B647" s="41">
        <v>2021</v>
      </c>
      <c r="C647" s="1" t="s">
        <v>102</v>
      </c>
      <c r="D647" s="42">
        <v>44516</v>
      </c>
      <c r="E647" s="1" t="s">
        <v>33</v>
      </c>
      <c r="F647" s="6" t="s">
        <v>1816</v>
      </c>
      <c r="G647" s="41">
        <v>3</v>
      </c>
      <c r="H647" s="41">
        <v>1</v>
      </c>
      <c r="I647" s="41">
        <v>1</v>
      </c>
      <c r="J647" s="3" t="s">
        <v>30</v>
      </c>
      <c r="K647" s="3">
        <v>33153</v>
      </c>
      <c r="L647" s="14" t="s">
        <v>61</v>
      </c>
      <c r="M647" s="1" t="s">
        <v>1817</v>
      </c>
      <c r="N647" s="25" t="s">
        <v>20</v>
      </c>
      <c r="O647" s="1" t="s">
        <v>20</v>
      </c>
      <c r="P647" s="1">
        <v>0</v>
      </c>
      <c r="Q647" s="28" t="s">
        <v>1818</v>
      </c>
      <c r="R647" s="44" t="s">
        <v>1819</v>
      </c>
      <c r="S647" s="24" t="s">
        <v>1820</v>
      </c>
    </row>
    <row r="648" spans="1:19" ht="12.75">
      <c r="A648" s="41">
        <v>224</v>
      </c>
      <c r="B648" s="41">
        <v>2021</v>
      </c>
      <c r="C648" s="1" t="s">
        <v>102</v>
      </c>
      <c r="D648" s="42">
        <v>44518</v>
      </c>
      <c r="E648" s="1" t="s">
        <v>33</v>
      </c>
      <c r="F648" s="6" t="s">
        <v>282</v>
      </c>
      <c r="G648" s="41">
        <v>2</v>
      </c>
      <c r="H648" s="41">
        <v>2</v>
      </c>
      <c r="I648" s="41">
        <v>1</v>
      </c>
      <c r="J648" s="3" t="s">
        <v>30</v>
      </c>
      <c r="K648" s="3">
        <v>32770</v>
      </c>
      <c r="L648" s="14" t="s">
        <v>61</v>
      </c>
      <c r="M648" s="1" t="s">
        <v>1748</v>
      </c>
      <c r="N648" s="4" t="s">
        <v>20</v>
      </c>
      <c r="O648" s="1" t="s">
        <v>33</v>
      </c>
      <c r="P648" s="1">
        <v>1</v>
      </c>
      <c r="Q648" s="28" t="s">
        <v>1821</v>
      </c>
      <c r="R648" s="44" t="s">
        <v>1822</v>
      </c>
      <c r="S648" s="26" t="s">
        <v>1823</v>
      </c>
    </row>
    <row r="649" spans="1:19" ht="12.75">
      <c r="A649" s="41">
        <v>224</v>
      </c>
      <c r="B649" s="41">
        <v>2021</v>
      </c>
      <c r="C649" s="1" t="s">
        <v>102</v>
      </c>
      <c r="D649" s="42">
        <v>44518</v>
      </c>
      <c r="E649" s="1" t="s">
        <v>33</v>
      </c>
      <c r="F649" s="6" t="s">
        <v>282</v>
      </c>
      <c r="G649" s="41">
        <v>2</v>
      </c>
      <c r="H649" s="41">
        <v>2</v>
      </c>
      <c r="I649" s="41">
        <v>2</v>
      </c>
      <c r="J649" s="3" t="s">
        <v>30</v>
      </c>
      <c r="K649" s="3">
        <v>32537</v>
      </c>
      <c r="L649" s="3" t="s">
        <v>61</v>
      </c>
      <c r="M649" s="1" t="s">
        <v>1752</v>
      </c>
      <c r="N649" s="4" t="s">
        <v>20</v>
      </c>
      <c r="O649" s="1" t="s">
        <v>23</v>
      </c>
      <c r="P649" s="1" t="s">
        <v>23</v>
      </c>
      <c r="Q649" s="7" t="s">
        <v>23</v>
      </c>
      <c r="R649" s="8" t="s">
        <v>23</v>
      </c>
      <c r="S649" s="20" t="s">
        <v>23</v>
      </c>
    </row>
    <row r="650" spans="1:19" ht="12.75">
      <c r="A650" s="41">
        <v>225</v>
      </c>
      <c r="B650" s="41">
        <v>2021</v>
      </c>
      <c r="C650" s="1" t="s">
        <v>1824</v>
      </c>
      <c r="D650" s="42">
        <v>44523</v>
      </c>
      <c r="E650" s="1" t="s">
        <v>33</v>
      </c>
      <c r="F650" s="6" t="s">
        <v>1825</v>
      </c>
      <c r="G650" s="41">
        <v>3</v>
      </c>
      <c r="H650" s="41">
        <v>3</v>
      </c>
      <c r="I650" s="41">
        <v>1</v>
      </c>
      <c r="J650" s="3" t="s">
        <v>30</v>
      </c>
      <c r="K650" s="3">
        <v>34131</v>
      </c>
      <c r="L650" s="3" t="s">
        <v>31</v>
      </c>
      <c r="M650" s="1" t="s">
        <v>1826</v>
      </c>
      <c r="N650" s="4" t="s">
        <v>20</v>
      </c>
      <c r="O650" s="1" t="s">
        <v>33</v>
      </c>
      <c r="P650" s="1">
        <v>2</v>
      </c>
      <c r="Q650" s="28" t="s">
        <v>1827</v>
      </c>
      <c r="R650" s="44" t="s">
        <v>1828</v>
      </c>
      <c r="S650" s="26" t="s">
        <v>1829</v>
      </c>
    </row>
    <row r="651" spans="1:19" ht="12.75">
      <c r="A651" s="41">
        <v>225</v>
      </c>
      <c r="B651" s="41">
        <v>2021</v>
      </c>
      <c r="C651" s="1" t="s">
        <v>1824</v>
      </c>
      <c r="D651" s="42">
        <v>44523</v>
      </c>
      <c r="E651" s="1" t="s">
        <v>33</v>
      </c>
      <c r="F651" s="6" t="s">
        <v>1825</v>
      </c>
      <c r="G651" s="41">
        <v>3</v>
      </c>
      <c r="H651" s="41">
        <v>3</v>
      </c>
      <c r="I651" s="41">
        <v>2</v>
      </c>
      <c r="J651" s="3" t="s">
        <v>30</v>
      </c>
      <c r="K651" s="3">
        <v>34132</v>
      </c>
      <c r="L651" s="3" t="s">
        <v>31</v>
      </c>
      <c r="M651" s="1" t="s">
        <v>1830</v>
      </c>
      <c r="N651" s="4" t="s">
        <v>20</v>
      </c>
      <c r="O651" s="1" t="s">
        <v>23</v>
      </c>
      <c r="P651" s="1" t="s">
        <v>23</v>
      </c>
      <c r="Q651" s="7" t="s">
        <v>23</v>
      </c>
      <c r="R651" s="8" t="s">
        <v>23</v>
      </c>
      <c r="S651" s="20" t="s">
        <v>23</v>
      </c>
    </row>
    <row r="652" spans="1:19" ht="12.75">
      <c r="A652" s="41">
        <v>225</v>
      </c>
      <c r="B652" s="41">
        <v>2021</v>
      </c>
      <c r="C652" s="1" t="s">
        <v>1824</v>
      </c>
      <c r="D652" s="42">
        <v>44523</v>
      </c>
      <c r="E652" s="1" t="s">
        <v>33</v>
      </c>
      <c r="F652" s="6" t="s">
        <v>1825</v>
      </c>
      <c r="G652" s="41">
        <v>3</v>
      </c>
      <c r="H652" s="41">
        <v>3</v>
      </c>
      <c r="I652" s="41">
        <v>3</v>
      </c>
      <c r="J652" s="3" t="s">
        <v>30</v>
      </c>
      <c r="K652" s="3">
        <v>34133</v>
      </c>
      <c r="L652" s="3" t="s">
        <v>31</v>
      </c>
      <c r="M652" s="1" t="s">
        <v>1831</v>
      </c>
      <c r="N652" s="4" t="s">
        <v>20</v>
      </c>
      <c r="O652" s="1" t="s">
        <v>23</v>
      </c>
      <c r="P652" s="1" t="s">
        <v>23</v>
      </c>
      <c r="Q652" s="7" t="s">
        <v>23</v>
      </c>
      <c r="R652" s="8" t="s">
        <v>23</v>
      </c>
      <c r="S652" s="20" t="s">
        <v>23</v>
      </c>
    </row>
    <row r="653" spans="1:19" ht="12.75">
      <c r="A653" s="41">
        <v>226</v>
      </c>
      <c r="B653" s="41">
        <v>2021</v>
      </c>
      <c r="C653" s="1" t="s">
        <v>102</v>
      </c>
      <c r="D653" s="42">
        <v>44523</v>
      </c>
      <c r="E653" s="1" t="s">
        <v>33</v>
      </c>
      <c r="F653" s="6" t="s">
        <v>1832</v>
      </c>
      <c r="G653" s="41">
        <v>2</v>
      </c>
      <c r="H653" s="41">
        <v>1</v>
      </c>
      <c r="I653" s="41">
        <v>1</v>
      </c>
      <c r="J653" s="3" t="s">
        <v>30</v>
      </c>
      <c r="K653" s="3">
        <v>34170</v>
      </c>
      <c r="L653" s="3" t="s">
        <v>61</v>
      </c>
      <c r="M653" s="1" t="s">
        <v>1833</v>
      </c>
      <c r="N653" s="4" t="s">
        <v>33</v>
      </c>
      <c r="O653" s="1" t="s">
        <v>20</v>
      </c>
      <c r="P653" s="1">
        <v>0</v>
      </c>
      <c r="Q653" s="28" t="s">
        <v>1834</v>
      </c>
      <c r="R653" s="44" t="s">
        <v>1835</v>
      </c>
      <c r="S653" s="17" t="s">
        <v>1836</v>
      </c>
    </row>
    <row r="654" spans="1:19" ht="12.75">
      <c r="A654" s="41">
        <v>227</v>
      </c>
      <c r="B654" s="41">
        <v>2021</v>
      </c>
      <c r="C654" s="1" t="s">
        <v>102</v>
      </c>
      <c r="D654" s="42">
        <v>44523</v>
      </c>
      <c r="E654" s="1" t="s">
        <v>20</v>
      </c>
      <c r="F654" s="1" t="s">
        <v>43</v>
      </c>
      <c r="G654" s="41">
        <v>1</v>
      </c>
      <c r="H654" s="41">
        <v>1</v>
      </c>
      <c r="I654" s="41">
        <v>1</v>
      </c>
      <c r="J654" s="3" t="s">
        <v>30</v>
      </c>
      <c r="K654" s="3">
        <v>32460</v>
      </c>
      <c r="L654" s="14" t="s">
        <v>61</v>
      </c>
      <c r="M654" s="1" t="s">
        <v>1157</v>
      </c>
      <c r="N654" s="4" t="s">
        <v>20</v>
      </c>
      <c r="O654" s="1" t="s">
        <v>33</v>
      </c>
      <c r="P654" s="1">
        <v>2</v>
      </c>
      <c r="Q654" s="28" t="s">
        <v>1837</v>
      </c>
      <c r="R654" s="44" t="s">
        <v>1838</v>
      </c>
      <c r="S654" s="17" t="s">
        <v>1839</v>
      </c>
    </row>
    <row r="655" spans="1:19" ht="12.75">
      <c r="A655" s="41">
        <v>228</v>
      </c>
      <c r="B655" s="41">
        <v>2021</v>
      </c>
      <c r="C655" s="1" t="s">
        <v>19</v>
      </c>
      <c r="D655" s="42">
        <v>44524</v>
      </c>
      <c r="E655" s="1" t="s">
        <v>20</v>
      </c>
      <c r="F655" s="1" t="s">
        <v>39</v>
      </c>
      <c r="G655" s="41">
        <v>1</v>
      </c>
      <c r="H655" s="41">
        <v>1</v>
      </c>
      <c r="I655" s="41">
        <v>1</v>
      </c>
      <c r="J655" s="3" t="s">
        <v>23</v>
      </c>
      <c r="K655" s="3" t="s">
        <v>23</v>
      </c>
      <c r="L655" s="3" t="s">
        <v>23</v>
      </c>
      <c r="M655" s="1" t="s">
        <v>1840</v>
      </c>
      <c r="N655" s="1" t="s">
        <v>23</v>
      </c>
      <c r="O655" s="1" t="s">
        <v>20</v>
      </c>
      <c r="P655" s="1">
        <v>0</v>
      </c>
      <c r="Q655" s="7" t="s">
        <v>23</v>
      </c>
      <c r="R655" s="45" t="s">
        <v>23</v>
      </c>
      <c r="S655" s="17" t="s">
        <v>1841</v>
      </c>
    </row>
    <row r="656" spans="1:19" ht="12.75">
      <c r="A656" s="41">
        <v>229</v>
      </c>
      <c r="B656" s="41">
        <v>2021</v>
      </c>
      <c r="C656" s="1" t="s">
        <v>102</v>
      </c>
      <c r="D656" s="42">
        <v>44524</v>
      </c>
      <c r="E656" s="1" t="s">
        <v>33</v>
      </c>
      <c r="F656" s="6" t="s">
        <v>1842</v>
      </c>
      <c r="G656" s="18">
        <v>4</v>
      </c>
      <c r="H656" s="41">
        <v>1</v>
      </c>
      <c r="I656" s="41">
        <v>1</v>
      </c>
      <c r="J656" s="3" t="s">
        <v>30</v>
      </c>
      <c r="K656" s="3">
        <v>30707</v>
      </c>
      <c r="L656" s="14" t="s">
        <v>61</v>
      </c>
      <c r="M656" s="1" t="s">
        <v>1843</v>
      </c>
      <c r="N656" s="4" t="s">
        <v>33</v>
      </c>
      <c r="O656" s="1" t="s">
        <v>20</v>
      </c>
      <c r="P656" s="1">
        <v>0</v>
      </c>
      <c r="Q656" s="28" t="s">
        <v>1844</v>
      </c>
      <c r="R656" s="8" t="s">
        <v>23</v>
      </c>
      <c r="S656" s="34" t="s">
        <v>1845</v>
      </c>
    </row>
    <row r="657" spans="1:19" ht="12.75">
      <c r="A657" s="41">
        <v>230</v>
      </c>
      <c r="B657" s="41">
        <v>2021</v>
      </c>
      <c r="C657" s="1" t="s">
        <v>1824</v>
      </c>
      <c r="D657" s="42">
        <v>44525</v>
      </c>
      <c r="E657" s="1" t="s">
        <v>33</v>
      </c>
      <c r="F657" s="6" t="s">
        <v>1825</v>
      </c>
      <c r="G657" s="41">
        <v>3</v>
      </c>
      <c r="H657" s="41">
        <v>3</v>
      </c>
      <c r="I657" s="41">
        <v>1</v>
      </c>
      <c r="J657" s="3" t="s">
        <v>30</v>
      </c>
      <c r="K657" s="3">
        <v>34131</v>
      </c>
      <c r="L657" s="3" t="s">
        <v>31</v>
      </c>
      <c r="M657" s="1" t="s">
        <v>1826</v>
      </c>
      <c r="N657" s="4" t="s">
        <v>20</v>
      </c>
      <c r="O657" s="1" t="s">
        <v>33</v>
      </c>
      <c r="P657" s="1">
        <v>1</v>
      </c>
      <c r="Q657" s="28" t="s">
        <v>1846</v>
      </c>
      <c r="R657" s="44" t="s">
        <v>1847</v>
      </c>
      <c r="S657" s="26" t="s">
        <v>1848</v>
      </c>
    </row>
    <row r="658" spans="1:19" ht="12.75">
      <c r="A658" s="41">
        <v>230</v>
      </c>
      <c r="B658" s="41">
        <v>2021</v>
      </c>
      <c r="C658" s="1" t="s">
        <v>1824</v>
      </c>
      <c r="D658" s="42">
        <v>44525</v>
      </c>
      <c r="E658" s="1" t="s">
        <v>33</v>
      </c>
      <c r="F658" s="6" t="s">
        <v>1825</v>
      </c>
      <c r="G658" s="41">
        <v>3</v>
      </c>
      <c r="H658" s="41">
        <v>3</v>
      </c>
      <c r="I658" s="41">
        <v>2</v>
      </c>
      <c r="J658" s="3" t="s">
        <v>30</v>
      </c>
      <c r="K658" s="3">
        <v>34132</v>
      </c>
      <c r="L658" s="3" t="s">
        <v>31</v>
      </c>
      <c r="M658" s="1" t="s">
        <v>1849</v>
      </c>
      <c r="N658" s="4" t="s">
        <v>20</v>
      </c>
      <c r="O658" s="1" t="s">
        <v>23</v>
      </c>
      <c r="P658" s="1" t="s">
        <v>23</v>
      </c>
      <c r="Q658" s="7" t="s">
        <v>23</v>
      </c>
      <c r="R658" s="8" t="s">
        <v>23</v>
      </c>
      <c r="S658" s="20" t="s">
        <v>23</v>
      </c>
    </row>
    <row r="659" spans="1:19" ht="12.75">
      <c r="A659" s="41">
        <v>230</v>
      </c>
      <c r="B659" s="41">
        <v>2021</v>
      </c>
      <c r="C659" s="1" t="s">
        <v>1824</v>
      </c>
      <c r="D659" s="42">
        <v>44525</v>
      </c>
      <c r="E659" s="1" t="s">
        <v>33</v>
      </c>
      <c r="F659" s="6" t="s">
        <v>1825</v>
      </c>
      <c r="G659" s="41">
        <v>3</v>
      </c>
      <c r="H659" s="41">
        <v>3</v>
      </c>
      <c r="I659" s="41">
        <v>3</v>
      </c>
      <c r="J659" s="3" t="s">
        <v>30</v>
      </c>
      <c r="K659" s="3">
        <v>34133</v>
      </c>
      <c r="L659" s="3" t="s">
        <v>31</v>
      </c>
      <c r="M659" s="1" t="s">
        <v>1831</v>
      </c>
      <c r="N659" s="4" t="s">
        <v>20</v>
      </c>
      <c r="O659" s="1" t="s">
        <v>23</v>
      </c>
      <c r="P659" s="1" t="s">
        <v>23</v>
      </c>
      <c r="Q659" s="7" t="s">
        <v>23</v>
      </c>
      <c r="R659" s="8" t="s">
        <v>23</v>
      </c>
      <c r="S659" s="20" t="s">
        <v>23</v>
      </c>
    </row>
    <row r="660" spans="1:19" ht="12.75">
      <c r="A660" s="41">
        <v>231</v>
      </c>
      <c r="B660" s="41">
        <v>2021</v>
      </c>
      <c r="C660" s="1" t="s">
        <v>102</v>
      </c>
      <c r="D660" s="42">
        <v>44525</v>
      </c>
      <c r="E660" s="1" t="s">
        <v>33</v>
      </c>
      <c r="F660" s="6" t="s">
        <v>1850</v>
      </c>
      <c r="G660" s="41">
        <v>2</v>
      </c>
      <c r="H660" s="41">
        <v>1</v>
      </c>
      <c r="I660" s="41">
        <v>1</v>
      </c>
      <c r="J660" s="3" t="s">
        <v>30</v>
      </c>
      <c r="K660" s="3">
        <v>34072</v>
      </c>
      <c r="L660" s="3" t="s">
        <v>31</v>
      </c>
      <c r="M660" s="1" t="s">
        <v>1851</v>
      </c>
      <c r="N660" s="4" t="s">
        <v>20</v>
      </c>
      <c r="O660" s="1" t="s">
        <v>33</v>
      </c>
      <c r="P660" s="1">
        <v>1</v>
      </c>
      <c r="Q660" s="28" t="s">
        <v>1852</v>
      </c>
      <c r="R660" s="44" t="s">
        <v>1853</v>
      </c>
      <c r="S660" s="24" t="s">
        <v>1854</v>
      </c>
    </row>
    <row r="661" spans="1:19" ht="12.75">
      <c r="A661" s="41">
        <v>232</v>
      </c>
      <c r="B661" s="41">
        <v>2021</v>
      </c>
      <c r="C661" s="1" t="s">
        <v>102</v>
      </c>
      <c r="D661" s="42">
        <v>44525</v>
      </c>
      <c r="E661" s="1" t="s">
        <v>33</v>
      </c>
      <c r="F661" s="6" t="s">
        <v>98</v>
      </c>
      <c r="G661" s="41">
        <v>2</v>
      </c>
      <c r="H661" s="41">
        <v>4</v>
      </c>
      <c r="I661" s="41">
        <v>1</v>
      </c>
      <c r="J661" s="3" t="s">
        <v>64</v>
      </c>
      <c r="K661" s="3">
        <v>33955</v>
      </c>
      <c r="L661" s="3" t="s">
        <v>31</v>
      </c>
      <c r="M661" s="6" t="s">
        <v>1855</v>
      </c>
      <c r="N661" s="4" t="s">
        <v>33</v>
      </c>
      <c r="O661" s="1" t="s">
        <v>20</v>
      </c>
      <c r="P661" s="1">
        <v>0</v>
      </c>
      <c r="Q661" s="28" t="s">
        <v>1856</v>
      </c>
      <c r="R661" s="44" t="s">
        <v>1857</v>
      </c>
      <c r="S661" s="24" t="s">
        <v>1858</v>
      </c>
    </row>
    <row r="662" spans="1:19" ht="12.75">
      <c r="A662" s="41">
        <v>232</v>
      </c>
      <c r="B662" s="41">
        <v>2021</v>
      </c>
      <c r="C662" s="1" t="s">
        <v>102</v>
      </c>
      <c r="D662" s="42">
        <v>44525</v>
      </c>
      <c r="E662" s="1" t="s">
        <v>33</v>
      </c>
      <c r="F662" s="6" t="s">
        <v>98</v>
      </c>
      <c r="G662" s="41">
        <v>2</v>
      </c>
      <c r="H662" s="41">
        <v>4</v>
      </c>
      <c r="I662" s="41">
        <v>2</v>
      </c>
      <c r="J662" s="3" t="s">
        <v>64</v>
      </c>
      <c r="K662" s="3">
        <v>33963</v>
      </c>
      <c r="L662" s="3" t="s">
        <v>31</v>
      </c>
      <c r="M662" s="1" t="s">
        <v>1859</v>
      </c>
      <c r="N662" s="4" t="s">
        <v>33</v>
      </c>
      <c r="O662" s="1" t="s">
        <v>23</v>
      </c>
      <c r="P662" s="1" t="s">
        <v>23</v>
      </c>
      <c r="Q662" s="7" t="s">
        <v>23</v>
      </c>
      <c r="R662" s="8" t="s">
        <v>23</v>
      </c>
      <c r="S662" s="20" t="s">
        <v>23</v>
      </c>
    </row>
    <row r="663" spans="1:19" ht="12.75">
      <c r="A663" s="41">
        <v>232</v>
      </c>
      <c r="B663" s="41">
        <v>2021</v>
      </c>
      <c r="C663" s="1" t="s">
        <v>102</v>
      </c>
      <c r="D663" s="42">
        <v>44525</v>
      </c>
      <c r="E663" s="1" t="s">
        <v>33</v>
      </c>
      <c r="F663" s="6" t="s">
        <v>98</v>
      </c>
      <c r="G663" s="41">
        <v>2</v>
      </c>
      <c r="H663" s="41">
        <v>4</v>
      </c>
      <c r="I663" s="41">
        <v>3</v>
      </c>
      <c r="J663" s="3" t="s">
        <v>30</v>
      </c>
      <c r="K663" s="3">
        <v>31310</v>
      </c>
      <c r="L663" s="14" t="s">
        <v>61</v>
      </c>
      <c r="M663" s="1" t="s">
        <v>1808</v>
      </c>
      <c r="N663" s="4" t="s">
        <v>20</v>
      </c>
      <c r="O663" s="1" t="s">
        <v>23</v>
      </c>
      <c r="P663" s="1" t="s">
        <v>23</v>
      </c>
      <c r="Q663" s="7" t="s">
        <v>23</v>
      </c>
      <c r="R663" s="8" t="s">
        <v>23</v>
      </c>
      <c r="S663" s="20" t="s">
        <v>23</v>
      </c>
    </row>
    <row r="664" spans="1:19" ht="12.75">
      <c r="A664" s="41">
        <v>232</v>
      </c>
      <c r="B664" s="41">
        <v>2021</v>
      </c>
      <c r="C664" s="1" t="s">
        <v>102</v>
      </c>
      <c r="D664" s="42">
        <v>44525</v>
      </c>
      <c r="E664" s="1" t="s">
        <v>33</v>
      </c>
      <c r="F664" s="6" t="s">
        <v>98</v>
      </c>
      <c r="G664" s="41">
        <v>2</v>
      </c>
      <c r="H664" s="41">
        <v>4</v>
      </c>
      <c r="I664" s="41">
        <v>4</v>
      </c>
      <c r="J664" s="3" t="s">
        <v>30</v>
      </c>
      <c r="K664" s="3">
        <v>34121</v>
      </c>
      <c r="L664" s="3" t="s">
        <v>61</v>
      </c>
      <c r="M664" s="1" t="s">
        <v>1860</v>
      </c>
      <c r="N664" s="4" t="s">
        <v>20</v>
      </c>
      <c r="O664" s="1" t="s">
        <v>23</v>
      </c>
      <c r="P664" s="1" t="s">
        <v>23</v>
      </c>
      <c r="Q664" s="7" t="s">
        <v>23</v>
      </c>
      <c r="R664" s="8" t="s">
        <v>23</v>
      </c>
      <c r="S664" s="20" t="s">
        <v>23</v>
      </c>
    </row>
    <row r="665" spans="1:19" ht="12.75">
      <c r="A665" s="41">
        <v>233</v>
      </c>
      <c r="B665" s="41">
        <v>2021</v>
      </c>
      <c r="C665" s="1" t="s">
        <v>102</v>
      </c>
      <c r="D665" s="42">
        <v>44530</v>
      </c>
      <c r="E665" s="1" t="s">
        <v>33</v>
      </c>
      <c r="F665" s="6" t="s">
        <v>1825</v>
      </c>
      <c r="G665" s="41">
        <v>3</v>
      </c>
      <c r="H665" s="41">
        <v>3</v>
      </c>
      <c r="I665" s="41">
        <v>1</v>
      </c>
      <c r="J665" s="3" t="s">
        <v>30</v>
      </c>
      <c r="K665" s="3">
        <v>34131</v>
      </c>
      <c r="L665" s="3" t="s">
        <v>31</v>
      </c>
      <c r="M665" s="1" t="s">
        <v>1826</v>
      </c>
      <c r="N665" s="4" t="s">
        <v>33</v>
      </c>
      <c r="O665" s="1" t="s">
        <v>20</v>
      </c>
      <c r="P665" s="1">
        <v>0</v>
      </c>
      <c r="Q665" s="28" t="s">
        <v>1861</v>
      </c>
      <c r="R665" s="44" t="s">
        <v>1862</v>
      </c>
      <c r="S665" s="26" t="s">
        <v>1863</v>
      </c>
    </row>
    <row r="666" spans="1:19" ht="12.75">
      <c r="A666" s="41">
        <v>233</v>
      </c>
      <c r="B666" s="41">
        <v>2021</v>
      </c>
      <c r="C666" s="1" t="s">
        <v>102</v>
      </c>
      <c r="D666" s="42">
        <v>44530</v>
      </c>
      <c r="E666" s="1" t="s">
        <v>33</v>
      </c>
      <c r="F666" s="6" t="s">
        <v>1825</v>
      </c>
      <c r="G666" s="41">
        <v>3</v>
      </c>
      <c r="H666" s="41">
        <v>3</v>
      </c>
      <c r="I666" s="41">
        <v>2</v>
      </c>
      <c r="J666" s="3" t="s">
        <v>30</v>
      </c>
      <c r="K666" s="3">
        <v>34132</v>
      </c>
      <c r="L666" s="3" t="s">
        <v>31</v>
      </c>
      <c r="M666" s="1" t="s">
        <v>1849</v>
      </c>
      <c r="N666" s="4" t="s">
        <v>33</v>
      </c>
      <c r="O666" s="1" t="s">
        <v>23</v>
      </c>
      <c r="P666" s="1" t="s">
        <v>23</v>
      </c>
      <c r="Q666" s="7" t="s">
        <v>23</v>
      </c>
      <c r="R666" s="8" t="s">
        <v>23</v>
      </c>
      <c r="S666" s="20" t="s">
        <v>23</v>
      </c>
    </row>
    <row r="667" spans="1:19" ht="12.75">
      <c r="A667" s="41">
        <v>233</v>
      </c>
      <c r="B667" s="41">
        <v>2021</v>
      </c>
      <c r="C667" s="1" t="s">
        <v>102</v>
      </c>
      <c r="D667" s="42">
        <v>44530</v>
      </c>
      <c r="E667" s="1" t="s">
        <v>33</v>
      </c>
      <c r="F667" s="6" t="s">
        <v>1825</v>
      </c>
      <c r="G667" s="41">
        <v>3</v>
      </c>
      <c r="H667" s="41">
        <v>3</v>
      </c>
      <c r="I667" s="41">
        <v>3</v>
      </c>
      <c r="J667" s="3" t="s">
        <v>30</v>
      </c>
      <c r="K667" s="3">
        <v>34133</v>
      </c>
      <c r="L667" s="3" t="s">
        <v>31</v>
      </c>
      <c r="M667" s="1" t="s">
        <v>1831</v>
      </c>
      <c r="N667" s="4" t="s">
        <v>33</v>
      </c>
      <c r="O667" s="1" t="s">
        <v>23</v>
      </c>
      <c r="P667" s="1" t="s">
        <v>23</v>
      </c>
      <c r="Q667" s="7" t="s">
        <v>23</v>
      </c>
      <c r="R667" s="8" t="s">
        <v>23</v>
      </c>
      <c r="S667" s="20" t="s">
        <v>23</v>
      </c>
    </row>
    <row r="668" spans="1:19" ht="12.75">
      <c r="A668" s="41">
        <v>234</v>
      </c>
      <c r="B668" s="41">
        <v>2021</v>
      </c>
      <c r="C668" s="1" t="s">
        <v>102</v>
      </c>
      <c r="D668" s="42">
        <v>44530</v>
      </c>
      <c r="E668" s="1" t="s">
        <v>33</v>
      </c>
      <c r="F668" s="6" t="s">
        <v>1278</v>
      </c>
      <c r="G668" s="41">
        <v>3</v>
      </c>
      <c r="H668" s="41">
        <v>1</v>
      </c>
      <c r="I668" s="41">
        <v>1</v>
      </c>
      <c r="J668" s="3" t="s">
        <v>30</v>
      </c>
      <c r="K668" s="3">
        <v>34236</v>
      </c>
      <c r="L668" s="3" t="s">
        <v>31</v>
      </c>
      <c r="M668" s="1" t="s">
        <v>1864</v>
      </c>
      <c r="N668" s="4" t="s">
        <v>20</v>
      </c>
      <c r="O668" s="1" t="s">
        <v>33</v>
      </c>
      <c r="P668" s="1">
        <v>1</v>
      </c>
      <c r="Q668" s="28" t="s">
        <v>1865</v>
      </c>
      <c r="R668" s="44" t="s">
        <v>1866</v>
      </c>
      <c r="S668" s="24" t="s">
        <v>1867</v>
      </c>
    </row>
    <row r="669" spans="1:19" ht="12.75">
      <c r="A669" s="41">
        <v>235</v>
      </c>
      <c r="B669" s="41">
        <v>2021</v>
      </c>
      <c r="C669" s="1" t="s">
        <v>102</v>
      </c>
      <c r="D669" s="42">
        <v>44530</v>
      </c>
      <c r="E669" s="1" t="s">
        <v>33</v>
      </c>
      <c r="F669" s="6" t="s">
        <v>98</v>
      </c>
      <c r="G669" s="41">
        <v>2</v>
      </c>
      <c r="H669" s="41">
        <v>2</v>
      </c>
      <c r="I669" s="41">
        <v>1</v>
      </c>
      <c r="J669" s="3" t="s">
        <v>30</v>
      </c>
      <c r="K669" s="3">
        <v>31310</v>
      </c>
      <c r="L669" s="14" t="s">
        <v>61</v>
      </c>
      <c r="M669" s="1" t="s">
        <v>1808</v>
      </c>
      <c r="N669" s="4" t="s">
        <v>20</v>
      </c>
      <c r="O669" s="1" t="s">
        <v>20</v>
      </c>
      <c r="P669" s="1">
        <v>0</v>
      </c>
      <c r="Q669" s="28" t="s">
        <v>1868</v>
      </c>
      <c r="R669" s="44" t="s">
        <v>1869</v>
      </c>
      <c r="S669" s="17" t="s">
        <v>1870</v>
      </c>
    </row>
    <row r="670" spans="1:19" ht="12.75">
      <c r="A670" s="41">
        <v>235</v>
      </c>
      <c r="B670" s="41">
        <v>2021</v>
      </c>
      <c r="C670" s="1" t="s">
        <v>102</v>
      </c>
      <c r="D670" s="42">
        <v>44530</v>
      </c>
      <c r="E670" s="1" t="s">
        <v>33</v>
      </c>
      <c r="F670" s="6" t="s">
        <v>98</v>
      </c>
      <c r="G670" s="41">
        <v>2</v>
      </c>
      <c r="H670" s="41">
        <v>2</v>
      </c>
      <c r="I670" s="41">
        <v>2</v>
      </c>
      <c r="J670" s="3" t="s">
        <v>30</v>
      </c>
      <c r="K670" s="3">
        <v>34121</v>
      </c>
      <c r="L670" s="3" t="s">
        <v>61</v>
      </c>
      <c r="M670" s="1" t="s">
        <v>1860</v>
      </c>
      <c r="N670" s="4" t="s">
        <v>20</v>
      </c>
      <c r="O670" s="1" t="s">
        <v>23</v>
      </c>
      <c r="P670" s="1" t="s">
        <v>23</v>
      </c>
      <c r="Q670" s="7" t="s">
        <v>23</v>
      </c>
      <c r="R670" s="8" t="s">
        <v>23</v>
      </c>
      <c r="S670" s="20" t="s">
        <v>23</v>
      </c>
    </row>
    <row r="671" spans="1:19" ht="12.75">
      <c r="A671" s="41">
        <v>236</v>
      </c>
      <c r="B671" s="41">
        <v>2021</v>
      </c>
      <c r="C671" s="1" t="s">
        <v>1824</v>
      </c>
      <c r="D671" s="42">
        <v>44532</v>
      </c>
      <c r="E671" s="1" t="s">
        <v>33</v>
      </c>
      <c r="F671" s="6" t="s">
        <v>1825</v>
      </c>
      <c r="G671" s="41">
        <v>3</v>
      </c>
      <c r="H671" s="41">
        <v>3</v>
      </c>
      <c r="I671" s="41">
        <v>1</v>
      </c>
      <c r="J671" s="3" t="s">
        <v>30</v>
      </c>
      <c r="K671" s="3">
        <v>34131</v>
      </c>
      <c r="L671" s="3" t="s">
        <v>31</v>
      </c>
      <c r="M671" s="1" t="s">
        <v>1826</v>
      </c>
      <c r="N671" s="4" t="s">
        <v>20</v>
      </c>
      <c r="O671" s="1" t="s">
        <v>33</v>
      </c>
      <c r="P671" s="1">
        <v>2</v>
      </c>
      <c r="Q671" s="28" t="s">
        <v>1871</v>
      </c>
      <c r="R671" s="44" t="s">
        <v>1872</v>
      </c>
      <c r="S671" s="26" t="s">
        <v>1873</v>
      </c>
    </row>
    <row r="672" spans="1:19" ht="12.75">
      <c r="A672" s="41">
        <v>236</v>
      </c>
      <c r="B672" s="41">
        <v>2021</v>
      </c>
      <c r="C672" s="1" t="s">
        <v>1824</v>
      </c>
      <c r="D672" s="42">
        <v>44532</v>
      </c>
      <c r="E672" s="1" t="s">
        <v>33</v>
      </c>
      <c r="F672" s="6" t="s">
        <v>1825</v>
      </c>
      <c r="G672" s="41">
        <v>3</v>
      </c>
      <c r="H672" s="41">
        <v>3</v>
      </c>
      <c r="I672" s="41">
        <v>2</v>
      </c>
      <c r="J672" s="3" t="s">
        <v>30</v>
      </c>
      <c r="K672" s="3">
        <v>34132</v>
      </c>
      <c r="L672" s="3" t="s">
        <v>31</v>
      </c>
      <c r="M672" s="1" t="s">
        <v>1849</v>
      </c>
      <c r="N672" s="4" t="s">
        <v>20</v>
      </c>
      <c r="O672" s="1" t="s">
        <v>23</v>
      </c>
      <c r="P672" s="1" t="s">
        <v>23</v>
      </c>
      <c r="Q672" s="7" t="s">
        <v>23</v>
      </c>
      <c r="R672" s="8" t="s">
        <v>23</v>
      </c>
      <c r="S672" s="20" t="s">
        <v>23</v>
      </c>
    </row>
    <row r="673" spans="1:19" ht="12.75">
      <c r="A673" s="41">
        <v>236</v>
      </c>
      <c r="B673" s="41">
        <v>2021</v>
      </c>
      <c r="C673" s="1" t="s">
        <v>1824</v>
      </c>
      <c r="D673" s="42">
        <v>44532</v>
      </c>
      <c r="E673" s="1" t="s">
        <v>33</v>
      </c>
      <c r="F673" s="6" t="s">
        <v>1825</v>
      </c>
      <c r="G673" s="41">
        <v>3</v>
      </c>
      <c r="H673" s="41">
        <v>3</v>
      </c>
      <c r="I673" s="41">
        <v>3</v>
      </c>
      <c r="J673" s="3" t="s">
        <v>30</v>
      </c>
      <c r="K673" s="3">
        <v>34133</v>
      </c>
      <c r="L673" s="3" t="s">
        <v>31</v>
      </c>
      <c r="M673" s="1" t="s">
        <v>1831</v>
      </c>
      <c r="N673" s="4" t="s">
        <v>20</v>
      </c>
      <c r="O673" s="1" t="s">
        <v>23</v>
      </c>
      <c r="P673" s="1" t="s">
        <v>23</v>
      </c>
      <c r="Q673" s="7" t="s">
        <v>23</v>
      </c>
      <c r="R673" s="8" t="s">
        <v>23</v>
      </c>
      <c r="S673" s="20" t="s">
        <v>23</v>
      </c>
    </row>
    <row r="674" spans="1:19" ht="12.75">
      <c r="A674" s="41">
        <v>237</v>
      </c>
      <c r="B674" s="41">
        <v>2021</v>
      </c>
      <c r="C674" s="1" t="s">
        <v>102</v>
      </c>
      <c r="D674" s="42">
        <v>44532</v>
      </c>
      <c r="E674" s="1" t="s">
        <v>20</v>
      </c>
      <c r="F674" s="1" t="s">
        <v>43</v>
      </c>
      <c r="G674" s="41">
        <v>1</v>
      </c>
      <c r="H674" s="41">
        <v>1</v>
      </c>
      <c r="I674" s="41">
        <v>1</v>
      </c>
      <c r="J674" s="3" t="s">
        <v>71</v>
      </c>
      <c r="K674" s="3">
        <v>34018</v>
      </c>
      <c r="L674" s="3" t="s">
        <v>61</v>
      </c>
      <c r="M674" s="1" t="s">
        <v>1874</v>
      </c>
      <c r="N674" s="4" t="s">
        <v>20</v>
      </c>
      <c r="O674" s="1" t="s">
        <v>20</v>
      </c>
      <c r="P674" s="1">
        <v>0</v>
      </c>
      <c r="Q674" s="28" t="s">
        <v>1875</v>
      </c>
      <c r="R674" s="44" t="s">
        <v>1876</v>
      </c>
      <c r="S674" s="17" t="s">
        <v>1877</v>
      </c>
    </row>
    <row r="675" spans="1:19" ht="12.75">
      <c r="A675" s="41">
        <v>238</v>
      </c>
      <c r="B675" s="41">
        <v>2021</v>
      </c>
      <c r="C675" s="1" t="s">
        <v>102</v>
      </c>
      <c r="D675" s="42">
        <v>44532</v>
      </c>
      <c r="E675" s="1" t="s">
        <v>20</v>
      </c>
      <c r="F675" s="1" t="s">
        <v>37</v>
      </c>
      <c r="G675" s="41">
        <v>1</v>
      </c>
      <c r="H675" s="41">
        <v>6</v>
      </c>
      <c r="I675" s="41">
        <v>1</v>
      </c>
      <c r="J675" s="3" t="s">
        <v>64</v>
      </c>
      <c r="K675" s="3">
        <v>33956</v>
      </c>
      <c r="L675" s="3" t="s">
        <v>31</v>
      </c>
      <c r="M675" s="1" t="s">
        <v>1878</v>
      </c>
      <c r="N675" s="4" t="s">
        <v>33</v>
      </c>
      <c r="O675" s="1" t="s">
        <v>20</v>
      </c>
      <c r="P675" s="1">
        <v>0</v>
      </c>
      <c r="Q675" s="28" t="s">
        <v>1879</v>
      </c>
      <c r="R675" s="44" t="s">
        <v>1872</v>
      </c>
      <c r="S675" s="17" t="s">
        <v>1880</v>
      </c>
    </row>
    <row r="676" spans="1:19" ht="12.75">
      <c r="A676" s="41">
        <v>238</v>
      </c>
      <c r="B676" s="41">
        <v>2021</v>
      </c>
      <c r="C676" s="1" t="s">
        <v>102</v>
      </c>
      <c r="D676" s="42">
        <v>44532</v>
      </c>
      <c r="E676" s="1" t="s">
        <v>20</v>
      </c>
      <c r="F676" s="1" t="s">
        <v>37</v>
      </c>
      <c r="G676" s="41">
        <v>1</v>
      </c>
      <c r="H676" s="41">
        <v>6</v>
      </c>
      <c r="I676" s="41">
        <v>2</v>
      </c>
      <c r="J676" s="3" t="s">
        <v>64</v>
      </c>
      <c r="K676" s="3">
        <v>33957</v>
      </c>
      <c r="L676" s="3" t="s">
        <v>31</v>
      </c>
      <c r="M676" s="1" t="s">
        <v>1881</v>
      </c>
      <c r="N676" s="4" t="s">
        <v>33</v>
      </c>
      <c r="O676" s="1" t="s">
        <v>23</v>
      </c>
      <c r="P676" s="1" t="s">
        <v>23</v>
      </c>
      <c r="Q676" s="7" t="s">
        <v>23</v>
      </c>
      <c r="R676" s="8" t="s">
        <v>23</v>
      </c>
      <c r="S676" s="20" t="s">
        <v>23</v>
      </c>
    </row>
    <row r="677" spans="1:19" ht="12.75">
      <c r="A677" s="41">
        <v>238</v>
      </c>
      <c r="B677" s="41">
        <v>2021</v>
      </c>
      <c r="C677" s="1" t="s">
        <v>102</v>
      </c>
      <c r="D677" s="42">
        <v>44532</v>
      </c>
      <c r="E677" s="1" t="s">
        <v>20</v>
      </c>
      <c r="F677" s="1" t="s">
        <v>37</v>
      </c>
      <c r="G677" s="41">
        <v>1</v>
      </c>
      <c r="H677" s="41">
        <v>6</v>
      </c>
      <c r="I677" s="41">
        <v>3</v>
      </c>
      <c r="J677" s="3" t="s">
        <v>64</v>
      </c>
      <c r="K677" s="3">
        <v>33958</v>
      </c>
      <c r="L677" s="3" t="s">
        <v>31</v>
      </c>
      <c r="M677" s="1" t="s">
        <v>1882</v>
      </c>
      <c r="N677" s="4" t="s">
        <v>33</v>
      </c>
      <c r="O677" s="1" t="s">
        <v>23</v>
      </c>
      <c r="P677" s="1" t="s">
        <v>23</v>
      </c>
      <c r="Q677" s="7" t="s">
        <v>23</v>
      </c>
      <c r="R677" s="8" t="s">
        <v>23</v>
      </c>
      <c r="S677" s="20" t="s">
        <v>23</v>
      </c>
    </row>
    <row r="678" spans="1:19" ht="12.75">
      <c r="A678" s="41">
        <v>238</v>
      </c>
      <c r="B678" s="41">
        <v>2021</v>
      </c>
      <c r="C678" s="1" t="s">
        <v>102</v>
      </c>
      <c r="D678" s="42">
        <v>44532</v>
      </c>
      <c r="E678" s="1" t="s">
        <v>20</v>
      </c>
      <c r="F678" s="1" t="s">
        <v>37</v>
      </c>
      <c r="G678" s="41">
        <v>1</v>
      </c>
      <c r="H678" s="41">
        <v>6</v>
      </c>
      <c r="I678" s="41">
        <v>4</v>
      </c>
      <c r="J678" s="3" t="s">
        <v>64</v>
      </c>
      <c r="K678" s="3">
        <v>33959</v>
      </c>
      <c r="L678" s="3" t="s">
        <v>31</v>
      </c>
      <c r="M678" s="1" t="s">
        <v>1883</v>
      </c>
      <c r="N678" s="4" t="s">
        <v>33</v>
      </c>
      <c r="O678" s="1" t="s">
        <v>23</v>
      </c>
      <c r="P678" s="1" t="s">
        <v>23</v>
      </c>
      <c r="Q678" s="7" t="s">
        <v>23</v>
      </c>
      <c r="R678" s="8" t="s">
        <v>23</v>
      </c>
      <c r="S678" s="20" t="s">
        <v>23</v>
      </c>
    </row>
    <row r="679" spans="1:19" ht="12.75">
      <c r="A679" s="41">
        <v>238</v>
      </c>
      <c r="B679" s="41">
        <v>2021</v>
      </c>
      <c r="C679" s="1" t="s">
        <v>102</v>
      </c>
      <c r="D679" s="42">
        <v>44532</v>
      </c>
      <c r="E679" s="1" t="s">
        <v>20</v>
      </c>
      <c r="F679" s="1" t="s">
        <v>37</v>
      </c>
      <c r="G679" s="41">
        <v>1</v>
      </c>
      <c r="H679" s="41">
        <v>6</v>
      </c>
      <c r="I679" s="41">
        <v>5</v>
      </c>
      <c r="J679" s="3" t="s">
        <v>64</v>
      </c>
      <c r="K679" s="3">
        <v>33960</v>
      </c>
      <c r="L679" s="3" t="s">
        <v>31</v>
      </c>
      <c r="M679" s="1" t="s">
        <v>1884</v>
      </c>
      <c r="N679" s="4" t="s">
        <v>33</v>
      </c>
      <c r="O679" s="1" t="s">
        <v>23</v>
      </c>
      <c r="P679" s="1" t="s">
        <v>23</v>
      </c>
      <c r="Q679" s="7" t="s">
        <v>23</v>
      </c>
      <c r="R679" s="8" t="s">
        <v>23</v>
      </c>
      <c r="S679" s="20" t="s">
        <v>23</v>
      </c>
    </row>
    <row r="680" spans="1:19" ht="12.75">
      <c r="A680" s="41">
        <v>238</v>
      </c>
      <c r="B680" s="41">
        <v>2021</v>
      </c>
      <c r="C680" s="1" t="s">
        <v>102</v>
      </c>
      <c r="D680" s="42">
        <v>44532</v>
      </c>
      <c r="E680" s="1" t="s">
        <v>20</v>
      </c>
      <c r="F680" s="1" t="s">
        <v>37</v>
      </c>
      <c r="G680" s="41">
        <v>1</v>
      </c>
      <c r="H680" s="41">
        <v>6</v>
      </c>
      <c r="I680" s="41">
        <v>6</v>
      </c>
      <c r="J680" s="3" t="s">
        <v>64</v>
      </c>
      <c r="K680" s="3">
        <v>33961</v>
      </c>
      <c r="L680" s="3" t="s">
        <v>31</v>
      </c>
      <c r="M680" s="1" t="s">
        <v>1885</v>
      </c>
      <c r="N680" s="4" t="s">
        <v>33</v>
      </c>
      <c r="O680" s="1" t="s">
        <v>23</v>
      </c>
      <c r="P680" s="1" t="s">
        <v>23</v>
      </c>
      <c r="Q680" s="7" t="s">
        <v>23</v>
      </c>
      <c r="R680" s="8" t="s">
        <v>23</v>
      </c>
      <c r="S680" s="20" t="s">
        <v>23</v>
      </c>
    </row>
    <row r="681" spans="1:19" ht="12.75">
      <c r="A681" s="41">
        <v>239</v>
      </c>
      <c r="B681" s="41">
        <v>2021</v>
      </c>
      <c r="C681" s="1" t="s">
        <v>19</v>
      </c>
      <c r="D681" s="42">
        <v>44536</v>
      </c>
      <c r="E681" s="1" t="s">
        <v>33</v>
      </c>
      <c r="F681" s="6" t="s">
        <v>1886</v>
      </c>
      <c r="G681" s="41">
        <v>2</v>
      </c>
      <c r="H681" s="41">
        <v>1</v>
      </c>
      <c r="I681" s="41">
        <v>1</v>
      </c>
      <c r="J681" s="3" t="s">
        <v>23</v>
      </c>
      <c r="K681" s="3" t="s">
        <v>23</v>
      </c>
      <c r="L681" s="3" t="s">
        <v>23</v>
      </c>
      <c r="M681" s="1" t="s">
        <v>1887</v>
      </c>
      <c r="N681" s="1" t="s">
        <v>23</v>
      </c>
      <c r="O681" s="1" t="s">
        <v>20</v>
      </c>
      <c r="P681" s="1">
        <v>0</v>
      </c>
      <c r="Q681" s="7" t="s">
        <v>23</v>
      </c>
      <c r="R681" s="45" t="s">
        <v>23</v>
      </c>
      <c r="S681" s="17" t="s">
        <v>1888</v>
      </c>
    </row>
    <row r="682" spans="1:19" ht="12.75">
      <c r="A682" s="41">
        <v>240</v>
      </c>
      <c r="B682" s="41">
        <v>2021</v>
      </c>
      <c r="C682" s="1" t="s">
        <v>1824</v>
      </c>
      <c r="D682" s="42">
        <v>44537</v>
      </c>
      <c r="E682" s="1" t="s">
        <v>33</v>
      </c>
      <c r="F682" s="6" t="s">
        <v>1825</v>
      </c>
      <c r="G682" s="41">
        <v>3</v>
      </c>
      <c r="H682" s="41">
        <v>3</v>
      </c>
      <c r="I682" s="41">
        <v>1</v>
      </c>
      <c r="J682" s="3" t="s">
        <v>30</v>
      </c>
      <c r="K682" s="3">
        <v>34131</v>
      </c>
      <c r="L682" s="3" t="s">
        <v>31</v>
      </c>
      <c r="M682" s="1" t="s">
        <v>1826</v>
      </c>
      <c r="N682" s="4" t="s">
        <v>20</v>
      </c>
      <c r="O682" s="1" t="s">
        <v>33</v>
      </c>
      <c r="P682" s="1">
        <v>2</v>
      </c>
      <c r="Q682" s="28" t="s">
        <v>1889</v>
      </c>
      <c r="R682" s="44" t="s">
        <v>1890</v>
      </c>
      <c r="S682" s="24" t="s">
        <v>1891</v>
      </c>
    </row>
    <row r="683" spans="1:19" ht="12.75">
      <c r="A683" s="41">
        <v>240</v>
      </c>
      <c r="B683" s="41">
        <v>2021</v>
      </c>
      <c r="C683" s="1" t="s">
        <v>1824</v>
      </c>
      <c r="D683" s="42">
        <v>44537</v>
      </c>
      <c r="E683" s="1" t="s">
        <v>33</v>
      </c>
      <c r="F683" s="6" t="s">
        <v>1825</v>
      </c>
      <c r="G683" s="41">
        <v>3</v>
      </c>
      <c r="H683" s="41">
        <v>3</v>
      </c>
      <c r="I683" s="41">
        <v>2</v>
      </c>
      <c r="J683" s="3" t="s">
        <v>30</v>
      </c>
      <c r="K683" s="3">
        <v>34132</v>
      </c>
      <c r="L683" s="3" t="s">
        <v>31</v>
      </c>
      <c r="M683" s="1" t="s">
        <v>1849</v>
      </c>
      <c r="N683" s="4" t="s">
        <v>20</v>
      </c>
      <c r="O683" s="1" t="s">
        <v>23</v>
      </c>
      <c r="P683" s="1" t="s">
        <v>23</v>
      </c>
      <c r="Q683" s="7" t="s">
        <v>23</v>
      </c>
      <c r="R683" s="8" t="s">
        <v>23</v>
      </c>
      <c r="S683" s="20" t="s">
        <v>23</v>
      </c>
    </row>
    <row r="684" spans="1:19" ht="12.75">
      <c r="A684" s="41">
        <v>240</v>
      </c>
      <c r="B684" s="41">
        <v>2021</v>
      </c>
      <c r="C684" s="1" t="s">
        <v>1824</v>
      </c>
      <c r="D684" s="42">
        <v>44537</v>
      </c>
      <c r="E684" s="1" t="s">
        <v>33</v>
      </c>
      <c r="F684" s="6" t="s">
        <v>1825</v>
      </c>
      <c r="G684" s="41">
        <v>3</v>
      </c>
      <c r="H684" s="41">
        <v>3</v>
      </c>
      <c r="I684" s="41">
        <v>3</v>
      </c>
      <c r="J684" s="3" t="s">
        <v>30</v>
      </c>
      <c r="K684" s="3">
        <v>34133</v>
      </c>
      <c r="L684" s="3" t="s">
        <v>31</v>
      </c>
      <c r="M684" s="1" t="s">
        <v>1831</v>
      </c>
      <c r="N684" s="4" t="s">
        <v>20</v>
      </c>
      <c r="O684" s="1" t="s">
        <v>23</v>
      </c>
      <c r="P684" s="1" t="s">
        <v>23</v>
      </c>
      <c r="Q684" s="7" t="s">
        <v>23</v>
      </c>
      <c r="R684" s="8" t="s">
        <v>23</v>
      </c>
      <c r="S684" s="20" t="s">
        <v>23</v>
      </c>
    </row>
    <row r="685" spans="1:19" ht="12.75">
      <c r="A685" s="41">
        <v>241</v>
      </c>
      <c r="B685" s="41">
        <v>2021</v>
      </c>
      <c r="C685" s="1" t="s">
        <v>102</v>
      </c>
      <c r="D685" s="42">
        <v>44537</v>
      </c>
      <c r="E685" s="1" t="s">
        <v>33</v>
      </c>
      <c r="F685" s="6" t="s">
        <v>1892</v>
      </c>
      <c r="G685" s="41">
        <v>4</v>
      </c>
      <c r="H685" s="41">
        <v>1</v>
      </c>
      <c r="I685" s="41">
        <v>1</v>
      </c>
      <c r="J685" s="3" t="s">
        <v>30</v>
      </c>
      <c r="K685" s="3">
        <v>34236</v>
      </c>
      <c r="L685" s="3" t="s">
        <v>31</v>
      </c>
      <c r="M685" s="1" t="s">
        <v>1864</v>
      </c>
      <c r="N685" s="4" t="s">
        <v>20</v>
      </c>
      <c r="O685" s="1" t="s">
        <v>33</v>
      </c>
      <c r="P685" s="1">
        <v>7</v>
      </c>
      <c r="Q685" s="28" t="s">
        <v>1893</v>
      </c>
      <c r="R685" s="44" t="s">
        <v>1894</v>
      </c>
      <c r="S685" s="26" t="s">
        <v>1895</v>
      </c>
    </row>
    <row r="686" spans="1:19" ht="12.75">
      <c r="A686" s="41">
        <v>242</v>
      </c>
      <c r="B686" s="41">
        <v>2021</v>
      </c>
      <c r="C686" s="1" t="s">
        <v>102</v>
      </c>
      <c r="D686" s="42">
        <v>44539</v>
      </c>
      <c r="E686" s="1" t="s">
        <v>33</v>
      </c>
      <c r="F686" s="6" t="s">
        <v>1892</v>
      </c>
      <c r="G686" s="41">
        <v>4</v>
      </c>
      <c r="H686" s="41">
        <v>1</v>
      </c>
      <c r="I686" s="41">
        <v>1</v>
      </c>
      <c r="J686" s="3" t="s">
        <v>30</v>
      </c>
      <c r="K686" s="3">
        <v>34236</v>
      </c>
      <c r="L686" s="3" t="s">
        <v>31</v>
      </c>
      <c r="M686" s="1" t="s">
        <v>1864</v>
      </c>
      <c r="N686" s="4" t="s">
        <v>20</v>
      </c>
      <c r="O686" s="1" t="s">
        <v>33</v>
      </c>
      <c r="P686" s="1">
        <v>7</v>
      </c>
      <c r="Q686" s="28" t="s">
        <v>1896</v>
      </c>
      <c r="R686" s="44" t="s">
        <v>1897</v>
      </c>
      <c r="S686" s="26" t="s">
        <v>1898</v>
      </c>
    </row>
    <row r="687" spans="1:19" ht="12.75">
      <c r="A687" s="41">
        <v>243</v>
      </c>
      <c r="B687" s="41">
        <v>2021</v>
      </c>
      <c r="C687" s="1" t="s">
        <v>102</v>
      </c>
      <c r="D687" s="42">
        <v>44539</v>
      </c>
      <c r="E687" s="1" t="s">
        <v>20</v>
      </c>
      <c r="F687" s="1" t="s">
        <v>37</v>
      </c>
      <c r="G687" s="41">
        <v>1</v>
      </c>
      <c r="H687" s="41">
        <v>6</v>
      </c>
      <c r="I687" s="41">
        <v>1</v>
      </c>
      <c r="J687" s="3" t="s">
        <v>64</v>
      </c>
      <c r="K687" s="3">
        <v>33962</v>
      </c>
      <c r="L687" s="3" t="s">
        <v>31</v>
      </c>
      <c r="M687" s="1" t="s">
        <v>1899</v>
      </c>
      <c r="N687" s="4" t="s">
        <v>33</v>
      </c>
      <c r="O687" s="1" t="s">
        <v>20</v>
      </c>
      <c r="P687" s="1">
        <v>0</v>
      </c>
      <c r="Q687" s="28" t="s">
        <v>1900</v>
      </c>
      <c r="R687" s="44" t="s">
        <v>1901</v>
      </c>
      <c r="S687" s="17" t="s">
        <v>1902</v>
      </c>
    </row>
    <row r="688" spans="1:19" ht="12.75">
      <c r="A688" s="41">
        <v>243</v>
      </c>
      <c r="B688" s="41">
        <v>2021</v>
      </c>
      <c r="C688" s="1" t="s">
        <v>102</v>
      </c>
      <c r="D688" s="42">
        <v>44539</v>
      </c>
      <c r="E688" s="1" t="s">
        <v>20</v>
      </c>
      <c r="F688" s="1" t="s">
        <v>37</v>
      </c>
      <c r="G688" s="41">
        <v>1</v>
      </c>
      <c r="H688" s="41">
        <v>6</v>
      </c>
      <c r="I688" s="41">
        <v>2</v>
      </c>
      <c r="J688" s="3" t="s">
        <v>64</v>
      </c>
      <c r="K688" s="3">
        <v>33964</v>
      </c>
      <c r="L688" s="3" t="s">
        <v>31</v>
      </c>
      <c r="M688" s="1" t="s">
        <v>1903</v>
      </c>
      <c r="N688" s="4" t="s">
        <v>33</v>
      </c>
      <c r="O688" s="1" t="s">
        <v>23</v>
      </c>
      <c r="P688" s="1" t="s">
        <v>23</v>
      </c>
      <c r="Q688" s="7" t="s">
        <v>23</v>
      </c>
      <c r="R688" s="8" t="s">
        <v>23</v>
      </c>
      <c r="S688" s="20" t="s">
        <v>23</v>
      </c>
    </row>
    <row r="689" spans="1:19" ht="12.75">
      <c r="A689" s="41">
        <v>243</v>
      </c>
      <c r="B689" s="41">
        <v>2021</v>
      </c>
      <c r="C689" s="1" t="s">
        <v>102</v>
      </c>
      <c r="D689" s="42">
        <v>44539</v>
      </c>
      <c r="E689" s="1" t="s">
        <v>20</v>
      </c>
      <c r="F689" s="1" t="s">
        <v>37</v>
      </c>
      <c r="G689" s="41">
        <v>1</v>
      </c>
      <c r="H689" s="41">
        <v>6</v>
      </c>
      <c r="I689" s="41">
        <v>3</v>
      </c>
      <c r="J689" s="3" t="s">
        <v>64</v>
      </c>
      <c r="K689" s="3">
        <v>34048</v>
      </c>
      <c r="L689" s="3" t="s">
        <v>31</v>
      </c>
      <c r="M689" s="1" t="s">
        <v>1904</v>
      </c>
      <c r="N689" s="4" t="s">
        <v>33</v>
      </c>
      <c r="O689" s="1" t="s">
        <v>23</v>
      </c>
      <c r="P689" s="1" t="s">
        <v>23</v>
      </c>
      <c r="Q689" s="7" t="s">
        <v>23</v>
      </c>
      <c r="R689" s="8" t="s">
        <v>23</v>
      </c>
      <c r="S689" s="20" t="s">
        <v>23</v>
      </c>
    </row>
    <row r="690" spans="1:19" ht="12.75">
      <c r="A690" s="41">
        <v>243</v>
      </c>
      <c r="B690" s="41">
        <v>2021</v>
      </c>
      <c r="C690" s="1" t="s">
        <v>102</v>
      </c>
      <c r="D690" s="42">
        <v>44539</v>
      </c>
      <c r="E690" s="1" t="s">
        <v>20</v>
      </c>
      <c r="F690" s="1" t="s">
        <v>37</v>
      </c>
      <c r="G690" s="41">
        <v>1</v>
      </c>
      <c r="H690" s="41">
        <v>6</v>
      </c>
      <c r="I690" s="41">
        <v>4</v>
      </c>
      <c r="J690" s="3" t="s">
        <v>64</v>
      </c>
      <c r="K690" s="3">
        <v>34049</v>
      </c>
      <c r="L690" s="3" t="s">
        <v>31</v>
      </c>
      <c r="M690" s="1" t="s">
        <v>1905</v>
      </c>
      <c r="N690" s="4" t="s">
        <v>33</v>
      </c>
      <c r="O690" s="1" t="s">
        <v>23</v>
      </c>
      <c r="P690" s="1" t="s">
        <v>23</v>
      </c>
      <c r="Q690" s="7" t="s">
        <v>23</v>
      </c>
      <c r="R690" s="8" t="s">
        <v>23</v>
      </c>
      <c r="S690" s="20" t="s">
        <v>23</v>
      </c>
    </row>
    <row r="691" spans="1:19" ht="12.75">
      <c r="A691" s="41">
        <v>243</v>
      </c>
      <c r="B691" s="41">
        <v>2021</v>
      </c>
      <c r="C691" s="1" t="s">
        <v>102</v>
      </c>
      <c r="D691" s="42">
        <v>44539</v>
      </c>
      <c r="E691" s="1" t="s">
        <v>20</v>
      </c>
      <c r="F691" s="1" t="s">
        <v>37</v>
      </c>
      <c r="G691" s="41">
        <v>1</v>
      </c>
      <c r="H691" s="41">
        <v>6</v>
      </c>
      <c r="I691" s="41">
        <v>5</v>
      </c>
      <c r="J691" s="3" t="s">
        <v>64</v>
      </c>
      <c r="K691" s="3">
        <v>34050</v>
      </c>
      <c r="L691" s="3" t="s">
        <v>31</v>
      </c>
      <c r="M691" s="1" t="s">
        <v>1906</v>
      </c>
      <c r="N691" s="4" t="s">
        <v>33</v>
      </c>
      <c r="O691" s="1" t="s">
        <v>23</v>
      </c>
      <c r="P691" s="1" t="s">
        <v>23</v>
      </c>
      <c r="Q691" s="7" t="s">
        <v>23</v>
      </c>
      <c r="R691" s="8" t="s">
        <v>23</v>
      </c>
      <c r="S691" s="20" t="s">
        <v>23</v>
      </c>
    </row>
    <row r="692" spans="1:19" ht="12.75">
      <c r="A692" s="41">
        <v>243</v>
      </c>
      <c r="B692" s="41">
        <v>2021</v>
      </c>
      <c r="C692" s="1" t="s">
        <v>102</v>
      </c>
      <c r="D692" s="42">
        <v>44539</v>
      </c>
      <c r="E692" s="1" t="s">
        <v>20</v>
      </c>
      <c r="F692" s="1" t="s">
        <v>37</v>
      </c>
      <c r="G692" s="41">
        <v>1</v>
      </c>
      <c r="H692" s="41">
        <v>6</v>
      </c>
      <c r="I692" s="41">
        <v>6</v>
      </c>
      <c r="J692" s="3" t="s">
        <v>64</v>
      </c>
      <c r="K692" s="3">
        <v>34051</v>
      </c>
      <c r="L692" s="3" t="s">
        <v>31</v>
      </c>
      <c r="M692" s="1" t="s">
        <v>1907</v>
      </c>
      <c r="N692" s="4" t="s">
        <v>33</v>
      </c>
      <c r="O692" s="1" t="s">
        <v>23</v>
      </c>
      <c r="P692" s="1" t="s">
        <v>23</v>
      </c>
      <c r="Q692" s="7" t="s">
        <v>23</v>
      </c>
      <c r="R692" s="8" t="s">
        <v>23</v>
      </c>
      <c r="S692" s="20" t="s">
        <v>23</v>
      </c>
    </row>
    <row r="693" spans="1:19" ht="12.75">
      <c r="A693" s="41">
        <v>244</v>
      </c>
      <c r="B693" s="41">
        <v>2021</v>
      </c>
      <c r="C693" s="1" t="s">
        <v>102</v>
      </c>
      <c r="D693" s="42">
        <v>44544</v>
      </c>
      <c r="E693" s="1" t="s">
        <v>33</v>
      </c>
      <c r="F693" s="6" t="s">
        <v>1825</v>
      </c>
      <c r="G693" s="41">
        <v>3</v>
      </c>
      <c r="H693" s="41">
        <v>3</v>
      </c>
      <c r="I693" s="41">
        <v>1</v>
      </c>
      <c r="J693" s="3" t="s">
        <v>30</v>
      </c>
      <c r="K693" s="3">
        <v>34131</v>
      </c>
      <c r="L693" s="3" t="s">
        <v>31</v>
      </c>
      <c r="M693" s="1" t="s">
        <v>1826</v>
      </c>
      <c r="N693" s="4" t="s">
        <v>33</v>
      </c>
      <c r="O693" s="1" t="s">
        <v>33</v>
      </c>
      <c r="P693" s="1">
        <v>2</v>
      </c>
      <c r="Q693" s="28" t="s">
        <v>1908</v>
      </c>
      <c r="R693" s="44" t="s">
        <v>1909</v>
      </c>
      <c r="S693" s="26" t="s">
        <v>1910</v>
      </c>
    </row>
    <row r="694" spans="1:19" ht="12.75">
      <c r="A694" s="41">
        <v>244</v>
      </c>
      <c r="B694" s="41">
        <v>2021</v>
      </c>
      <c r="C694" s="1" t="s">
        <v>102</v>
      </c>
      <c r="D694" s="42">
        <v>44544</v>
      </c>
      <c r="E694" s="1" t="s">
        <v>33</v>
      </c>
      <c r="F694" s="6" t="s">
        <v>1825</v>
      </c>
      <c r="G694" s="41">
        <v>3</v>
      </c>
      <c r="H694" s="41">
        <v>3</v>
      </c>
      <c r="I694" s="41">
        <v>2</v>
      </c>
      <c r="J694" s="3" t="s">
        <v>30</v>
      </c>
      <c r="K694" s="3">
        <v>34132</v>
      </c>
      <c r="L694" s="3" t="s">
        <v>31</v>
      </c>
      <c r="M694" s="1" t="s">
        <v>1849</v>
      </c>
      <c r="N694" s="4" t="s">
        <v>33</v>
      </c>
      <c r="O694" s="1" t="s">
        <v>23</v>
      </c>
      <c r="P694" s="1" t="s">
        <v>23</v>
      </c>
      <c r="Q694" s="7" t="s">
        <v>23</v>
      </c>
      <c r="R694" s="8" t="s">
        <v>23</v>
      </c>
      <c r="S694" s="20" t="s">
        <v>23</v>
      </c>
    </row>
    <row r="695" spans="1:19" ht="12.75">
      <c r="A695" s="41">
        <v>244</v>
      </c>
      <c r="B695" s="41">
        <v>2021</v>
      </c>
      <c r="C695" s="1" t="s">
        <v>102</v>
      </c>
      <c r="D695" s="42">
        <v>44544</v>
      </c>
      <c r="E695" s="1" t="s">
        <v>33</v>
      </c>
      <c r="F695" s="6" t="s">
        <v>1825</v>
      </c>
      <c r="G695" s="41">
        <v>3</v>
      </c>
      <c r="H695" s="41">
        <v>3</v>
      </c>
      <c r="I695" s="41">
        <v>3</v>
      </c>
      <c r="J695" s="3" t="s">
        <v>30</v>
      </c>
      <c r="K695" s="3">
        <v>34133</v>
      </c>
      <c r="L695" s="3" t="s">
        <v>31</v>
      </c>
      <c r="M695" s="1" t="s">
        <v>1831</v>
      </c>
      <c r="N695" s="4" t="s">
        <v>33</v>
      </c>
      <c r="O695" s="1" t="s">
        <v>23</v>
      </c>
      <c r="P695" s="1" t="s">
        <v>23</v>
      </c>
      <c r="Q695" s="7" t="s">
        <v>23</v>
      </c>
      <c r="R695" s="8" t="s">
        <v>23</v>
      </c>
      <c r="S695" s="20" t="s">
        <v>23</v>
      </c>
    </row>
    <row r="696" spans="1:19" ht="12.75">
      <c r="A696" s="41">
        <v>245</v>
      </c>
      <c r="B696" s="41">
        <v>2021</v>
      </c>
      <c r="C696" s="1" t="s">
        <v>102</v>
      </c>
      <c r="D696" s="42">
        <v>44544</v>
      </c>
      <c r="E696" s="1" t="s">
        <v>20</v>
      </c>
      <c r="F696" s="1" t="s">
        <v>41</v>
      </c>
      <c r="G696" s="41">
        <v>1</v>
      </c>
      <c r="H696" s="41">
        <v>1</v>
      </c>
      <c r="I696" s="41">
        <v>1</v>
      </c>
      <c r="J696" s="3" t="s">
        <v>23</v>
      </c>
      <c r="K696" s="3" t="s">
        <v>23</v>
      </c>
      <c r="L696" s="3" t="s">
        <v>23</v>
      </c>
      <c r="M696" s="1" t="s">
        <v>1911</v>
      </c>
      <c r="N696" s="1" t="s">
        <v>23</v>
      </c>
      <c r="O696" s="1" t="s">
        <v>33</v>
      </c>
      <c r="P696" s="1">
        <v>3</v>
      </c>
      <c r="Q696" s="32" t="s">
        <v>1912</v>
      </c>
      <c r="R696" s="44" t="s">
        <v>1913</v>
      </c>
      <c r="S696" s="17" t="s">
        <v>1914</v>
      </c>
    </row>
    <row r="697" spans="1:19" ht="12.75">
      <c r="A697" s="41">
        <v>246</v>
      </c>
      <c r="B697" s="41">
        <v>2021</v>
      </c>
      <c r="C697" s="1" t="s">
        <v>102</v>
      </c>
      <c r="D697" s="42">
        <v>44546</v>
      </c>
      <c r="E697" s="1" t="s">
        <v>33</v>
      </c>
      <c r="F697" s="6" t="s">
        <v>1850</v>
      </c>
      <c r="G697" s="41">
        <v>2</v>
      </c>
      <c r="H697" s="41">
        <v>1</v>
      </c>
      <c r="I697" s="41">
        <v>1</v>
      </c>
      <c r="J697" s="3" t="s">
        <v>30</v>
      </c>
      <c r="K697" s="3">
        <v>34072</v>
      </c>
      <c r="L697" s="3" t="s">
        <v>31</v>
      </c>
      <c r="M697" s="1" t="s">
        <v>1851</v>
      </c>
      <c r="N697" s="4" t="s">
        <v>20</v>
      </c>
      <c r="O697" s="1" t="s">
        <v>33</v>
      </c>
      <c r="P697" s="1">
        <v>1</v>
      </c>
      <c r="Q697" s="28" t="s">
        <v>1915</v>
      </c>
      <c r="R697" s="44" t="s">
        <v>1916</v>
      </c>
      <c r="S697" s="26" t="s">
        <v>1917</v>
      </c>
    </row>
    <row r="698" spans="1:19" ht="12.75">
      <c r="A698" s="41">
        <v>247</v>
      </c>
      <c r="B698" s="41">
        <v>2021</v>
      </c>
      <c r="C698" s="1" t="s">
        <v>102</v>
      </c>
      <c r="D698" s="42">
        <v>44546</v>
      </c>
      <c r="E698" s="1" t="s">
        <v>33</v>
      </c>
      <c r="F698" s="6" t="s">
        <v>1892</v>
      </c>
      <c r="G698" s="41">
        <v>4</v>
      </c>
      <c r="H698" s="41">
        <v>1</v>
      </c>
      <c r="I698" s="41">
        <v>1</v>
      </c>
      <c r="J698" s="3" t="s">
        <v>30</v>
      </c>
      <c r="K698" s="3">
        <v>34236</v>
      </c>
      <c r="L698" s="3" t="s">
        <v>31</v>
      </c>
      <c r="M698" s="1" t="s">
        <v>1918</v>
      </c>
      <c r="N698" s="4" t="s">
        <v>20</v>
      </c>
      <c r="O698" s="1" t="s">
        <v>20</v>
      </c>
      <c r="P698" s="1">
        <v>0</v>
      </c>
      <c r="Q698" s="28" t="s">
        <v>1919</v>
      </c>
      <c r="R698" s="44" t="s">
        <v>1920</v>
      </c>
      <c r="S698" s="26" t="s">
        <v>1921</v>
      </c>
    </row>
    <row r="699" spans="1:19" ht="12.75">
      <c r="A699" s="41">
        <v>248</v>
      </c>
      <c r="B699" s="41">
        <v>2021</v>
      </c>
      <c r="C699" s="1" t="s">
        <v>102</v>
      </c>
      <c r="D699" s="42">
        <v>44546</v>
      </c>
      <c r="E699" s="1" t="s">
        <v>20</v>
      </c>
      <c r="F699" s="1" t="s">
        <v>37</v>
      </c>
      <c r="G699" s="41">
        <v>1</v>
      </c>
      <c r="H699" s="41">
        <v>7</v>
      </c>
      <c r="I699" s="41">
        <v>1</v>
      </c>
      <c r="J699" s="3" t="s">
        <v>64</v>
      </c>
      <c r="K699" s="3">
        <v>34052</v>
      </c>
      <c r="L699" s="3" t="s">
        <v>31</v>
      </c>
      <c r="M699" s="1" t="s">
        <v>1922</v>
      </c>
      <c r="N699" s="4" t="s">
        <v>33</v>
      </c>
      <c r="O699" s="1" t="s">
        <v>20</v>
      </c>
      <c r="P699" s="1">
        <v>0</v>
      </c>
      <c r="Q699" s="28" t="s">
        <v>1923</v>
      </c>
      <c r="R699" s="44" t="s">
        <v>1924</v>
      </c>
      <c r="S699" s="17" t="s">
        <v>1925</v>
      </c>
    </row>
    <row r="700" spans="1:19" ht="12.75">
      <c r="A700" s="41">
        <v>248</v>
      </c>
      <c r="B700" s="41">
        <v>2021</v>
      </c>
      <c r="C700" s="1" t="s">
        <v>102</v>
      </c>
      <c r="D700" s="42">
        <v>44546</v>
      </c>
      <c r="E700" s="1" t="s">
        <v>20</v>
      </c>
      <c r="F700" s="1" t="s">
        <v>37</v>
      </c>
      <c r="G700" s="41">
        <v>1</v>
      </c>
      <c r="H700" s="41">
        <v>7</v>
      </c>
      <c r="I700" s="41">
        <v>2</v>
      </c>
      <c r="J700" s="3" t="s">
        <v>64</v>
      </c>
      <c r="K700" s="3">
        <v>34053</v>
      </c>
      <c r="L700" s="3" t="s">
        <v>31</v>
      </c>
      <c r="M700" s="1" t="s">
        <v>1926</v>
      </c>
      <c r="N700" s="4" t="s">
        <v>33</v>
      </c>
      <c r="O700" s="1" t="s">
        <v>23</v>
      </c>
      <c r="P700" s="1" t="s">
        <v>23</v>
      </c>
      <c r="Q700" s="7" t="s">
        <v>23</v>
      </c>
      <c r="R700" s="8" t="s">
        <v>23</v>
      </c>
      <c r="S700" s="20" t="s">
        <v>23</v>
      </c>
    </row>
    <row r="701" spans="1:19" ht="12.75">
      <c r="A701" s="41">
        <v>248</v>
      </c>
      <c r="B701" s="41">
        <v>2021</v>
      </c>
      <c r="C701" s="1" t="s">
        <v>102</v>
      </c>
      <c r="D701" s="42">
        <v>44546</v>
      </c>
      <c r="E701" s="1" t="s">
        <v>20</v>
      </c>
      <c r="F701" s="1" t="s">
        <v>37</v>
      </c>
      <c r="G701" s="41">
        <v>1</v>
      </c>
      <c r="H701" s="41">
        <v>7</v>
      </c>
      <c r="I701" s="41">
        <v>3</v>
      </c>
      <c r="J701" s="3" t="s">
        <v>64</v>
      </c>
      <c r="K701" s="3">
        <v>34054</v>
      </c>
      <c r="L701" s="3" t="s">
        <v>31</v>
      </c>
      <c r="M701" s="1" t="s">
        <v>1927</v>
      </c>
      <c r="N701" s="4" t="s">
        <v>33</v>
      </c>
      <c r="O701" s="1" t="s">
        <v>23</v>
      </c>
      <c r="P701" s="1" t="s">
        <v>23</v>
      </c>
      <c r="Q701" s="7" t="s">
        <v>23</v>
      </c>
      <c r="R701" s="8" t="s">
        <v>23</v>
      </c>
      <c r="S701" s="20" t="s">
        <v>23</v>
      </c>
    </row>
    <row r="702" spans="1:19" ht="12.75">
      <c r="A702" s="41">
        <v>248</v>
      </c>
      <c r="B702" s="41">
        <v>2021</v>
      </c>
      <c r="C702" s="1" t="s">
        <v>102</v>
      </c>
      <c r="D702" s="42">
        <v>44546</v>
      </c>
      <c r="E702" s="1" t="s">
        <v>20</v>
      </c>
      <c r="F702" s="1" t="s">
        <v>37</v>
      </c>
      <c r="G702" s="41">
        <v>1</v>
      </c>
      <c r="H702" s="41">
        <v>7</v>
      </c>
      <c r="I702" s="41">
        <v>4</v>
      </c>
      <c r="J702" s="3" t="s">
        <v>64</v>
      </c>
      <c r="K702" s="3">
        <v>34056</v>
      </c>
      <c r="L702" s="3" t="s">
        <v>31</v>
      </c>
      <c r="M702" s="1" t="s">
        <v>1928</v>
      </c>
      <c r="N702" s="4" t="s">
        <v>33</v>
      </c>
      <c r="O702" s="1" t="s">
        <v>23</v>
      </c>
      <c r="P702" s="1" t="s">
        <v>23</v>
      </c>
      <c r="Q702" s="7" t="s">
        <v>23</v>
      </c>
      <c r="R702" s="8" t="s">
        <v>23</v>
      </c>
      <c r="S702" s="20" t="s">
        <v>23</v>
      </c>
    </row>
    <row r="703" spans="1:19" ht="12.75">
      <c r="A703" s="41">
        <v>248</v>
      </c>
      <c r="B703" s="41">
        <v>2021</v>
      </c>
      <c r="C703" s="1" t="s">
        <v>102</v>
      </c>
      <c r="D703" s="42">
        <v>44546</v>
      </c>
      <c r="E703" s="1" t="s">
        <v>20</v>
      </c>
      <c r="F703" s="1" t="s">
        <v>37</v>
      </c>
      <c r="G703" s="41">
        <v>1</v>
      </c>
      <c r="H703" s="41">
        <v>7</v>
      </c>
      <c r="I703" s="41">
        <v>5</v>
      </c>
      <c r="J703" s="3" t="s">
        <v>64</v>
      </c>
      <c r="K703" s="3">
        <v>34073</v>
      </c>
      <c r="L703" s="3" t="s">
        <v>31</v>
      </c>
      <c r="M703" s="1" t="s">
        <v>1929</v>
      </c>
      <c r="N703" s="4" t="s">
        <v>33</v>
      </c>
      <c r="O703" s="1" t="s">
        <v>23</v>
      </c>
      <c r="P703" s="1" t="s">
        <v>23</v>
      </c>
      <c r="Q703" s="7" t="s">
        <v>23</v>
      </c>
      <c r="R703" s="8" t="s">
        <v>23</v>
      </c>
      <c r="S703" s="20" t="s">
        <v>23</v>
      </c>
    </row>
    <row r="704" spans="1:19" ht="12.75">
      <c r="A704" s="41">
        <v>248</v>
      </c>
      <c r="B704" s="41">
        <v>2021</v>
      </c>
      <c r="C704" s="1" t="s">
        <v>102</v>
      </c>
      <c r="D704" s="42">
        <v>44546</v>
      </c>
      <c r="E704" s="1" t="s">
        <v>20</v>
      </c>
      <c r="F704" s="1" t="s">
        <v>37</v>
      </c>
      <c r="G704" s="41">
        <v>1</v>
      </c>
      <c r="H704" s="41">
        <v>7</v>
      </c>
      <c r="I704" s="41">
        <v>6</v>
      </c>
      <c r="J704" s="3" t="s">
        <v>64</v>
      </c>
      <c r="K704" s="3">
        <v>34074</v>
      </c>
      <c r="L704" s="3" t="s">
        <v>31</v>
      </c>
      <c r="M704" s="1" t="s">
        <v>1930</v>
      </c>
      <c r="N704" s="4" t="s">
        <v>33</v>
      </c>
      <c r="O704" s="1" t="s">
        <v>23</v>
      </c>
      <c r="P704" s="1" t="s">
        <v>23</v>
      </c>
      <c r="Q704" s="7" t="s">
        <v>23</v>
      </c>
      <c r="R704" s="8" t="s">
        <v>23</v>
      </c>
      <c r="S704" s="20" t="s">
        <v>23</v>
      </c>
    </row>
    <row r="705" spans="1:19" ht="12.75">
      <c r="A705" s="41">
        <v>248</v>
      </c>
      <c r="B705" s="41">
        <v>2021</v>
      </c>
      <c r="C705" s="1" t="s">
        <v>102</v>
      </c>
      <c r="D705" s="42">
        <v>44546</v>
      </c>
      <c r="E705" s="1" t="s">
        <v>20</v>
      </c>
      <c r="F705" s="1" t="s">
        <v>37</v>
      </c>
      <c r="G705" s="41">
        <v>1</v>
      </c>
      <c r="H705" s="41">
        <v>7</v>
      </c>
      <c r="I705" s="41">
        <v>7</v>
      </c>
      <c r="J705" s="3" t="s">
        <v>64</v>
      </c>
      <c r="K705" s="3">
        <v>34295</v>
      </c>
      <c r="L705" s="3" t="s">
        <v>31</v>
      </c>
      <c r="M705" s="1" t="s">
        <v>1931</v>
      </c>
      <c r="N705" s="4" t="s">
        <v>33</v>
      </c>
      <c r="O705" s="1" t="s">
        <v>23</v>
      </c>
      <c r="P705" s="1" t="s">
        <v>23</v>
      </c>
      <c r="Q705" s="7" t="s">
        <v>23</v>
      </c>
      <c r="R705" s="8" t="s">
        <v>23</v>
      </c>
      <c r="S705" s="20" t="s">
        <v>23</v>
      </c>
    </row>
    <row r="706" spans="1:19" ht="12.75">
      <c r="A706" s="41">
        <v>249</v>
      </c>
      <c r="B706" s="41">
        <v>2021</v>
      </c>
      <c r="C706" s="1" t="s">
        <v>102</v>
      </c>
      <c r="D706" s="42">
        <v>44551</v>
      </c>
      <c r="E706" s="1" t="s">
        <v>33</v>
      </c>
      <c r="F706" s="6" t="s">
        <v>1892</v>
      </c>
      <c r="G706" s="41">
        <v>4</v>
      </c>
      <c r="H706" s="41">
        <v>1</v>
      </c>
      <c r="I706" s="41">
        <v>1</v>
      </c>
      <c r="J706" s="3" t="s">
        <v>30</v>
      </c>
      <c r="K706" s="3">
        <v>34236</v>
      </c>
      <c r="L706" s="3" t="s">
        <v>31</v>
      </c>
      <c r="M706" s="1" t="s">
        <v>1918</v>
      </c>
      <c r="N706" s="4" t="s">
        <v>33</v>
      </c>
      <c r="O706" s="1" t="s">
        <v>20</v>
      </c>
      <c r="P706" s="1">
        <v>0</v>
      </c>
      <c r="Q706" s="28" t="s">
        <v>1932</v>
      </c>
      <c r="R706" s="8" t="s">
        <v>23</v>
      </c>
      <c r="S706" s="26" t="s">
        <v>1933</v>
      </c>
    </row>
    <row r="707" spans="1:19" ht="12.75">
      <c r="A707" s="41">
        <v>250</v>
      </c>
      <c r="B707" s="41">
        <v>2021</v>
      </c>
      <c r="C707" s="1" t="s">
        <v>102</v>
      </c>
      <c r="D707" s="42">
        <v>44551</v>
      </c>
      <c r="E707" s="1" t="s">
        <v>33</v>
      </c>
      <c r="F707" s="6" t="s">
        <v>1850</v>
      </c>
      <c r="G707" s="41">
        <v>2</v>
      </c>
      <c r="H707" s="41">
        <v>1</v>
      </c>
      <c r="I707" s="41">
        <v>1</v>
      </c>
      <c r="J707" s="3" t="s">
        <v>30</v>
      </c>
      <c r="K707" s="3">
        <v>34072</v>
      </c>
      <c r="L707" s="3" t="s">
        <v>31</v>
      </c>
      <c r="M707" s="1" t="s">
        <v>1851</v>
      </c>
      <c r="N707" s="4" t="s">
        <v>33</v>
      </c>
      <c r="O707" s="1" t="s">
        <v>20</v>
      </c>
      <c r="P707" s="1">
        <v>0</v>
      </c>
      <c r="Q707" s="28" t="s">
        <v>1934</v>
      </c>
      <c r="R707" s="45" t="s">
        <v>23</v>
      </c>
      <c r="S707" s="17" t="s">
        <v>1935</v>
      </c>
    </row>
    <row r="708" spans="1:19" ht="12.75">
      <c r="A708" s="41">
        <v>251</v>
      </c>
      <c r="B708" s="41">
        <v>2021</v>
      </c>
      <c r="C708" s="1" t="s">
        <v>102</v>
      </c>
      <c r="D708" s="42">
        <v>44551</v>
      </c>
      <c r="E708" s="1" t="s">
        <v>33</v>
      </c>
      <c r="F708" s="6" t="s">
        <v>98</v>
      </c>
      <c r="G708" s="41">
        <v>2</v>
      </c>
      <c r="H708" s="41">
        <v>2</v>
      </c>
      <c r="I708" s="41">
        <v>1</v>
      </c>
      <c r="J708" s="3" t="s">
        <v>30</v>
      </c>
      <c r="K708" s="3">
        <v>31310</v>
      </c>
      <c r="L708" s="14" t="s">
        <v>61</v>
      </c>
      <c r="M708" s="1" t="s">
        <v>1808</v>
      </c>
      <c r="N708" s="4" t="s">
        <v>20</v>
      </c>
      <c r="O708" s="1" t="s">
        <v>33</v>
      </c>
      <c r="P708" s="1">
        <v>2</v>
      </c>
      <c r="Q708" s="28" t="s">
        <v>1936</v>
      </c>
      <c r="R708" s="44" t="s">
        <v>1936</v>
      </c>
      <c r="S708" s="17" t="s">
        <v>1937</v>
      </c>
    </row>
    <row r="709" spans="1:19" ht="12.75">
      <c r="A709" s="41">
        <v>251</v>
      </c>
      <c r="B709" s="41">
        <v>2021</v>
      </c>
      <c r="C709" s="1" t="s">
        <v>102</v>
      </c>
      <c r="D709" s="42">
        <v>44551</v>
      </c>
      <c r="E709" s="1" t="s">
        <v>33</v>
      </c>
      <c r="F709" s="6" t="s">
        <v>98</v>
      </c>
      <c r="G709" s="41">
        <v>2</v>
      </c>
      <c r="H709" s="41">
        <v>2</v>
      </c>
      <c r="I709" s="41">
        <v>2</v>
      </c>
      <c r="J709" s="3" t="s">
        <v>30</v>
      </c>
      <c r="K709" s="3">
        <v>34121</v>
      </c>
      <c r="L709" s="3" t="s">
        <v>61</v>
      </c>
      <c r="M709" s="1" t="s">
        <v>1860</v>
      </c>
      <c r="N709" s="4" t="s">
        <v>20</v>
      </c>
      <c r="O709" s="1" t="s">
        <v>23</v>
      </c>
      <c r="P709" s="1" t="s">
        <v>23</v>
      </c>
      <c r="Q709" s="7" t="s">
        <v>23</v>
      </c>
      <c r="R709" s="8" t="s">
        <v>23</v>
      </c>
      <c r="S709" s="20" t="s">
        <v>23</v>
      </c>
    </row>
    <row r="710" spans="1:19" ht="12.75">
      <c r="A710" s="41">
        <v>252</v>
      </c>
      <c r="B710" s="41">
        <v>2021</v>
      </c>
      <c r="C710" s="1" t="s">
        <v>102</v>
      </c>
      <c r="D710" s="42">
        <v>44552</v>
      </c>
      <c r="E710" s="1" t="s">
        <v>33</v>
      </c>
      <c r="F710" s="6" t="s">
        <v>1938</v>
      </c>
      <c r="G710" s="41">
        <v>3</v>
      </c>
      <c r="H710" s="41">
        <v>1</v>
      </c>
      <c r="I710" s="41">
        <v>1</v>
      </c>
      <c r="J710" s="3" t="s">
        <v>30</v>
      </c>
      <c r="K710" s="3">
        <v>34329</v>
      </c>
      <c r="L710" s="3" t="s">
        <v>31</v>
      </c>
      <c r="M710" s="1" t="s">
        <v>1939</v>
      </c>
      <c r="N710" s="4" t="s">
        <v>20</v>
      </c>
      <c r="O710" s="1" t="s">
        <v>33</v>
      </c>
      <c r="P710" s="1">
        <v>2</v>
      </c>
      <c r="Q710" s="28" t="s">
        <v>1940</v>
      </c>
      <c r="R710" s="44" t="s">
        <v>1941</v>
      </c>
      <c r="S710" s="26" t="s">
        <v>1942</v>
      </c>
    </row>
    <row r="711" spans="1:19" ht="12.75">
      <c r="A711" s="41">
        <v>253</v>
      </c>
      <c r="B711" s="41">
        <v>2021</v>
      </c>
      <c r="C711" s="1" t="s">
        <v>102</v>
      </c>
      <c r="D711" s="42">
        <v>44553</v>
      </c>
      <c r="E711" s="1" t="s">
        <v>33</v>
      </c>
      <c r="F711" s="6" t="s">
        <v>1943</v>
      </c>
      <c r="G711" s="41">
        <v>2</v>
      </c>
      <c r="H711" s="41">
        <v>1</v>
      </c>
      <c r="I711" s="41">
        <v>1</v>
      </c>
      <c r="J711" s="3" t="s">
        <v>30</v>
      </c>
      <c r="K711" s="3">
        <v>32460</v>
      </c>
      <c r="L711" s="14" t="s">
        <v>61</v>
      </c>
      <c r="M711" s="1" t="s">
        <v>1157</v>
      </c>
      <c r="N711" s="4" t="s">
        <v>33</v>
      </c>
      <c r="O711" s="1" t="s">
        <v>20</v>
      </c>
      <c r="P711" s="1">
        <v>0</v>
      </c>
      <c r="Q711" s="28" t="s">
        <v>1944</v>
      </c>
      <c r="R711" s="8" t="s">
        <v>23</v>
      </c>
      <c r="S711" s="34" t="s">
        <v>1945</v>
      </c>
    </row>
    <row r="712" spans="1:19" ht="12.75">
      <c r="A712" s="41">
        <v>254</v>
      </c>
      <c r="B712" s="41">
        <v>2021</v>
      </c>
      <c r="C712" s="1" t="s">
        <v>102</v>
      </c>
      <c r="D712" s="42">
        <v>44553</v>
      </c>
      <c r="E712" s="1" t="s">
        <v>33</v>
      </c>
      <c r="F712" s="6" t="s">
        <v>1946</v>
      </c>
      <c r="G712" s="41">
        <v>3</v>
      </c>
      <c r="H712" s="41">
        <v>1</v>
      </c>
      <c r="I712" s="41">
        <v>1</v>
      </c>
      <c r="J712" s="3" t="s">
        <v>30</v>
      </c>
      <c r="K712" s="3">
        <v>34270</v>
      </c>
      <c r="L712" s="14" t="s">
        <v>61</v>
      </c>
      <c r="M712" s="1" t="s">
        <v>1947</v>
      </c>
      <c r="N712" s="4" t="s">
        <v>20</v>
      </c>
      <c r="O712" s="1" t="s">
        <v>20</v>
      </c>
      <c r="P712" s="1">
        <v>0</v>
      </c>
      <c r="Q712" s="28" t="s">
        <v>1948</v>
      </c>
      <c r="R712" s="44" t="s">
        <v>1949</v>
      </c>
      <c r="S712" s="17" t="s">
        <v>1950</v>
      </c>
    </row>
    <row r="713" spans="1:19" ht="12.75">
      <c r="A713" s="41">
        <v>255</v>
      </c>
      <c r="B713" s="41">
        <v>2021</v>
      </c>
      <c r="C713" s="1" t="s">
        <v>102</v>
      </c>
      <c r="D713" s="42">
        <v>44553</v>
      </c>
      <c r="E713" s="1" t="s">
        <v>20</v>
      </c>
      <c r="F713" s="1" t="s">
        <v>37</v>
      </c>
      <c r="G713" s="41">
        <v>1</v>
      </c>
      <c r="H713" s="41">
        <v>7</v>
      </c>
      <c r="I713" s="41">
        <v>1</v>
      </c>
      <c r="J713" s="3" t="s">
        <v>64</v>
      </c>
      <c r="K713" s="3">
        <v>34319</v>
      </c>
      <c r="L713" s="3" t="s">
        <v>31</v>
      </c>
      <c r="M713" s="1" t="s">
        <v>1951</v>
      </c>
      <c r="N713" s="4" t="s">
        <v>33</v>
      </c>
      <c r="O713" s="1" t="s">
        <v>20</v>
      </c>
      <c r="P713" s="1">
        <v>0</v>
      </c>
      <c r="Q713" s="32" t="s">
        <v>1952</v>
      </c>
      <c r="R713" s="44" t="s">
        <v>1953</v>
      </c>
      <c r="S713" s="17" t="s">
        <v>1954</v>
      </c>
    </row>
    <row r="714" spans="1:19" ht="12.75">
      <c r="A714" s="41">
        <v>255</v>
      </c>
      <c r="B714" s="41">
        <v>2021</v>
      </c>
      <c r="C714" s="1" t="s">
        <v>102</v>
      </c>
      <c r="D714" s="42">
        <v>44553</v>
      </c>
      <c r="E714" s="1" t="s">
        <v>20</v>
      </c>
      <c r="F714" s="1" t="s">
        <v>37</v>
      </c>
      <c r="G714" s="41">
        <v>1</v>
      </c>
      <c r="H714" s="41">
        <v>7</v>
      </c>
      <c r="I714" s="41">
        <v>2</v>
      </c>
      <c r="J714" s="3" t="s">
        <v>64</v>
      </c>
      <c r="K714" s="3">
        <v>34320</v>
      </c>
      <c r="L714" s="3" t="s">
        <v>31</v>
      </c>
      <c r="M714" s="1" t="s">
        <v>1955</v>
      </c>
      <c r="N714" s="4" t="s">
        <v>33</v>
      </c>
      <c r="O714" s="1" t="s">
        <v>23</v>
      </c>
      <c r="P714" s="1" t="s">
        <v>23</v>
      </c>
      <c r="Q714" s="7" t="s">
        <v>23</v>
      </c>
      <c r="R714" s="8" t="s">
        <v>23</v>
      </c>
      <c r="S714" s="20" t="s">
        <v>23</v>
      </c>
    </row>
    <row r="715" spans="1:19" ht="12.75">
      <c r="A715" s="41">
        <v>255</v>
      </c>
      <c r="B715" s="41">
        <v>2021</v>
      </c>
      <c r="C715" s="1" t="s">
        <v>102</v>
      </c>
      <c r="D715" s="42">
        <v>44553</v>
      </c>
      <c r="E715" s="1" t="s">
        <v>20</v>
      </c>
      <c r="F715" s="1" t="s">
        <v>37</v>
      </c>
      <c r="G715" s="41">
        <v>1</v>
      </c>
      <c r="H715" s="41">
        <v>7</v>
      </c>
      <c r="I715" s="41">
        <v>3</v>
      </c>
      <c r="J715" s="3" t="s">
        <v>64</v>
      </c>
      <c r="K715" s="3">
        <v>34321</v>
      </c>
      <c r="L715" s="3" t="s">
        <v>31</v>
      </c>
      <c r="M715" s="1" t="s">
        <v>1956</v>
      </c>
      <c r="N715" s="4" t="s">
        <v>33</v>
      </c>
      <c r="O715" s="1" t="s">
        <v>23</v>
      </c>
      <c r="P715" s="1" t="s">
        <v>23</v>
      </c>
      <c r="Q715" s="7" t="s">
        <v>23</v>
      </c>
      <c r="R715" s="8" t="s">
        <v>23</v>
      </c>
      <c r="S715" s="20" t="s">
        <v>23</v>
      </c>
    </row>
    <row r="716" spans="1:19" ht="12.75">
      <c r="A716" s="41">
        <v>255</v>
      </c>
      <c r="B716" s="41">
        <v>2021</v>
      </c>
      <c r="C716" s="1" t="s">
        <v>102</v>
      </c>
      <c r="D716" s="42">
        <v>44553</v>
      </c>
      <c r="E716" s="1" t="s">
        <v>20</v>
      </c>
      <c r="F716" s="1" t="s">
        <v>37</v>
      </c>
      <c r="G716" s="41">
        <v>1</v>
      </c>
      <c r="H716" s="41">
        <v>7</v>
      </c>
      <c r="I716" s="41">
        <v>4</v>
      </c>
      <c r="J716" s="3" t="s">
        <v>64</v>
      </c>
      <c r="K716" s="3">
        <v>34322</v>
      </c>
      <c r="L716" s="3" t="s">
        <v>31</v>
      </c>
      <c r="M716" s="1" t="s">
        <v>1957</v>
      </c>
      <c r="N716" s="4" t="s">
        <v>33</v>
      </c>
      <c r="O716" s="1" t="s">
        <v>23</v>
      </c>
      <c r="P716" s="1" t="s">
        <v>23</v>
      </c>
      <c r="Q716" s="7" t="s">
        <v>23</v>
      </c>
      <c r="R716" s="8" t="s">
        <v>23</v>
      </c>
      <c r="S716" s="20" t="s">
        <v>23</v>
      </c>
    </row>
    <row r="717" spans="1:19" ht="12.75">
      <c r="A717" s="41">
        <v>255</v>
      </c>
      <c r="B717" s="41">
        <v>2021</v>
      </c>
      <c r="C717" s="1" t="s">
        <v>102</v>
      </c>
      <c r="D717" s="42">
        <v>44553</v>
      </c>
      <c r="E717" s="1" t="s">
        <v>20</v>
      </c>
      <c r="F717" s="1" t="s">
        <v>37</v>
      </c>
      <c r="G717" s="41">
        <v>1</v>
      </c>
      <c r="H717" s="41">
        <v>7</v>
      </c>
      <c r="I717" s="41">
        <v>5</v>
      </c>
      <c r="J717" s="3" t="s">
        <v>64</v>
      </c>
      <c r="K717" s="3">
        <v>34323</v>
      </c>
      <c r="L717" s="3" t="s">
        <v>31</v>
      </c>
      <c r="M717" s="1" t="s">
        <v>1958</v>
      </c>
      <c r="N717" s="4" t="s">
        <v>33</v>
      </c>
      <c r="O717" s="1" t="s">
        <v>23</v>
      </c>
      <c r="P717" s="1" t="s">
        <v>23</v>
      </c>
      <c r="Q717" s="7" t="s">
        <v>23</v>
      </c>
      <c r="R717" s="8" t="s">
        <v>23</v>
      </c>
      <c r="S717" s="20" t="s">
        <v>23</v>
      </c>
    </row>
    <row r="718" spans="1:19" ht="12.75">
      <c r="A718" s="41">
        <v>255</v>
      </c>
      <c r="B718" s="41">
        <v>2021</v>
      </c>
      <c r="C718" s="1" t="s">
        <v>102</v>
      </c>
      <c r="D718" s="42">
        <v>44553</v>
      </c>
      <c r="E718" s="1" t="s">
        <v>20</v>
      </c>
      <c r="F718" s="1" t="s">
        <v>37</v>
      </c>
      <c r="G718" s="41">
        <v>1</v>
      </c>
      <c r="H718" s="41">
        <v>7</v>
      </c>
      <c r="I718" s="41">
        <v>6</v>
      </c>
      <c r="J718" s="3" t="s">
        <v>64</v>
      </c>
      <c r="K718" s="3">
        <v>34324</v>
      </c>
      <c r="L718" s="3" t="s">
        <v>31</v>
      </c>
      <c r="M718" s="1" t="s">
        <v>1959</v>
      </c>
      <c r="N718" s="4" t="s">
        <v>33</v>
      </c>
      <c r="O718" s="1" t="s">
        <v>23</v>
      </c>
      <c r="P718" s="1" t="s">
        <v>23</v>
      </c>
      <c r="Q718" s="7" t="s">
        <v>23</v>
      </c>
      <c r="R718" s="8" t="s">
        <v>23</v>
      </c>
      <c r="S718" s="20" t="s">
        <v>23</v>
      </c>
    </row>
    <row r="719" spans="1:19" ht="12.75">
      <c r="A719" s="41">
        <v>255</v>
      </c>
      <c r="B719" s="41">
        <v>2021</v>
      </c>
      <c r="C719" s="1" t="s">
        <v>102</v>
      </c>
      <c r="D719" s="42">
        <v>44553</v>
      </c>
      <c r="E719" s="1" t="s">
        <v>20</v>
      </c>
      <c r="F719" s="1" t="s">
        <v>37</v>
      </c>
      <c r="G719" s="41">
        <v>1</v>
      </c>
      <c r="H719" s="41">
        <v>7</v>
      </c>
      <c r="I719" s="41">
        <v>7</v>
      </c>
      <c r="J719" s="3" t="s">
        <v>64</v>
      </c>
      <c r="K719" s="3">
        <v>34325</v>
      </c>
      <c r="L719" s="3" t="s">
        <v>31</v>
      </c>
      <c r="M719" s="1" t="s">
        <v>1960</v>
      </c>
      <c r="N719" s="4" t="s">
        <v>33</v>
      </c>
      <c r="O719" s="1" t="s">
        <v>23</v>
      </c>
      <c r="P719" s="1" t="s">
        <v>23</v>
      </c>
      <c r="Q719" s="7" t="s">
        <v>23</v>
      </c>
      <c r="R719" s="8" t="s">
        <v>23</v>
      </c>
      <c r="S719" s="20" t="s">
        <v>23</v>
      </c>
    </row>
    <row r="720" spans="1:19" ht="12.75">
      <c r="A720" s="41">
        <v>256</v>
      </c>
      <c r="B720" s="41">
        <v>2021</v>
      </c>
      <c r="C720" s="1" t="s">
        <v>102</v>
      </c>
      <c r="D720" s="42">
        <v>44558</v>
      </c>
      <c r="E720" s="1" t="s">
        <v>33</v>
      </c>
      <c r="F720" s="6" t="s">
        <v>1938</v>
      </c>
      <c r="G720" s="41">
        <v>3</v>
      </c>
      <c r="H720" s="41">
        <v>1</v>
      </c>
      <c r="I720" s="41">
        <v>1</v>
      </c>
      <c r="J720" s="3" t="s">
        <v>30</v>
      </c>
      <c r="K720" s="3">
        <v>34329</v>
      </c>
      <c r="L720" s="3" t="s">
        <v>31</v>
      </c>
      <c r="M720" s="1" t="s">
        <v>1961</v>
      </c>
      <c r="N720" s="4" t="s">
        <v>33</v>
      </c>
      <c r="O720" s="1" t="s">
        <v>20</v>
      </c>
      <c r="P720" s="1">
        <v>0</v>
      </c>
      <c r="Q720" s="28" t="s">
        <v>1962</v>
      </c>
      <c r="R720" s="44" t="s">
        <v>1963</v>
      </c>
      <c r="S720" s="17" t="s">
        <v>1964</v>
      </c>
    </row>
    <row r="721" spans="1:19" ht="12.75">
      <c r="A721" s="41">
        <v>257</v>
      </c>
      <c r="B721" s="41">
        <v>2021</v>
      </c>
      <c r="C721" s="1" t="s">
        <v>102</v>
      </c>
      <c r="D721" s="42">
        <v>44558</v>
      </c>
      <c r="E721" s="1" t="s">
        <v>33</v>
      </c>
      <c r="F721" s="6" t="s">
        <v>1946</v>
      </c>
      <c r="G721" s="41">
        <v>3</v>
      </c>
      <c r="H721" s="41">
        <v>1</v>
      </c>
      <c r="I721" s="41">
        <v>1</v>
      </c>
      <c r="J721" s="3" t="s">
        <v>30</v>
      </c>
      <c r="K721" s="3">
        <v>34270</v>
      </c>
      <c r="L721" s="14" t="s">
        <v>61</v>
      </c>
      <c r="M721" s="1" t="s">
        <v>1947</v>
      </c>
      <c r="N721" s="4" t="s">
        <v>33</v>
      </c>
      <c r="O721" s="1" t="s">
        <v>20</v>
      </c>
      <c r="P721" s="1">
        <v>0</v>
      </c>
      <c r="Q721" s="28" t="s">
        <v>1965</v>
      </c>
      <c r="R721" s="44" t="s">
        <v>1966</v>
      </c>
      <c r="S721" s="26" t="s">
        <v>1967</v>
      </c>
    </row>
    <row r="722" spans="1:19" ht="12.75">
      <c r="A722" s="41">
        <v>258</v>
      </c>
      <c r="B722" s="41">
        <v>2021</v>
      </c>
      <c r="C722" s="1" t="s">
        <v>19</v>
      </c>
      <c r="D722" s="42">
        <v>44559</v>
      </c>
      <c r="E722" s="1" t="s">
        <v>20</v>
      </c>
      <c r="F722" s="1" t="s">
        <v>190</v>
      </c>
      <c r="G722" s="41">
        <v>1</v>
      </c>
      <c r="H722" s="41">
        <v>1</v>
      </c>
      <c r="I722" s="41">
        <v>1</v>
      </c>
      <c r="J722" s="3" t="s">
        <v>71</v>
      </c>
      <c r="K722" s="3">
        <v>34363</v>
      </c>
      <c r="L722" s="14" t="s">
        <v>61</v>
      </c>
      <c r="M722" s="1" t="s">
        <v>1968</v>
      </c>
      <c r="N722" s="4" t="s">
        <v>20</v>
      </c>
      <c r="O722" s="1" t="s">
        <v>1969</v>
      </c>
      <c r="P722" s="6">
        <v>4</v>
      </c>
      <c r="Q722" s="32" t="s">
        <v>1970</v>
      </c>
      <c r="R722" s="45" t="s">
        <v>23</v>
      </c>
      <c r="S722" s="17" t="s">
        <v>1971</v>
      </c>
    </row>
    <row r="723" spans="1:19" ht="12.75">
      <c r="A723" s="41">
        <v>1</v>
      </c>
      <c r="B723" s="41">
        <v>2022</v>
      </c>
      <c r="C723" s="1" t="s">
        <v>102</v>
      </c>
      <c r="D723" s="42">
        <v>44600</v>
      </c>
      <c r="E723" s="1" t="s">
        <v>20</v>
      </c>
      <c r="F723" s="1" t="s">
        <v>37</v>
      </c>
      <c r="G723" s="41">
        <v>1</v>
      </c>
      <c r="H723" s="41">
        <v>2</v>
      </c>
      <c r="I723" s="41">
        <v>1</v>
      </c>
      <c r="J723" s="3" t="s">
        <v>64</v>
      </c>
      <c r="K723" s="3">
        <v>34318</v>
      </c>
      <c r="L723" s="3" t="s">
        <v>31</v>
      </c>
      <c r="M723" s="1" t="s">
        <v>992</v>
      </c>
      <c r="N723" s="4" t="s">
        <v>33</v>
      </c>
      <c r="O723" s="1" t="s">
        <v>20</v>
      </c>
      <c r="P723" s="1">
        <v>0</v>
      </c>
      <c r="Q723" s="32" t="s">
        <v>1972</v>
      </c>
      <c r="R723" s="44" t="s">
        <v>1973</v>
      </c>
      <c r="S723" s="17" t="s">
        <v>1974</v>
      </c>
    </row>
    <row r="724" spans="1:19" ht="12.75">
      <c r="A724" s="41">
        <v>1</v>
      </c>
      <c r="B724" s="41">
        <v>2022</v>
      </c>
      <c r="C724" s="1" t="s">
        <v>102</v>
      </c>
      <c r="D724" s="42">
        <v>44600</v>
      </c>
      <c r="E724" s="1" t="s">
        <v>20</v>
      </c>
      <c r="F724" s="1" t="s">
        <v>37</v>
      </c>
      <c r="G724" s="41">
        <v>1</v>
      </c>
      <c r="H724" s="41">
        <v>2</v>
      </c>
      <c r="I724" s="18">
        <v>2</v>
      </c>
      <c r="J724" s="3" t="s">
        <v>64</v>
      </c>
      <c r="K724" s="3">
        <v>34318</v>
      </c>
      <c r="L724" s="3" t="s">
        <v>31</v>
      </c>
      <c r="M724" s="1" t="s">
        <v>992</v>
      </c>
      <c r="N724" s="4" t="s">
        <v>33</v>
      </c>
      <c r="O724" s="1" t="s">
        <v>23</v>
      </c>
      <c r="P724" s="1" t="s">
        <v>23</v>
      </c>
      <c r="Q724" s="7" t="s">
        <v>23</v>
      </c>
      <c r="R724" s="8" t="s">
        <v>23</v>
      </c>
      <c r="S724" s="20" t="s">
        <v>23</v>
      </c>
    </row>
    <row r="725" spans="1:19" ht="12.75">
      <c r="A725" s="41">
        <v>2</v>
      </c>
      <c r="B725" s="41">
        <v>2022</v>
      </c>
      <c r="C725" s="1" t="s">
        <v>102</v>
      </c>
      <c r="D725" s="42">
        <v>44600</v>
      </c>
      <c r="E725" s="1" t="s">
        <v>33</v>
      </c>
      <c r="F725" s="6" t="s">
        <v>1975</v>
      </c>
      <c r="G725" s="41">
        <v>2</v>
      </c>
      <c r="H725" s="41">
        <v>1</v>
      </c>
      <c r="I725" s="41">
        <v>1</v>
      </c>
      <c r="J725" s="3" t="s">
        <v>30</v>
      </c>
      <c r="K725" s="3">
        <v>34317</v>
      </c>
      <c r="L725" s="3" t="s">
        <v>31</v>
      </c>
      <c r="M725" s="1" t="s">
        <v>1976</v>
      </c>
      <c r="N725" s="25" t="s">
        <v>33</v>
      </c>
      <c r="O725" s="1" t="s">
        <v>20</v>
      </c>
      <c r="P725" s="1">
        <v>0</v>
      </c>
      <c r="Q725" s="28" t="s">
        <v>1977</v>
      </c>
      <c r="R725" s="44" t="s">
        <v>1978</v>
      </c>
      <c r="S725" s="26" t="s">
        <v>1979</v>
      </c>
    </row>
    <row r="726" spans="1:19" ht="12.75">
      <c r="A726" s="41">
        <v>3</v>
      </c>
      <c r="B726" s="41">
        <v>2022</v>
      </c>
      <c r="C726" s="1" t="s">
        <v>102</v>
      </c>
      <c r="D726" s="42">
        <v>44602</v>
      </c>
      <c r="E726" s="1" t="s">
        <v>33</v>
      </c>
      <c r="F726" s="6" t="s">
        <v>1980</v>
      </c>
      <c r="G726" s="41">
        <v>2</v>
      </c>
      <c r="H726" s="41">
        <v>1</v>
      </c>
      <c r="I726" s="41">
        <v>1</v>
      </c>
      <c r="J726" s="3" t="s">
        <v>30</v>
      </c>
      <c r="K726" s="3">
        <v>34422</v>
      </c>
      <c r="L726" s="3" t="s">
        <v>31</v>
      </c>
      <c r="M726" s="1" t="s">
        <v>1981</v>
      </c>
      <c r="N726" s="4" t="s">
        <v>20</v>
      </c>
      <c r="O726" s="1" t="s">
        <v>33</v>
      </c>
      <c r="P726" s="1">
        <v>2</v>
      </c>
      <c r="Q726" s="32" t="s">
        <v>1982</v>
      </c>
      <c r="R726" s="47" t="s">
        <v>1983</v>
      </c>
      <c r="S726" s="30" t="s">
        <v>1984</v>
      </c>
    </row>
    <row r="727" spans="1:19" ht="12.75">
      <c r="A727" s="41">
        <v>4</v>
      </c>
      <c r="B727" s="41">
        <v>2022</v>
      </c>
      <c r="C727" s="1" t="s">
        <v>102</v>
      </c>
      <c r="D727" s="42">
        <v>44607</v>
      </c>
      <c r="E727" s="1" t="s">
        <v>20</v>
      </c>
      <c r="F727" s="1" t="s">
        <v>55</v>
      </c>
      <c r="G727" s="41">
        <v>1</v>
      </c>
      <c r="H727" s="41">
        <v>1</v>
      </c>
      <c r="I727" s="41">
        <v>1</v>
      </c>
      <c r="J727" s="3" t="s">
        <v>30</v>
      </c>
      <c r="K727" s="3">
        <v>34406</v>
      </c>
      <c r="L727" s="3" t="s">
        <v>31</v>
      </c>
      <c r="M727" s="1" t="s">
        <v>1985</v>
      </c>
      <c r="N727" s="4" t="s">
        <v>20</v>
      </c>
      <c r="O727" s="1" t="s">
        <v>20</v>
      </c>
      <c r="P727" s="1">
        <v>0</v>
      </c>
      <c r="Q727" s="28" t="s">
        <v>1986</v>
      </c>
      <c r="R727" s="44" t="s">
        <v>1987</v>
      </c>
      <c r="S727" s="17" t="s">
        <v>1988</v>
      </c>
    </row>
    <row r="728" spans="1:19" ht="12.75">
      <c r="A728" s="41">
        <v>5</v>
      </c>
      <c r="B728" s="41">
        <v>2022</v>
      </c>
      <c r="C728" s="1" t="s">
        <v>102</v>
      </c>
      <c r="D728" s="42">
        <v>44607</v>
      </c>
      <c r="E728" s="1" t="s">
        <v>33</v>
      </c>
      <c r="F728" s="6" t="s">
        <v>1980</v>
      </c>
      <c r="G728" s="41">
        <v>2</v>
      </c>
      <c r="H728" s="41">
        <v>1</v>
      </c>
      <c r="I728" s="41">
        <v>1</v>
      </c>
      <c r="J728" s="3" t="s">
        <v>30</v>
      </c>
      <c r="K728" s="3">
        <v>34422</v>
      </c>
      <c r="L728" s="3" t="s">
        <v>31</v>
      </c>
      <c r="M728" s="1" t="s">
        <v>1981</v>
      </c>
      <c r="N728" s="4" t="s">
        <v>33</v>
      </c>
      <c r="O728" s="1" t="s">
        <v>20</v>
      </c>
      <c r="P728" s="1">
        <v>0</v>
      </c>
      <c r="Q728" s="28" t="s">
        <v>1989</v>
      </c>
      <c r="R728" s="44" t="s">
        <v>1990</v>
      </c>
      <c r="S728" s="26" t="s">
        <v>1991</v>
      </c>
    </row>
    <row r="729" spans="1:19" ht="12.75">
      <c r="A729" s="41">
        <v>6</v>
      </c>
      <c r="B729" s="41">
        <v>2022</v>
      </c>
      <c r="C729" s="1" t="s">
        <v>102</v>
      </c>
      <c r="D729" s="42">
        <v>44607</v>
      </c>
      <c r="E729" s="1" t="s">
        <v>33</v>
      </c>
      <c r="F729" s="6" t="s">
        <v>1975</v>
      </c>
      <c r="G729" s="41">
        <v>2</v>
      </c>
      <c r="H729" s="41">
        <v>1</v>
      </c>
      <c r="I729" s="41">
        <v>1</v>
      </c>
      <c r="J729" s="3" t="s">
        <v>30</v>
      </c>
      <c r="K729" s="3">
        <v>34315</v>
      </c>
      <c r="L729" s="3" t="s">
        <v>31</v>
      </c>
      <c r="M729" s="1" t="s">
        <v>1992</v>
      </c>
      <c r="N729" s="25" t="s">
        <v>33</v>
      </c>
      <c r="O729" s="1" t="s">
        <v>20</v>
      </c>
      <c r="P729" s="1">
        <v>0</v>
      </c>
      <c r="Q729" s="28" t="s">
        <v>1993</v>
      </c>
      <c r="R729" s="44" t="s">
        <v>1994</v>
      </c>
      <c r="S729" s="17" t="s">
        <v>1995</v>
      </c>
    </row>
    <row r="730" spans="1:19" ht="12.75">
      <c r="A730" s="10">
        <v>7</v>
      </c>
      <c r="B730" s="10">
        <v>2022</v>
      </c>
      <c r="C730" s="6" t="s">
        <v>102</v>
      </c>
      <c r="D730" s="48">
        <v>44609</v>
      </c>
      <c r="E730" s="6" t="s">
        <v>20</v>
      </c>
      <c r="F730" s="6" t="s">
        <v>37</v>
      </c>
      <c r="G730" s="10">
        <v>1</v>
      </c>
      <c r="H730" s="10">
        <v>3</v>
      </c>
      <c r="I730" s="10">
        <v>1</v>
      </c>
      <c r="J730" s="4" t="s">
        <v>64</v>
      </c>
      <c r="K730" s="13">
        <v>34409</v>
      </c>
      <c r="L730" s="4" t="s">
        <v>31</v>
      </c>
      <c r="M730" s="6" t="s">
        <v>1996</v>
      </c>
      <c r="N730" s="25" t="s">
        <v>33</v>
      </c>
      <c r="O730" s="6" t="s">
        <v>20</v>
      </c>
      <c r="P730" s="6">
        <v>0</v>
      </c>
      <c r="Q730" s="28" t="s">
        <v>1997</v>
      </c>
      <c r="R730" s="44" t="s">
        <v>1998</v>
      </c>
      <c r="S730" s="17" t="s">
        <v>1999</v>
      </c>
    </row>
    <row r="731" spans="1:19" ht="12.75">
      <c r="A731" s="10">
        <v>7</v>
      </c>
      <c r="B731" s="10">
        <v>2022</v>
      </c>
      <c r="C731" s="6" t="s">
        <v>102</v>
      </c>
      <c r="D731" s="48">
        <v>44609</v>
      </c>
      <c r="E731" s="6" t="s">
        <v>20</v>
      </c>
      <c r="F731" s="6" t="s">
        <v>37</v>
      </c>
      <c r="G731" s="10">
        <v>1</v>
      </c>
      <c r="H731" s="10">
        <v>3</v>
      </c>
      <c r="I731" s="18">
        <v>2</v>
      </c>
      <c r="J731" s="4" t="s">
        <v>64</v>
      </c>
      <c r="K731" s="13">
        <v>34410</v>
      </c>
      <c r="L731" s="4" t="s">
        <v>31</v>
      </c>
      <c r="M731" s="6" t="s">
        <v>2000</v>
      </c>
      <c r="N731" s="25" t="s">
        <v>33</v>
      </c>
      <c r="O731" s="6" t="s">
        <v>23</v>
      </c>
      <c r="P731" s="6" t="s">
        <v>23</v>
      </c>
      <c r="Q731" s="7" t="s">
        <v>23</v>
      </c>
      <c r="R731" s="49" t="s">
        <v>23</v>
      </c>
      <c r="S731" s="20" t="s">
        <v>23</v>
      </c>
    </row>
    <row r="732" spans="1:19" ht="12.75">
      <c r="A732" s="10">
        <v>7</v>
      </c>
      <c r="B732" s="10">
        <v>2022</v>
      </c>
      <c r="C732" s="6" t="s">
        <v>102</v>
      </c>
      <c r="D732" s="48">
        <v>44609</v>
      </c>
      <c r="E732" s="6" t="s">
        <v>20</v>
      </c>
      <c r="F732" s="6" t="s">
        <v>37</v>
      </c>
      <c r="G732" s="10">
        <v>1</v>
      </c>
      <c r="H732" s="10">
        <v>3</v>
      </c>
      <c r="I732" s="18">
        <v>3</v>
      </c>
      <c r="J732" s="4" t="s">
        <v>64</v>
      </c>
      <c r="K732" s="13">
        <v>34411</v>
      </c>
      <c r="L732" s="4" t="s">
        <v>31</v>
      </c>
      <c r="M732" s="6" t="s">
        <v>2001</v>
      </c>
      <c r="N732" s="25" t="s">
        <v>33</v>
      </c>
      <c r="O732" s="6" t="s">
        <v>23</v>
      </c>
      <c r="P732" s="6" t="s">
        <v>23</v>
      </c>
      <c r="Q732" s="7" t="s">
        <v>23</v>
      </c>
      <c r="R732" s="49" t="s">
        <v>23</v>
      </c>
      <c r="S732" s="20" t="s">
        <v>23</v>
      </c>
    </row>
    <row r="733" spans="1:19" ht="12.75">
      <c r="A733" s="10">
        <v>8</v>
      </c>
      <c r="B733" s="10">
        <v>2022</v>
      </c>
      <c r="C733" s="6" t="s">
        <v>102</v>
      </c>
      <c r="D733" s="48">
        <v>44609</v>
      </c>
      <c r="E733" s="6" t="s">
        <v>20</v>
      </c>
      <c r="F733" s="6" t="s">
        <v>41</v>
      </c>
      <c r="G733" s="10">
        <v>1</v>
      </c>
      <c r="H733" s="10">
        <v>1</v>
      </c>
      <c r="I733" s="10">
        <v>1</v>
      </c>
      <c r="J733" s="4" t="s">
        <v>23</v>
      </c>
      <c r="K733" s="4" t="s">
        <v>23</v>
      </c>
      <c r="L733" s="4" t="s">
        <v>23</v>
      </c>
      <c r="M733" s="6" t="s">
        <v>2002</v>
      </c>
      <c r="N733" s="25" t="s">
        <v>23</v>
      </c>
      <c r="O733" s="6" t="s">
        <v>20</v>
      </c>
      <c r="P733" s="11">
        <v>0</v>
      </c>
      <c r="Q733" s="28" t="s">
        <v>2003</v>
      </c>
      <c r="R733" s="44" t="s">
        <v>2004</v>
      </c>
      <c r="S733" s="17" t="s">
        <v>2005</v>
      </c>
    </row>
    <row r="734" spans="1:19" ht="12.75">
      <c r="A734" s="10">
        <v>9</v>
      </c>
      <c r="B734" s="10">
        <v>2022</v>
      </c>
      <c r="C734" s="6" t="s">
        <v>102</v>
      </c>
      <c r="D734" s="48">
        <v>44614</v>
      </c>
      <c r="E734" s="6" t="s">
        <v>20</v>
      </c>
      <c r="F734" s="6" t="s">
        <v>37</v>
      </c>
      <c r="G734" s="10">
        <v>1</v>
      </c>
      <c r="H734" s="10">
        <v>2</v>
      </c>
      <c r="I734" s="10">
        <v>1</v>
      </c>
      <c r="J734" s="4" t="s">
        <v>64</v>
      </c>
      <c r="K734" s="13">
        <v>34407</v>
      </c>
      <c r="L734" s="4" t="s">
        <v>31</v>
      </c>
      <c r="M734" s="6" t="s">
        <v>2006</v>
      </c>
      <c r="N734" s="25" t="s">
        <v>33</v>
      </c>
      <c r="O734" s="6" t="s">
        <v>20</v>
      </c>
      <c r="P734" s="6">
        <v>0</v>
      </c>
      <c r="Q734" s="28" t="s">
        <v>2007</v>
      </c>
      <c r="R734" s="44" t="s">
        <v>2008</v>
      </c>
      <c r="S734" s="17" t="s">
        <v>2009</v>
      </c>
    </row>
    <row r="735" spans="1:19" ht="12.75">
      <c r="A735" s="10">
        <v>9</v>
      </c>
      <c r="B735" s="10">
        <v>2022</v>
      </c>
      <c r="C735" s="6" t="s">
        <v>102</v>
      </c>
      <c r="D735" s="48">
        <v>44614</v>
      </c>
      <c r="E735" s="6" t="s">
        <v>20</v>
      </c>
      <c r="F735" s="6" t="s">
        <v>37</v>
      </c>
      <c r="G735" s="10">
        <v>1</v>
      </c>
      <c r="H735" s="10">
        <v>2</v>
      </c>
      <c r="I735" s="10">
        <v>2</v>
      </c>
      <c r="J735" s="4" t="s">
        <v>64</v>
      </c>
      <c r="K735" s="13">
        <v>34408</v>
      </c>
      <c r="L735" s="4" t="s">
        <v>31</v>
      </c>
      <c r="M735" s="6" t="s">
        <v>2010</v>
      </c>
      <c r="N735" s="25" t="s">
        <v>33</v>
      </c>
      <c r="O735" s="6" t="s">
        <v>23</v>
      </c>
      <c r="P735" s="6" t="s">
        <v>23</v>
      </c>
      <c r="Q735" s="7" t="s">
        <v>23</v>
      </c>
      <c r="R735" s="50" t="s">
        <v>23</v>
      </c>
      <c r="S735" s="20" t="s">
        <v>23</v>
      </c>
    </row>
    <row r="736" spans="1:19" ht="12.75">
      <c r="A736" s="10">
        <v>10</v>
      </c>
      <c r="B736" s="10">
        <v>2022</v>
      </c>
      <c r="C736" s="6" t="s">
        <v>102</v>
      </c>
      <c r="D736" s="48">
        <v>44614</v>
      </c>
      <c r="E736" s="6" t="s">
        <v>33</v>
      </c>
      <c r="F736" s="6" t="s">
        <v>2011</v>
      </c>
      <c r="G736" s="10">
        <v>3</v>
      </c>
      <c r="H736" s="10">
        <v>1</v>
      </c>
      <c r="I736" s="10">
        <v>1</v>
      </c>
      <c r="J736" s="4" t="s">
        <v>30</v>
      </c>
      <c r="K736" s="13">
        <v>34406</v>
      </c>
      <c r="L736" s="4" t="s">
        <v>31</v>
      </c>
      <c r="M736" s="6" t="s">
        <v>1985</v>
      </c>
      <c r="N736" s="25" t="s">
        <v>33</v>
      </c>
      <c r="O736" s="6" t="s">
        <v>20</v>
      </c>
      <c r="P736" s="11">
        <v>0</v>
      </c>
      <c r="Q736" s="28" t="s">
        <v>2012</v>
      </c>
      <c r="R736" s="44" t="s">
        <v>2013</v>
      </c>
      <c r="S736" s="17" t="s">
        <v>2014</v>
      </c>
    </row>
    <row r="737" spans="1:19" ht="12.75">
      <c r="A737" s="10">
        <v>11</v>
      </c>
      <c r="B737" s="10">
        <v>2022</v>
      </c>
      <c r="C737" s="6" t="s">
        <v>102</v>
      </c>
      <c r="D737" s="48">
        <v>44614</v>
      </c>
      <c r="E737" s="6" t="s">
        <v>20</v>
      </c>
      <c r="F737" s="6" t="s">
        <v>190</v>
      </c>
      <c r="G737" s="10">
        <v>1</v>
      </c>
      <c r="H737" s="10">
        <v>1</v>
      </c>
      <c r="I737" s="10">
        <v>1</v>
      </c>
      <c r="J737" s="4" t="s">
        <v>23</v>
      </c>
      <c r="K737" s="4" t="s">
        <v>23</v>
      </c>
      <c r="L737" s="4" t="s">
        <v>23</v>
      </c>
      <c r="M737" s="6" t="s">
        <v>2002</v>
      </c>
      <c r="N737" s="25" t="s">
        <v>23</v>
      </c>
      <c r="O737" s="6" t="s">
        <v>20</v>
      </c>
      <c r="P737" s="11">
        <v>0</v>
      </c>
      <c r="Q737" s="32" t="s">
        <v>2015</v>
      </c>
      <c r="R737" s="44" t="s">
        <v>2016</v>
      </c>
      <c r="S737" s="17" t="s">
        <v>2017</v>
      </c>
    </row>
    <row r="738" spans="1:19" ht="12.75">
      <c r="A738" s="10">
        <v>12</v>
      </c>
      <c r="B738" s="10">
        <v>2022</v>
      </c>
      <c r="C738" s="6" t="s">
        <v>102</v>
      </c>
      <c r="D738" s="48">
        <v>44616</v>
      </c>
      <c r="E738" s="6" t="s">
        <v>20</v>
      </c>
      <c r="F738" s="6" t="s">
        <v>47</v>
      </c>
      <c r="G738" s="10">
        <v>1</v>
      </c>
      <c r="H738" s="10">
        <v>1</v>
      </c>
      <c r="I738" s="10">
        <v>1</v>
      </c>
      <c r="J738" s="4" t="s">
        <v>30</v>
      </c>
      <c r="K738" s="13">
        <v>34522</v>
      </c>
      <c r="L738" s="4" t="s">
        <v>31</v>
      </c>
      <c r="M738" s="6" t="s">
        <v>2018</v>
      </c>
      <c r="N738" s="25" t="s">
        <v>33</v>
      </c>
      <c r="O738" s="6" t="s">
        <v>20</v>
      </c>
      <c r="P738" s="11">
        <v>0</v>
      </c>
      <c r="Q738" s="28" t="s">
        <v>2019</v>
      </c>
      <c r="R738" s="44" t="s">
        <v>2020</v>
      </c>
      <c r="S738" s="17" t="s">
        <v>2021</v>
      </c>
    </row>
    <row r="739" spans="1:19" ht="12.75">
      <c r="A739" s="10">
        <v>13</v>
      </c>
      <c r="B739" s="10">
        <v>2022</v>
      </c>
      <c r="C739" s="6" t="s">
        <v>102</v>
      </c>
      <c r="D739" s="48">
        <v>44622</v>
      </c>
      <c r="E739" s="6" t="s">
        <v>20</v>
      </c>
      <c r="F739" s="6" t="s">
        <v>53</v>
      </c>
      <c r="G739" s="10">
        <v>1</v>
      </c>
      <c r="H739" s="10">
        <v>2</v>
      </c>
      <c r="I739" s="10">
        <v>1</v>
      </c>
      <c r="J739" s="4" t="s">
        <v>30</v>
      </c>
      <c r="K739" s="13">
        <v>34522</v>
      </c>
      <c r="L739" s="4" t="s">
        <v>31</v>
      </c>
      <c r="M739" s="6" t="s">
        <v>2022</v>
      </c>
      <c r="N739" s="25" t="s">
        <v>20</v>
      </c>
      <c r="O739" s="6" t="s">
        <v>20</v>
      </c>
      <c r="P739" s="11">
        <v>0</v>
      </c>
      <c r="Q739" s="32" t="s">
        <v>2023</v>
      </c>
      <c r="R739" s="51" t="s">
        <v>2024</v>
      </c>
      <c r="S739" s="17" t="s">
        <v>2025</v>
      </c>
    </row>
    <row r="740" spans="1:19" ht="12.75">
      <c r="A740" s="10">
        <v>13</v>
      </c>
      <c r="B740" s="10">
        <v>2022</v>
      </c>
      <c r="C740" s="6" t="s">
        <v>102</v>
      </c>
      <c r="D740" s="48">
        <v>44622</v>
      </c>
      <c r="E740" s="6" t="s">
        <v>20</v>
      </c>
      <c r="F740" s="6" t="s">
        <v>53</v>
      </c>
      <c r="G740" s="10">
        <v>1</v>
      </c>
      <c r="H740" s="10">
        <v>2</v>
      </c>
      <c r="I740" s="10">
        <v>2</v>
      </c>
      <c r="J740" s="4" t="s">
        <v>30</v>
      </c>
      <c r="K740" s="13">
        <v>34518</v>
      </c>
      <c r="L740" s="4" t="s">
        <v>31</v>
      </c>
      <c r="M740" s="6" t="s">
        <v>2026</v>
      </c>
      <c r="N740" s="25" t="s">
        <v>20</v>
      </c>
      <c r="O740" s="6" t="s">
        <v>23</v>
      </c>
      <c r="P740" s="6" t="s">
        <v>23</v>
      </c>
      <c r="Q740" s="7" t="s">
        <v>23</v>
      </c>
      <c r="R740" s="50" t="s">
        <v>23</v>
      </c>
      <c r="S740" s="20" t="s">
        <v>23</v>
      </c>
    </row>
    <row r="741" spans="1:19" ht="12.75">
      <c r="A741" s="10">
        <v>14</v>
      </c>
      <c r="B741" s="10">
        <v>2022</v>
      </c>
      <c r="C741" s="6" t="s">
        <v>102</v>
      </c>
      <c r="D741" s="48">
        <v>44623</v>
      </c>
      <c r="E741" s="6" t="s">
        <v>20</v>
      </c>
      <c r="F741" s="6" t="s">
        <v>37</v>
      </c>
      <c r="G741" s="10">
        <v>1</v>
      </c>
      <c r="H741" s="10">
        <v>5</v>
      </c>
      <c r="I741" s="10">
        <v>1</v>
      </c>
      <c r="J741" s="4" t="s">
        <v>64</v>
      </c>
      <c r="K741" s="13">
        <v>34506</v>
      </c>
      <c r="L741" s="4" t="s">
        <v>31</v>
      </c>
      <c r="M741" s="6" t="s">
        <v>2027</v>
      </c>
      <c r="N741" s="25" t="s">
        <v>33</v>
      </c>
      <c r="O741" s="6" t="s">
        <v>20</v>
      </c>
      <c r="P741" s="11">
        <v>0</v>
      </c>
      <c r="Q741" s="28" t="s">
        <v>2028</v>
      </c>
      <c r="R741" s="44" t="s">
        <v>2029</v>
      </c>
      <c r="S741" s="17" t="s">
        <v>2030</v>
      </c>
    </row>
    <row r="742" spans="1:19" ht="12.75">
      <c r="A742" s="10">
        <v>14</v>
      </c>
      <c r="B742" s="10">
        <v>2022</v>
      </c>
      <c r="C742" s="6" t="s">
        <v>102</v>
      </c>
      <c r="D742" s="48">
        <v>44623</v>
      </c>
      <c r="E742" s="6" t="s">
        <v>20</v>
      </c>
      <c r="F742" s="6" t="s">
        <v>37</v>
      </c>
      <c r="G742" s="10">
        <v>1</v>
      </c>
      <c r="H742" s="10">
        <v>5</v>
      </c>
      <c r="I742" s="10">
        <v>2</v>
      </c>
      <c r="J742" s="4" t="s">
        <v>64</v>
      </c>
      <c r="K742" s="13">
        <v>34507</v>
      </c>
      <c r="L742" s="4" t="s">
        <v>31</v>
      </c>
      <c r="M742" s="6" t="s">
        <v>2031</v>
      </c>
      <c r="N742" s="25" t="s">
        <v>33</v>
      </c>
      <c r="O742" s="6" t="s">
        <v>23</v>
      </c>
      <c r="P742" s="6" t="s">
        <v>23</v>
      </c>
      <c r="Q742" s="7" t="s">
        <v>23</v>
      </c>
      <c r="R742" s="50" t="s">
        <v>23</v>
      </c>
      <c r="S742" s="20" t="s">
        <v>23</v>
      </c>
    </row>
    <row r="743" spans="1:19" ht="12.75">
      <c r="A743" s="10">
        <v>14</v>
      </c>
      <c r="B743" s="10">
        <v>2022</v>
      </c>
      <c r="C743" s="6" t="s">
        <v>102</v>
      </c>
      <c r="D743" s="48">
        <v>44623</v>
      </c>
      <c r="E743" s="6" t="s">
        <v>20</v>
      </c>
      <c r="F743" s="6" t="s">
        <v>37</v>
      </c>
      <c r="G743" s="10">
        <v>1</v>
      </c>
      <c r="H743" s="10">
        <v>5</v>
      </c>
      <c r="I743" s="10">
        <v>3</v>
      </c>
      <c r="J743" s="4" t="s">
        <v>64</v>
      </c>
      <c r="K743" s="13">
        <v>34508</v>
      </c>
      <c r="L743" s="4" t="s">
        <v>31</v>
      </c>
      <c r="M743" s="6" t="s">
        <v>2032</v>
      </c>
      <c r="N743" s="25" t="s">
        <v>33</v>
      </c>
      <c r="O743" s="6" t="s">
        <v>23</v>
      </c>
      <c r="P743" s="6" t="s">
        <v>23</v>
      </c>
      <c r="Q743" s="7" t="s">
        <v>23</v>
      </c>
      <c r="R743" s="50" t="s">
        <v>23</v>
      </c>
      <c r="S743" s="20" t="s">
        <v>23</v>
      </c>
    </row>
    <row r="744" spans="1:19" ht="12.75">
      <c r="A744" s="10">
        <v>14</v>
      </c>
      <c r="B744" s="10">
        <v>2022</v>
      </c>
      <c r="C744" s="6" t="s">
        <v>102</v>
      </c>
      <c r="D744" s="48">
        <v>44623</v>
      </c>
      <c r="E744" s="6" t="s">
        <v>20</v>
      </c>
      <c r="F744" s="6" t="s">
        <v>37</v>
      </c>
      <c r="G744" s="10">
        <v>1</v>
      </c>
      <c r="H744" s="10">
        <v>5</v>
      </c>
      <c r="I744" s="10">
        <v>4</v>
      </c>
      <c r="J744" s="4" t="s">
        <v>64</v>
      </c>
      <c r="K744" s="13">
        <v>34509</v>
      </c>
      <c r="L744" s="4" t="s">
        <v>31</v>
      </c>
      <c r="M744" s="6" t="s">
        <v>2033</v>
      </c>
      <c r="N744" s="25" t="s">
        <v>33</v>
      </c>
      <c r="O744" s="6" t="s">
        <v>23</v>
      </c>
      <c r="P744" s="6" t="s">
        <v>23</v>
      </c>
      <c r="Q744" s="7" t="s">
        <v>23</v>
      </c>
      <c r="R744" s="50" t="s">
        <v>23</v>
      </c>
      <c r="S744" s="20" t="s">
        <v>23</v>
      </c>
    </row>
    <row r="745" spans="1:19" ht="12.75">
      <c r="A745" s="10">
        <v>14</v>
      </c>
      <c r="B745" s="10">
        <v>2022</v>
      </c>
      <c r="C745" s="6" t="s">
        <v>102</v>
      </c>
      <c r="D745" s="48">
        <v>44623</v>
      </c>
      <c r="E745" s="6" t="s">
        <v>20</v>
      </c>
      <c r="F745" s="6" t="s">
        <v>37</v>
      </c>
      <c r="G745" s="10">
        <v>1</v>
      </c>
      <c r="H745" s="10">
        <v>5</v>
      </c>
      <c r="I745" s="10">
        <v>5</v>
      </c>
      <c r="J745" s="4" t="s">
        <v>64</v>
      </c>
      <c r="K745" s="13">
        <v>34511</v>
      </c>
      <c r="L745" s="4" t="s">
        <v>31</v>
      </c>
      <c r="M745" s="6" t="s">
        <v>2034</v>
      </c>
      <c r="N745" s="25" t="s">
        <v>33</v>
      </c>
      <c r="O745" s="6" t="s">
        <v>23</v>
      </c>
      <c r="P745" s="6" t="s">
        <v>23</v>
      </c>
      <c r="Q745" s="7" t="s">
        <v>23</v>
      </c>
      <c r="R745" s="50" t="s">
        <v>23</v>
      </c>
      <c r="S745" s="20" t="s">
        <v>23</v>
      </c>
    </row>
    <row r="746" spans="1:19" ht="12.75">
      <c r="A746" s="10">
        <v>15</v>
      </c>
      <c r="B746" s="10">
        <v>2022</v>
      </c>
      <c r="C746" s="6" t="s">
        <v>102</v>
      </c>
      <c r="D746" s="48">
        <v>44623</v>
      </c>
      <c r="E746" s="6" t="s">
        <v>20</v>
      </c>
      <c r="F746" s="6" t="s">
        <v>47</v>
      </c>
      <c r="G746" s="10">
        <v>1</v>
      </c>
      <c r="H746" s="10">
        <v>1</v>
      </c>
      <c r="I746" s="10">
        <v>1</v>
      </c>
      <c r="J746" s="4" t="s">
        <v>30</v>
      </c>
      <c r="K746" s="13">
        <v>34523</v>
      </c>
      <c r="L746" s="4" t="s">
        <v>31</v>
      </c>
      <c r="M746" s="6" t="s">
        <v>2035</v>
      </c>
      <c r="N746" s="25" t="s">
        <v>33</v>
      </c>
      <c r="O746" s="6" t="s">
        <v>20</v>
      </c>
      <c r="P746" s="11">
        <v>0</v>
      </c>
      <c r="Q746" s="28" t="s">
        <v>2036</v>
      </c>
      <c r="R746" s="44" t="s">
        <v>2037</v>
      </c>
      <c r="S746" s="17" t="s">
        <v>2038</v>
      </c>
    </row>
    <row r="747" spans="1:19" ht="12.75">
      <c r="A747" s="10">
        <v>16</v>
      </c>
      <c r="B747" s="10">
        <v>2022</v>
      </c>
      <c r="C747" s="6" t="s">
        <v>102</v>
      </c>
      <c r="D747" s="48">
        <v>44623</v>
      </c>
      <c r="E747" s="6" t="s">
        <v>20</v>
      </c>
      <c r="F747" s="6" t="s">
        <v>73</v>
      </c>
      <c r="G747" s="10">
        <v>1</v>
      </c>
      <c r="H747" s="10">
        <v>1</v>
      </c>
      <c r="I747" s="10">
        <v>1</v>
      </c>
      <c r="J747" s="4" t="s">
        <v>23</v>
      </c>
      <c r="K747" s="4" t="s">
        <v>23</v>
      </c>
      <c r="L747" s="4" t="s">
        <v>23</v>
      </c>
      <c r="M747" s="6" t="s">
        <v>2039</v>
      </c>
      <c r="N747" s="25" t="s">
        <v>23</v>
      </c>
      <c r="O747" s="6" t="s">
        <v>20</v>
      </c>
      <c r="P747" s="11">
        <v>0</v>
      </c>
      <c r="Q747" s="17" t="s">
        <v>2040</v>
      </c>
      <c r="R747" s="52" t="s">
        <v>2041</v>
      </c>
      <c r="S747" s="17" t="s">
        <v>2042</v>
      </c>
    </row>
    <row r="748" spans="1:19" ht="12.75">
      <c r="A748" s="10">
        <v>17</v>
      </c>
      <c r="B748" s="10">
        <v>2022</v>
      </c>
      <c r="C748" s="6" t="s">
        <v>1824</v>
      </c>
      <c r="D748" s="48">
        <v>44628</v>
      </c>
      <c r="E748" s="6" t="s">
        <v>20</v>
      </c>
      <c r="F748" s="6" t="s">
        <v>39</v>
      </c>
      <c r="G748" s="10">
        <v>1</v>
      </c>
      <c r="H748" s="10">
        <v>1</v>
      </c>
      <c r="I748" s="10">
        <v>1</v>
      </c>
      <c r="J748" s="4" t="s">
        <v>23</v>
      </c>
      <c r="K748" s="4" t="s">
        <v>23</v>
      </c>
      <c r="L748" s="4" t="s">
        <v>23</v>
      </c>
      <c r="M748" s="6" t="s">
        <v>2043</v>
      </c>
      <c r="N748" s="25" t="s">
        <v>23</v>
      </c>
      <c r="O748" s="6" t="s">
        <v>33</v>
      </c>
      <c r="P748" s="11">
        <v>18</v>
      </c>
      <c r="Q748" s="53" t="s">
        <v>2044</v>
      </c>
      <c r="R748" s="52" t="s">
        <v>2045</v>
      </c>
      <c r="S748" s="17" t="s">
        <v>2046</v>
      </c>
    </row>
    <row r="749" spans="1:19" ht="12.75">
      <c r="A749" s="10">
        <v>18</v>
      </c>
      <c r="B749" s="10">
        <v>2022</v>
      </c>
      <c r="C749" s="6" t="s">
        <v>102</v>
      </c>
      <c r="D749" s="48">
        <v>44628</v>
      </c>
      <c r="E749" s="6" t="s">
        <v>20</v>
      </c>
      <c r="F749" s="6" t="s">
        <v>21</v>
      </c>
      <c r="G749" s="10">
        <v>1</v>
      </c>
      <c r="H749" s="10">
        <v>1</v>
      </c>
      <c r="I749" s="10">
        <v>1</v>
      </c>
      <c r="J749" s="4" t="s">
        <v>23</v>
      </c>
      <c r="K749" s="4" t="s">
        <v>23</v>
      </c>
      <c r="L749" s="4" t="s">
        <v>23</v>
      </c>
      <c r="M749" s="6" t="s">
        <v>983</v>
      </c>
      <c r="N749" s="25" t="s">
        <v>23</v>
      </c>
      <c r="O749" s="6" t="s">
        <v>20</v>
      </c>
      <c r="P749" s="11">
        <v>0</v>
      </c>
      <c r="Q749" s="7" t="s">
        <v>2047</v>
      </c>
      <c r="R749" s="54" t="s">
        <v>2048</v>
      </c>
      <c r="S749" s="17" t="s">
        <v>2049</v>
      </c>
    </row>
    <row r="750" spans="1:19" ht="12.75">
      <c r="A750" s="10">
        <v>19</v>
      </c>
      <c r="B750" s="10">
        <v>2022</v>
      </c>
      <c r="C750" s="6" t="s">
        <v>102</v>
      </c>
      <c r="D750" s="48">
        <v>44628</v>
      </c>
      <c r="E750" s="6" t="s">
        <v>20</v>
      </c>
      <c r="F750" s="6" t="s">
        <v>47</v>
      </c>
      <c r="G750" s="10">
        <v>1</v>
      </c>
      <c r="H750" s="10">
        <v>1</v>
      </c>
      <c r="I750" s="10">
        <v>1</v>
      </c>
      <c r="J750" s="4" t="s">
        <v>30</v>
      </c>
      <c r="K750" s="4">
        <v>34554</v>
      </c>
      <c r="L750" s="4" t="s">
        <v>31</v>
      </c>
      <c r="M750" s="6" t="s">
        <v>2050</v>
      </c>
      <c r="N750" s="25" t="s">
        <v>33</v>
      </c>
      <c r="O750" s="6" t="s">
        <v>20</v>
      </c>
      <c r="P750" s="11">
        <v>0</v>
      </c>
      <c r="Q750" s="7" t="s">
        <v>2051</v>
      </c>
      <c r="R750" s="54" t="s">
        <v>2052</v>
      </c>
      <c r="S750" s="17" t="s">
        <v>2053</v>
      </c>
    </row>
    <row r="751" spans="1:19" ht="12.75">
      <c r="A751" s="10">
        <v>20</v>
      </c>
      <c r="B751" s="10">
        <v>2022</v>
      </c>
      <c r="C751" s="6" t="s">
        <v>102</v>
      </c>
      <c r="D751" s="48">
        <v>44629</v>
      </c>
      <c r="E751" s="6" t="s">
        <v>33</v>
      </c>
      <c r="F751" s="6" t="s">
        <v>2054</v>
      </c>
      <c r="G751" s="10">
        <v>2</v>
      </c>
      <c r="H751" s="10">
        <v>3</v>
      </c>
      <c r="I751" s="10">
        <v>1</v>
      </c>
      <c r="J751" s="4" t="s">
        <v>30</v>
      </c>
      <c r="K751" s="4">
        <v>34518</v>
      </c>
      <c r="L751" s="4" t="s">
        <v>31</v>
      </c>
      <c r="M751" s="6" t="s">
        <v>2026</v>
      </c>
      <c r="N751" s="25" t="s">
        <v>33</v>
      </c>
      <c r="O751" s="6" t="s">
        <v>20</v>
      </c>
      <c r="P751" s="11">
        <v>0</v>
      </c>
      <c r="Q751" s="9" t="s">
        <v>2055</v>
      </c>
      <c r="R751" s="54" t="s">
        <v>2056</v>
      </c>
      <c r="S751" s="26" t="s">
        <v>2057</v>
      </c>
    </row>
    <row r="752" spans="1:19" ht="12.75">
      <c r="A752" s="10">
        <v>20</v>
      </c>
      <c r="B752" s="10">
        <v>2022</v>
      </c>
      <c r="C752" s="6" t="s">
        <v>102</v>
      </c>
      <c r="D752" s="48">
        <v>44629</v>
      </c>
      <c r="E752" s="6" t="s">
        <v>33</v>
      </c>
      <c r="F752" s="6" t="s">
        <v>2054</v>
      </c>
      <c r="G752" s="10">
        <v>2</v>
      </c>
      <c r="H752" s="10">
        <v>3</v>
      </c>
      <c r="I752" s="10">
        <v>2</v>
      </c>
      <c r="J752" s="4" t="s">
        <v>71</v>
      </c>
      <c r="K752" s="4">
        <v>34519</v>
      </c>
      <c r="L752" s="4" t="s">
        <v>61</v>
      </c>
      <c r="M752" s="6" t="s">
        <v>2058</v>
      </c>
      <c r="N752" s="25" t="s">
        <v>20</v>
      </c>
      <c r="O752" s="6" t="s">
        <v>23</v>
      </c>
      <c r="P752" s="6" t="s">
        <v>23</v>
      </c>
      <c r="Q752" s="7" t="s">
        <v>23</v>
      </c>
      <c r="R752" s="54" t="s">
        <v>23</v>
      </c>
      <c r="S752" s="7" t="s">
        <v>23</v>
      </c>
    </row>
    <row r="753" spans="1:19" ht="12.75">
      <c r="A753" s="10">
        <v>20</v>
      </c>
      <c r="B753" s="10">
        <v>2022</v>
      </c>
      <c r="C753" s="6" t="s">
        <v>102</v>
      </c>
      <c r="D753" s="48">
        <v>44629</v>
      </c>
      <c r="E753" s="6" t="s">
        <v>33</v>
      </c>
      <c r="F753" s="6" t="s">
        <v>2054</v>
      </c>
      <c r="G753" s="10">
        <v>2</v>
      </c>
      <c r="H753" s="10">
        <v>3</v>
      </c>
      <c r="I753" s="10">
        <v>3</v>
      </c>
      <c r="J753" s="4" t="s">
        <v>85</v>
      </c>
      <c r="K753" s="4">
        <v>34556</v>
      </c>
      <c r="L753" s="4" t="s">
        <v>61</v>
      </c>
      <c r="M753" s="6" t="s">
        <v>2059</v>
      </c>
      <c r="N753" s="25" t="s">
        <v>20</v>
      </c>
      <c r="O753" s="6" t="s">
        <v>23</v>
      </c>
      <c r="P753" s="6" t="s">
        <v>23</v>
      </c>
      <c r="Q753" s="7" t="s">
        <v>23</v>
      </c>
      <c r="R753" s="54" t="s">
        <v>23</v>
      </c>
      <c r="S753" s="7" t="s">
        <v>23</v>
      </c>
    </row>
    <row r="754" spans="1:19" ht="12.75">
      <c r="A754" s="10">
        <v>21</v>
      </c>
      <c r="B754" s="10">
        <v>2022</v>
      </c>
      <c r="C754" s="6" t="s">
        <v>1824</v>
      </c>
      <c r="D754" s="48">
        <v>44630</v>
      </c>
      <c r="E754" s="6" t="s">
        <v>20</v>
      </c>
      <c r="F754" s="6" t="s">
        <v>51</v>
      </c>
      <c r="G754" s="10">
        <v>1</v>
      </c>
      <c r="H754" s="10">
        <v>1</v>
      </c>
      <c r="I754" s="10">
        <v>1</v>
      </c>
      <c r="J754" s="4" t="s">
        <v>23</v>
      </c>
      <c r="K754" s="4" t="s">
        <v>23</v>
      </c>
      <c r="L754" s="4" t="s">
        <v>23</v>
      </c>
      <c r="M754" s="6" t="s">
        <v>2060</v>
      </c>
      <c r="N754" s="25" t="s">
        <v>23</v>
      </c>
      <c r="O754" s="6" t="s">
        <v>33</v>
      </c>
      <c r="P754" s="11">
        <v>5</v>
      </c>
      <c r="Q754" s="9" t="s">
        <v>2061</v>
      </c>
      <c r="R754" s="52" t="s">
        <v>2062</v>
      </c>
      <c r="S754" s="17" t="s">
        <v>2063</v>
      </c>
    </row>
    <row r="755" spans="1:19" ht="12.75">
      <c r="A755" s="10">
        <v>22</v>
      </c>
      <c r="B755" s="10">
        <v>2022</v>
      </c>
      <c r="C755" s="6" t="s">
        <v>102</v>
      </c>
      <c r="D755" s="48">
        <v>44630</v>
      </c>
      <c r="E755" s="6" t="s">
        <v>33</v>
      </c>
      <c r="F755" s="6" t="s">
        <v>2064</v>
      </c>
      <c r="G755" s="10">
        <v>2</v>
      </c>
      <c r="H755" s="10">
        <v>1</v>
      </c>
      <c r="I755" s="10">
        <v>1</v>
      </c>
      <c r="J755" s="4" t="s">
        <v>23</v>
      </c>
      <c r="K755" s="4" t="s">
        <v>23</v>
      </c>
      <c r="L755" s="4" t="s">
        <v>23</v>
      </c>
      <c r="M755" s="6" t="s">
        <v>2065</v>
      </c>
      <c r="N755" s="25" t="s">
        <v>23</v>
      </c>
      <c r="O755" s="6" t="s">
        <v>33</v>
      </c>
      <c r="P755" s="11">
        <v>1</v>
      </c>
      <c r="Q755" s="53" t="s">
        <v>2066</v>
      </c>
      <c r="R755" s="52" t="s">
        <v>2067</v>
      </c>
      <c r="S755" s="17" t="s">
        <v>2068</v>
      </c>
    </row>
    <row r="756" spans="1:19" ht="12.75">
      <c r="A756" s="10">
        <v>23</v>
      </c>
      <c r="B756" s="10">
        <v>2022</v>
      </c>
      <c r="C756" s="6" t="s">
        <v>102</v>
      </c>
      <c r="D756" s="48">
        <v>44630</v>
      </c>
      <c r="E756" s="6" t="s">
        <v>20</v>
      </c>
      <c r="F756" s="6" t="s">
        <v>37</v>
      </c>
      <c r="G756" s="10">
        <v>1</v>
      </c>
      <c r="H756" s="10">
        <v>2</v>
      </c>
      <c r="I756" s="10">
        <v>1</v>
      </c>
      <c r="J756" s="4" t="s">
        <v>64</v>
      </c>
      <c r="K756" s="4">
        <v>34512</v>
      </c>
      <c r="L756" s="4" t="s">
        <v>31</v>
      </c>
      <c r="M756" s="6" t="s">
        <v>2069</v>
      </c>
      <c r="N756" s="25" t="s">
        <v>33</v>
      </c>
      <c r="O756" s="6" t="s">
        <v>20</v>
      </c>
      <c r="P756" s="6">
        <v>0</v>
      </c>
      <c r="Q756" s="7" t="s">
        <v>2070</v>
      </c>
      <c r="R756" s="52" t="s">
        <v>2071</v>
      </c>
      <c r="S756" s="17" t="s">
        <v>2072</v>
      </c>
    </row>
    <row r="757" spans="1:19" ht="12.75">
      <c r="A757" s="10">
        <v>23</v>
      </c>
      <c r="B757" s="10">
        <v>2022</v>
      </c>
      <c r="C757" s="6" t="s">
        <v>102</v>
      </c>
      <c r="D757" s="48">
        <v>44630</v>
      </c>
      <c r="E757" s="6" t="s">
        <v>20</v>
      </c>
      <c r="F757" s="6" t="s">
        <v>37</v>
      </c>
      <c r="G757" s="10">
        <v>1</v>
      </c>
      <c r="H757" s="10">
        <v>2</v>
      </c>
      <c r="I757" s="10">
        <v>2</v>
      </c>
      <c r="J757" s="4" t="s">
        <v>64</v>
      </c>
      <c r="K757" s="4">
        <v>34513</v>
      </c>
      <c r="L757" s="4" t="s">
        <v>31</v>
      </c>
      <c r="M757" s="6" t="s">
        <v>2073</v>
      </c>
      <c r="N757" s="25" t="s">
        <v>33</v>
      </c>
      <c r="O757" s="6" t="s">
        <v>23</v>
      </c>
      <c r="P757" s="6" t="s">
        <v>23</v>
      </c>
      <c r="Q757" s="7" t="s">
        <v>23</v>
      </c>
      <c r="R757" s="54" t="s">
        <v>23</v>
      </c>
      <c r="S757" s="7" t="s">
        <v>23</v>
      </c>
    </row>
    <row r="758" spans="1:19" ht="12.75">
      <c r="A758" s="10">
        <v>24</v>
      </c>
      <c r="B758" s="10">
        <v>2022</v>
      </c>
      <c r="C758" s="6" t="s">
        <v>102</v>
      </c>
      <c r="D758" s="48">
        <v>44635</v>
      </c>
      <c r="E758" s="6" t="s">
        <v>33</v>
      </c>
      <c r="F758" s="6" t="s">
        <v>2074</v>
      </c>
      <c r="G758" s="10">
        <v>2</v>
      </c>
      <c r="H758" s="10">
        <v>2</v>
      </c>
      <c r="I758" s="10">
        <v>1</v>
      </c>
      <c r="J758" s="4" t="s">
        <v>30</v>
      </c>
      <c r="K758" s="4">
        <v>34521</v>
      </c>
      <c r="L758" s="4" t="s">
        <v>31</v>
      </c>
      <c r="M758" s="6" t="s">
        <v>2075</v>
      </c>
      <c r="N758" s="25" t="s">
        <v>33</v>
      </c>
      <c r="O758" s="6" t="s">
        <v>33</v>
      </c>
      <c r="P758" s="11">
        <v>1</v>
      </c>
      <c r="Q758" s="7" t="s">
        <v>2076</v>
      </c>
      <c r="R758" s="54" t="s">
        <v>2077</v>
      </c>
      <c r="S758" s="17" t="s">
        <v>2078</v>
      </c>
    </row>
    <row r="759" spans="1:19" ht="12.75">
      <c r="A759" s="10">
        <v>24</v>
      </c>
      <c r="B759" s="10">
        <v>2022</v>
      </c>
      <c r="C759" s="6" t="s">
        <v>102</v>
      </c>
      <c r="D759" s="48">
        <v>44635</v>
      </c>
      <c r="E759" s="6" t="s">
        <v>33</v>
      </c>
      <c r="F759" s="6" t="s">
        <v>2074</v>
      </c>
      <c r="G759" s="10">
        <v>2</v>
      </c>
      <c r="H759" s="10">
        <v>2</v>
      </c>
      <c r="I759" s="10">
        <v>2</v>
      </c>
      <c r="J759" s="4" t="s">
        <v>30</v>
      </c>
      <c r="K759" s="4">
        <v>34554</v>
      </c>
      <c r="L759" s="4" t="s">
        <v>31</v>
      </c>
      <c r="M759" s="6" t="s">
        <v>2079</v>
      </c>
      <c r="N759" s="25" t="s">
        <v>20</v>
      </c>
      <c r="O759" s="6" t="s">
        <v>23</v>
      </c>
      <c r="P759" s="6" t="s">
        <v>23</v>
      </c>
      <c r="Q759" s="7" t="s">
        <v>23</v>
      </c>
      <c r="R759" s="54" t="s">
        <v>23</v>
      </c>
      <c r="S759" s="7" t="s">
        <v>23</v>
      </c>
    </row>
    <row r="760" spans="1:19" ht="12.75">
      <c r="A760" s="10">
        <v>25</v>
      </c>
      <c r="B760" s="10">
        <v>2022</v>
      </c>
      <c r="C760" s="6" t="s">
        <v>102</v>
      </c>
      <c r="D760" s="48">
        <v>44635</v>
      </c>
      <c r="E760" s="6" t="s">
        <v>20</v>
      </c>
      <c r="F760" s="6" t="s">
        <v>21</v>
      </c>
      <c r="G760" s="10">
        <v>1</v>
      </c>
      <c r="H760" s="10">
        <v>1</v>
      </c>
      <c r="I760" s="10">
        <v>1</v>
      </c>
      <c r="J760" s="4" t="s">
        <v>30</v>
      </c>
      <c r="K760" s="4">
        <v>34630</v>
      </c>
      <c r="L760" s="4" t="s">
        <v>61</v>
      </c>
      <c r="M760" s="6" t="s">
        <v>2080</v>
      </c>
      <c r="N760" s="25" t="s">
        <v>33</v>
      </c>
      <c r="O760" s="6" t="s">
        <v>20</v>
      </c>
      <c r="P760" s="11">
        <v>0</v>
      </c>
      <c r="Q760" s="7" t="s">
        <v>2081</v>
      </c>
      <c r="R760" s="54" t="s">
        <v>2082</v>
      </c>
      <c r="S760" s="17" t="s">
        <v>2083</v>
      </c>
    </row>
    <row r="761" spans="1:19" ht="12.75">
      <c r="A761" s="10">
        <v>26</v>
      </c>
      <c r="B761" s="10">
        <v>2022</v>
      </c>
      <c r="C761" s="6" t="s">
        <v>102</v>
      </c>
      <c r="D761" s="48">
        <v>44635</v>
      </c>
      <c r="E761" s="6" t="s">
        <v>20</v>
      </c>
      <c r="F761" s="6" t="s">
        <v>41</v>
      </c>
      <c r="G761" s="10">
        <v>1</v>
      </c>
      <c r="H761" s="10">
        <v>3</v>
      </c>
      <c r="I761" s="10">
        <v>1</v>
      </c>
      <c r="J761" s="4" t="s">
        <v>30</v>
      </c>
      <c r="K761" s="4">
        <v>18194</v>
      </c>
      <c r="L761" s="4" t="s">
        <v>61</v>
      </c>
      <c r="M761" s="6" t="s">
        <v>2084</v>
      </c>
      <c r="N761" s="25" t="s">
        <v>20</v>
      </c>
      <c r="O761" s="6" t="s">
        <v>20</v>
      </c>
      <c r="P761" s="11">
        <v>0</v>
      </c>
      <c r="Q761" s="9" t="s">
        <v>2085</v>
      </c>
      <c r="R761" s="54" t="s">
        <v>2086</v>
      </c>
      <c r="S761" s="17" t="s">
        <v>2087</v>
      </c>
    </row>
    <row r="762" spans="1:19" ht="12.75">
      <c r="A762" s="10">
        <v>26</v>
      </c>
      <c r="B762" s="10">
        <v>2022</v>
      </c>
      <c r="C762" s="6" t="s">
        <v>102</v>
      </c>
      <c r="D762" s="48">
        <v>44635</v>
      </c>
      <c r="E762" s="6" t="s">
        <v>20</v>
      </c>
      <c r="F762" s="6" t="s">
        <v>41</v>
      </c>
      <c r="G762" s="10">
        <v>1</v>
      </c>
      <c r="H762" s="10">
        <v>3</v>
      </c>
      <c r="I762" s="10">
        <v>2</v>
      </c>
      <c r="J762" s="4" t="s">
        <v>30</v>
      </c>
      <c r="K762" s="4">
        <v>29987</v>
      </c>
      <c r="L762" s="4" t="s">
        <v>61</v>
      </c>
      <c r="M762" s="6" t="s">
        <v>2088</v>
      </c>
      <c r="N762" s="25" t="s">
        <v>20</v>
      </c>
      <c r="O762" s="6" t="s">
        <v>23</v>
      </c>
      <c r="P762" s="6" t="s">
        <v>23</v>
      </c>
      <c r="Q762" s="7" t="s">
        <v>23</v>
      </c>
      <c r="R762" s="54" t="s">
        <v>23</v>
      </c>
      <c r="S762" s="7" t="s">
        <v>23</v>
      </c>
    </row>
    <row r="763" spans="1:19" ht="12.75">
      <c r="A763" s="10">
        <v>26</v>
      </c>
      <c r="B763" s="10">
        <v>2022</v>
      </c>
      <c r="C763" s="6" t="s">
        <v>102</v>
      </c>
      <c r="D763" s="48">
        <v>44635</v>
      </c>
      <c r="E763" s="6" t="s">
        <v>20</v>
      </c>
      <c r="F763" s="6" t="s">
        <v>41</v>
      </c>
      <c r="G763" s="10">
        <v>1</v>
      </c>
      <c r="H763" s="10">
        <v>3</v>
      </c>
      <c r="I763" s="10">
        <v>3</v>
      </c>
      <c r="J763" s="4" t="s">
        <v>30</v>
      </c>
      <c r="K763" s="4">
        <v>29983</v>
      </c>
      <c r="L763" s="4" t="s">
        <v>61</v>
      </c>
      <c r="M763" s="6" t="s">
        <v>2089</v>
      </c>
      <c r="N763" s="25" t="s">
        <v>20</v>
      </c>
      <c r="O763" s="6" t="s">
        <v>23</v>
      </c>
      <c r="P763" s="6" t="s">
        <v>23</v>
      </c>
      <c r="Q763" s="7" t="s">
        <v>23</v>
      </c>
      <c r="R763" s="54" t="s">
        <v>23</v>
      </c>
      <c r="S763" s="7" t="s">
        <v>23</v>
      </c>
    </row>
    <row r="764" spans="1:19" ht="12.75">
      <c r="A764" s="10">
        <v>27</v>
      </c>
      <c r="B764" s="10">
        <v>2022</v>
      </c>
      <c r="C764" s="6" t="s">
        <v>102</v>
      </c>
      <c r="D764" s="48">
        <v>44636</v>
      </c>
      <c r="E764" s="6" t="s">
        <v>20</v>
      </c>
      <c r="F764" s="6" t="s">
        <v>45</v>
      </c>
      <c r="G764" s="10">
        <v>1</v>
      </c>
      <c r="H764" s="10">
        <v>1</v>
      </c>
      <c r="I764" s="10">
        <v>1</v>
      </c>
      <c r="J764" s="4" t="s">
        <v>23</v>
      </c>
      <c r="K764" s="4" t="s">
        <v>23</v>
      </c>
      <c r="L764" s="4" t="s">
        <v>23</v>
      </c>
      <c r="M764" s="6" t="s">
        <v>2090</v>
      </c>
      <c r="N764" s="25" t="s">
        <v>23</v>
      </c>
      <c r="O764" s="6" t="s">
        <v>20</v>
      </c>
      <c r="P764" s="11">
        <v>0</v>
      </c>
      <c r="Q764" s="9" t="s">
        <v>2091</v>
      </c>
      <c r="R764" s="54" t="s">
        <v>2092</v>
      </c>
      <c r="S764" s="17" t="s">
        <v>2093</v>
      </c>
    </row>
    <row r="765" spans="1:19" ht="12.75">
      <c r="A765" s="10">
        <v>28</v>
      </c>
      <c r="B765" s="10">
        <v>2022</v>
      </c>
      <c r="C765" s="6" t="s">
        <v>102</v>
      </c>
      <c r="D765" s="48">
        <v>44637</v>
      </c>
      <c r="E765" s="6" t="s">
        <v>33</v>
      </c>
      <c r="F765" s="6" t="s">
        <v>603</v>
      </c>
      <c r="G765" s="10">
        <v>2</v>
      </c>
      <c r="H765" s="10">
        <v>1</v>
      </c>
      <c r="I765" s="10">
        <v>1</v>
      </c>
      <c r="J765" s="4" t="s">
        <v>23</v>
      </c>
      <c r="K765" s="4" t="s">
        <v>23</v>
      </c>
      <c r="L765" s="4" t="s">
        <v>23</v>
      </c>
      <c r="M765" s="6" t="s">
        <v>2094</v>
      </c>
      <c r="N765" s="25" t="s">
        <v>23</v>
      </c>
      <c r="O765" s="6" t="s">
        <v>33</v>
      </c>
      <c r="P765" s="11">
        <v>4</v>
      </c>
      <c r="Q765" s="9" t="s">
        <v>2095</v>
      </c>
      <c r="R765" s="54" t="s">
        <v>2096</v>
      </c>
      <c r="S765" s="17" t="s">
        <v>2097</v>
      </c>
    </row>
    <row r="766" spans="1:19" ht="12.75">
      <c r="A766" s="10">
        <v>29</v>
      </c>
      <c r="B766" s="10">
        <v>2022</v>
      </c>
      <c r="C766" s="6" t="s">
        <v>102</v>
      </c>
      <c r="D766" s="48">
        <v>44637</v>
      </c>
      <c r="E766" s="6" t="s">
        <v>20</v>
      </c>
      <c r="F766" s="6" t="s">
        <v>47</v>
      </c>
      <c r="G766" s="10">
        <v>1</v>
      </c>
      <c r="H766" s="10">
        <v>1</v>
      </c>
      <c r="I766" s="10">
        <v>1</v>
      </c>
      <c r="J766" s="4" t="s">
        <v>30</v>
      </c>
      <c r="K766" s="4">
        <v>34601</v>
      </c>
      <c r="L766" s="4" t="s">
        <v>31</v>
      </c>
      <c r="M766" s="6" t="s">
        <v>2098</v>
      </c>
      <c r="N766" s="25" t="s">
        <v>33</v>
      </c>
      <c r="O766" s="6" t="s">
        <v>20</v>
      </c>
      <c r="P766" s="11">
        <v>0</v>
      </c>
      <c r="Q766" s="7" t="s">
        <v>2099</v>
      </c>
      <c r="R766" s="54" t="s">
        <v>2100</v>
      </c>
      <c r="S766" s="17" t="s">
        <v>2101</v>
      </c>
    </row>
    <row r="767" spans="1:19" ht="12.75">
      <c r="A767" s="10">
        <v>30</v>
      </c>
      <c r="B767" s="10">
        <v>2022</v>
      </c>
      <c r="C767" s="6" t="s">
        <v>102</v>
      </c>
      <c r="D767" s="48">
        <v>44637</v>
      </c>
      <c r="E767" s="6" t="s">
        <v>20</v>
      </c>
      <c r="F767" s="6" t="s">
        <v>73</v>
      </c>
      <c r="G767" s="10">
        <v>1</v>
      </c>
      <c r="H767" s="10">
        <v>2</v>
      </c>
      <c r="I767" s="10">
        <v>1</v>
      </c>
      <c r="J767" s="4" t="s">
        <v>30</v>
      </c>
      <c r="K767" s="4">
        <v>34691</v>
      </c>
      <c r="L767" s="4" t="s">
        <v>31</v>
      </c>
      <c r="M767" s="6" t="s">
        <v>2102</v>
      </c>
      <c r="N767" s="25" t="s">
        <v>20</v>
      </c>
      <c r="O767" s="6" t="s">
        <v>33</v>
      </c>
      <c r="P767" s="6">
        <v>1</v>
      </c>
      <c r="Q767" s="9" t="s">
        <v>2103</v>
      </c>
      <c r="R767" s="54" t="s">
        <v>2104</v>
      </c>
      <c r="S767" s="17" t="s">
        <v>2105</v>
      </c>
    </row>
    <row r="768" spans="1:19" ht="12.75">
      <c r="A768" s="10">
        <v>30</v>
      </c>
      <c r="B768" s="10">
        <v>2022</v>
      </c>
      <c r="C768" s="6" t="s">
        <v>102</v>
      </c>
      <c r="D768" s="48">
        <v>44637</v>
      </c>
      <c r="E768" s="6" t="s">
        <v>20</v>
      </c>
      <c r="F768" s="6" t="s">
        <v>73</v>
      </c>
      <c r="G768" s="10">
        <v>1</v>
      </c>
      <c r="H768" s="10">
        <v>2</v>
      </c>
      <c r="I768" s="10">
        <v>2</v>
      </c>
      <c r="J768" s="4" t="s">
        <v>30</v>
      </c>
      <c r="K768" s="4">
        <v>34535</v>
      </c>
      <c r="L768" s="4" t="s">
        <v>61</v>
      </c>
      <c r="M768" s="6" t="s">
        <v>2106</v>
      </c>
      <c r="N768" s="25" t="s">
        <v>20</v>
      </c>
      <c r="O768" s="6" t="s">
        <v>23</v>
      </c>
      <c r="P768" s="6" t="s">
        <v>23</v>
      </c>
      <c r="Q768" s="7" t="s">
        <v>23</v>
      </c>
      <c r="R768" s="54" t="s">
        <v>23</v>
      </c>
      <c r="S768" s="7" t="s">
        <v>23</v>
      </c>
    </row>
    <row r="769" spans="1:19" ht="12.75">
      <c r="A769" s="10">
        <v>31</v>
      </c>
      <c r="B769" s="10">
        <v>2022</v>
      </c>
      <c r="C769" s="6" t="s">
        <v>102</v>
      </c>
      <c r="D769" s="48">
        <v>44637</v>
      </c>
      <c r="E769" s="6" t="s">
        <v>20</v>
      </c>
      <c r="F769" s="6" t="s">
        <v>37</v>
      </c>
      <c r="G769" s="10">
        <v>1</v>
      </c>
      <c r="H769" s="10">
        <v>3</v>
      </c>
      <c r="I769" s="10">
        <v>1</v>
      </c>
      <c r="J769" s="4" t="s">
        <v>64</v>
      </c>
      <c r="K769" s="4">
        <v>34514</v>
      </c>
      <c r="L769" s="4" t="s">
        <v>31</v>
      </c>
      <c r="M769" s="6" t="s">
        <v>2107</v>
      </c>
      <c r="N769" s="25" t="s">
        <v>33</v>
      </c>
      <c r="O769" s="6" t="s">
        <v>20</v>
      </c>
      <c r="P769" s="6">
        <v>0</v>
      </c>
      <c r="Q769" s="7" t="s">
        <v>2108</v>
      </c>
      <c r="R769" s="54" t="s">
        <v>2109</v>
      </c>
      <c r="S769" s="17" t="s">
        <v>2110</v>
      </c>
    </row>
    <row r="770" spans="1:19" ht="12.75">
      <c r="A770" s="10">
        <v>31</v>
      </c>
      <c r="B770" s="10">
        <v>2022</v>
      </c>
      <c r="C770" s="6" t="s">
        <v>102</v>
      </c>
      <c r="D770" s="48">
        <v>44637</v>
      </c>
      <c r="E770" s="6" t="s">
        <v>20</v>
      </c>
      <c r="F770" s="6" t="s">
        <v>37</v>
      </c>
      <c r="G770" s="10">
        <v>1</v>
      </c>
      <c r="H770" s="10">
        <v>3</v>
      </c>
      <c r="I770" s="10">
        <v>2</v>
      </c>
      <c r="J770" s="4" t="s">
        <v>64</v>
      </c>
      <c r="K770" s="4">
        <v>34515</v>
      </c>
      <c r="L770" s="4" t="s">
        <v>31</v>
      </c>
      <c r="M770" s="6" t="s">
        <v>2111</v>
      </c>
      <c r="N770" s="25" t="s">
        <v>33</v>
      </c>
      <c r="O770" s="6" t="s">
        <v>23</v>
      </c>
      <c r="P770" s="6" t="s">
        <v>23</v>
      </c>
      <c r="Q770" s="7" t="s">
        <v>23</v>
      </c>
      <c r="R770" s="54" t="s">
        <v>23</v>
      </c>
      <c r="S770" s="7" t="s">
        <v>23</v>
      </c>
    </row>
    <row r="771" spans="1:19" ht="12.75">
      <c r="A771" s="10">
        <v>31</v>
      </c>
      <c r="B771" s="10">
        <v>2022</v>
      </c>
      <c r="C771" s="6" t="s">
        <v>102</v>
      </c>
      <c r="D771" s="48">
        <v>44637</v>
      </c>
      <c r="E771" s="6" t="s">
        <v>20</v>
      </c>
      <c r="F771" s="6" t="s">
        <v>37</v>
      </c>
      <c r="G771" s="10">
        <v>1</v>
      </c>
      <c r="H771" s="10">
        <v>3</v>
      </c>
      <c r="I771" s="10">
        <v>3</v>
      </c>
      <c r="J771" s="4" t="s">
        <v>64</v>
      </c>
      <c r="K771" s="4">
        <v>34517</v>
      </c>
      <c r="L771" s="4" t="s">
        <v>31</v>
      </c>
      <c r="M771" s="6" t="s">
        <v>2112</v>
      </c>
      <c r="N771" s="25" t="s">
        <v>33</v>
      </c>
      <c r="O771" s="6" t="s">
        <v>23</v>
      </c>
      <c r="P771" s="6" t="s">
        <v>23</v>
      </c>
      <c r="Q771" s="7" t="s">
        <v>23</v>
      </c>
      <c r="R771" s="54" t="s">
        <v>23</v>
      </c>
      <c r="S771" s="7" t="s">
        <v>23</v>
      </c>
    </row>
    <row r="772" spans="1:19" ht="12.75">
      <c r="A772" s="10">
        <v>32</v>
      </c>
      <c r="B772" s="10">
        <v>2022</v>
      </c>
      <c r="C772" s="6" t="s">
        <v>19</v>
      </c>
      <c r="D772" s="48">
        <v>44641</v>
      </c>
      <c r="E772" s="6" t="s">
        <v>33</v>
      </c>
      <c r="F772" s="6" t="s">
        <v>2113</v>
      </c>
      <c r="G772" s="10">
        <v>4</v>
      </c>
      <c r="H772" s="10">
        <v>1</v>
      </c>
      <c r="I772" s="10">
        <v>1</v>
      </c>
      <c r="J772" s="4" t="s">
        <v>23</v>
      </c>
      <c r="K772" s="4" t="s">
        <v>23</v>
      </c>
      <c r="L772" s="4" t="s">
        <v>23</v>
      </c>
      <c r="M772" s="6" t="s">
        <v>2114</v>
      </c>
      <c r="N772" s="25" t="s">
        <v>23</v>
      </c>
      <c r="O772" s="6" t="s">
        <v>20</v>
      </c>
      <c r="P772" s="11">
        <v>0</v>
      </c>
      <c r="Q772" s="9" t="s">
        <v>2115</v>
      </c>
      <c r="R772" s="54" t="s">
        <v>23</v>
      </c>
      <c r="S772" s="17" t="s">
        <v>2116</v>
      </c>
    </row>
    <row r="773" spans="1:19" ht="12.75">
      <c r="A773" s="10">
        <v>33</v>
      </c>
      <c r="B773" s="10">
        <v>2022</v>
      </c>
      <c r="C773" s="6" t="s">
        <v>102</v>
      </c>
      <c r="D773" s="48">
        <v>44642</v>
      </c>
      <c r="E773" s="6" t="s">
        <v>33</v>
      </c>
      <c r="F773" s="6" t="s">
        <v>2117</v>
      </c>
      <c r="G773" s="10">
        <v>2</v>
      </c>
      <c r="H773" s="10">
        <v>2</v>
      </c>
      <c r="I773" s="10">
        <v>1</v>
      </c>
      <c r="J773" s="4" t="s">
        <v>30</v>
      </c>
      <c r="K773" s="4">
        <v>34691</v>
      </c>
      <c r="L773" s="4" t="s">
        <v>31</v>
      </c>
      <c r="M773" s="6" t="s">
        <v>2102</v>
      </c>
      <c r="N773" s="25" t="s">
        <v>33</v>
      </c>
      <c r="O773" s="6" t="s">
        <v>20</v>
      </c>
      <c r="P773" s="11">
        <v>0</v>
      </c>
      <c r="Q773" s="9" t="s">
        <v>2118</v>
      </c>
      <c r="R773" s="54" t="s">
        <v>2119</v>
      </c>
      <c r="S773" s="17" t="s">
        <v>2120</v>
      </c>
    </row>
    <row r="774" spans="1:19" ht="12.75">
      <c r="A774" s="10">
        <v>33</v>
      </c>
      <c r="B774" s="10">
        <v>2022</v>
      </c>
      <c r="C774" s="6" t="s">
        <v>102</v>
      </c>
      <c r="D774" s="48">
        <v>44642</v>
      </c>
      <c r="E774" s="6" t="s">
        <v>33</v>
      </c>
      <c r="F774" s="6" t="s">
        <v>2117</v>
      </c>
      <c r="G774" s="10">
        <v>2</v>
      </c>
      <c r="H774" s="10">
        <v>2</v>
      </c>
      <c r="I774" s="10">
        <v>2</v>
      </c>
      <c r="J774" s="4" t="s">
        <v>30</v>
      </c>
      <c r="K774" s="4">
        <v>34535</v>
      </c>
      <c r="L774" s="4" t="s">
        <v>61</v>
      </c>
      <c r="M774" s="6" t="s">
        <v>2106</v>
      </c>
      <c r="N774" s="25" t="s">
        <v>33</v>
      </c>
      <c r="O774" s="6" t="s">
        <v>23</v>
      </c>
      <c r="P774" s="6" t="s">
        <v>23</v>
      </c>
      <c r="Q774" s="7" t="s">
        <v>23</v>
      </c>
      <c r="R774" s="54" t="s">
        <v>23</v>
      </c>
      <c r="S774" s="7" t="s">
        <v>23</v>
      </c>
    </row>
    <row r="775" spans="1:19" ht="12.75">
      <c r="A775" s="10">
        <v>34</v>
      </c>
      <c r="B775" s="10">
        <v>2022</v>
      </c>
      <c r="C775" s="6" t="s">
        <v>19</v>
      </c>
      <c r="D775" s="48">
        <v>44648</v>
      </c>
      <c r="E775" s="6" t="s">
        <v>20</v>
      </c>
      <c r="F775" s="6" t="s">
        <v>190</v>
      </c>
      <c r="G775" s="10">
        <v>1</v>
      </c>
      <c r="H775" s="10">
        <v>1</v>
      </c>
      <c r="I775" s="10">
        <v>1</v>
      </c>
      <c r="J775" s="4" t="s">
        <v>23</v>
      </c>
      <c r="K775" s="4" t="s">
        <v>23</v>
      </c>
      <c r="L775" s="4" t="s">
        <v>23</v>
      </c>
      <c r="M775" s="6" t="s">
        <v>2121</v>
      </c>
      <c r="N775" s="25" t="s">
        <v>23</v>
      </c>
      <c r="O775" s="6" t="s">
        <v>20</v>
      </c>
      <c r="P775" s="11">
        <v>0</v>
      </c>
      <c r="Q775" s="7" t="s">
        <v>23</v>
      </c>
      <c r="R775" s="54" t="s">
        <v>23</v>
      </c>
      <c r="S775" s="17" t="s">
        <v>2122</v>
      </c>
    </row>
    <row r="776" spans="1:19" ht="12.75">
      <c r="A776" s="10">
        <v>35</v>
      </c>
      <c r="B776" s="10">
        <v>2022</v>
      </c>
      <c r="C776" s="6" t="s">
        <v>102</v>
      </c>
      <c r="D776" s="48">
        <v>44649</v>
      </c>
      <c r="E776" s="6" t="s">
        <v>20</v>
      </c>
      <c r="F776" s="6" t="s">
        <v>53</v>
      </c>
      <c r="G776" s="10">
        <v>1</v>
      </c>
      <c r="H776" s="10">
        <v>3</v>
      </c>
      <c r="I776" s="10">
        <v>1</v>
      </c>
      <c r="J776" s="4" t="s">
        <v>30</v>
      </c>
      <c r="K776" s="4">
        <v>34630</v>
      </c>
      <c r="L776" s="4" t="s">
        <v>61</v>
      </c>
      <c r="M776" s="6" t="s">
        <v>2080</v>
      </c>
      <c r="N776" s="25" t="s">
        <v>20</v>
      </c>
      <c r="O776" s="6" t="s">
        <v>20</v>
      </c>
      <c r="P776" s="11">
        <v>0</v>
      </c>
      <c r="Q776" s="9" t="s">
        <v>2123</v>
      </c>
      <c r="R776" s="54" t="s">
        <v>2124</v>
      </c>
      <c r="S776" s="17" t="s">
        <v>2125</v>
      </c>
    </row>
    <row r="777" spans="1:19" ht="12.75">
      <c r="A777" s="10">
        <v>35</v>
      </c>
      <c r="B777" s="10">
        <v>2022</v>
      </c>
      <c r="C777" s="6" t="s">
        <v>102</v>
      </c>
      <c r="D777" s="48">
        <v>44649</v>
      </c>
      <c r="E777" s="6" t="s">
        <v>20</v>
      </c>
      <c r="F777" s="6" t="s">
        <v>53</v>
      </c>
      <c r="G777" s="10">
        <v>1</v>
      </c>
      <c r="H777" s="10">
        <v>3</v>
      </c>
      <c r="I777" s="10">
        <v>2</v>
      </c>
      <c r="J777" s="4" t="s">
        <v>30</v>
      </c>
      <c r="K777" s="4">
        <v>34523</v>
      </c>
      <c r="L777" s="4" t="s">
        <v>31</v>
      </c>
      <c r="M777" s="6" t="s">
        <v>2126</v>
      </c>
      <c r="N777" s="25" t="s">
        <v>20</v>
      </c>
      <c r="O777" s="6" t="s">
        <v>23</v>
      </c>
      <c r="P777" s="6" t="s">
        <v>23</v>
      </c>
      <c r="Q777" s="7" t="s">
        <v>23</v>
      </c>
      <c r="R777" s="54" t="s">
        <v>23</v>
      </c>
      <c r="S777" s="7" t="s">
        <v>23</v>
      </c>
    </row>
    <row r="778" spans="1:19" ht="12.75">
      <c r="A778" s="10">
        <v>35</v>
      </c>
      <c r="B778" s="10">
        <v>2022</v>
      </c>
      <c r="C778" s="6" t="s">
        <v>102</v>
      </c>
      <c r="D778" s="48">
        <v>44649</v>
      </c>
      <c r="E778" s="6" t="s">
        <v>20</v>
      </c>
      <c r="F778" s="6" t="s">
        <v>53</v>
      </c>
      <c r="G778" s="10">
        <v>1</v>
      </c>
      <c r="H778" s="10">
        <v>3</v>
      </c>
      <c r="I778" s="10">
        <v>3</v>
      </c>
      <c r="J778" s="4" t="s">
        <v>30</v>
      </c>
      <c r="K778" s="4">
        <v>34601</v>
      </c>
      <c r="L778" s="4" t="s">
        <v>31</v>
      </c>
      <c r="M778" s="6" t="s">
        <v>2127</v>
      </c>
      <c r="N778" s="25" t="s">
        <v>33</v>
      </c>
      <c r="O778" s="6" t="s">
        <v>23</v>
      </c>
      <c r="P778" s="6" t="s">
        <v>23</v>
      </c>
      <c r="Q778" s="7" t="s">
        <v>23</v>
      </c>
      <c r="R778" s="54" t="s">
        <v>23</v>
      </c>
      <c r="S778" s="7" t="s">
        <v>23</v>
      </c>
    </row>
    <row r="779" spans="1:19" ht="12.75">
      <c r="A779" s="10">
        <v>36</v>
      </c>
      <c r="B779" s="10">
        <v>2022</v>
      </c>
      <c r="C779" s="6" t="s">
        <v>102</v>
      </c>
      <c r="D779" s="48">
        <v>44651</v>
      </c>
      <c r="E779" s="6" t="s">
        <v>20</v>
      </c>
      <c r="F779" s="6" t="s">
        <v>148</v>
      </c>
      <c r="G779" s="10">
        <v>1</v>
      </c>
      <c r="H779" s="10">
        <v>2</v>
      </c>
      <c r="I779" s="10">
        <v>1</v>
      </c>
      <c r="J779" s="4" t="s">
        <v>71</v>
      </c>
      <c r="K779" s="4">
        <v>34452</v>
      </c>
      <c r="L779" s="4" t="s">
        <v>61</v>
      </c>
      <c r="M779" s="6" t="s">
        <v>2128</v>
      </c>
      <c r="N779" s="25" t="s">
        <v>20</v>
      </c>
      <c r="O779" s="6" t="s">
        <v>33</v>
      </c>
      <c r="P779" s="6">
        <v>1</v>
      </c>
      <c r="Q779" s="9" t="s">
        <v>2129</v>
      </c>
      <c r="R779" s="54" t="s">
        <v>2130</v>
      </c>
      <c r="S779" s="17" t="s">
        <v>2131</v>
      </c>
    </row>
    <row r="780" spans="1:19" ht="12.75">
      <c r="A780" s="10">
        <v>36</v>
      </c>
      <c r="B780" s="10">
        <v>2022</v>
      </c>
      <c r="C780" s="6" t="s">
        <v>102</v>
      </c>
      <c r="D780" s="48">
        <v>44651</v>
      </c>
      <c r="E780" s="6" t="s">
        <v>20</v>
      </c>
      <c r="F780" s="6" t="s">
        <v>148</v>
      </c>
      <c r="G780" s="10">
        <v>1</v>
      </c>
      <c r="H780" s="10">
        <v>2</v>
      </c>
      <c r="I780" s="10">
        <v>2</v>
      </c>
      <c r="J780" s="4" t="s">
        <v>71</v>
      </c>
      <c r="K780" s="4">
        <v>34457</v>
      </c>
      <c r="L780" s="4" t="s">
        <v>61</v>
      </c>
      <c r="M780" s="6" t="s">
        <v>2132</v>
      </c>
      <c r="N780" s="25" t="s">
        <v>20</v>
      </c>
      <c r="O780" s="9" t="s">
        <v>23</v>
      </c>
      <c r="P780" s="9" t="s">
        <v>23</v>
      </c>
      <c r="Q780" s="7" t="s">
        <v>23</v>
      </c>
      <c r="R780" s="54" t="s">
        <v>23</v>
      </c>
      <c r="S780" s="7" t="s">
        <v>23</v>
      </c>
    </row>
    <row r="781" spans="1:19" ht="12.75">
      <c r="A781" s="10">
        <v>37</v>
      </c>
      <c r="B781" s="10">
        <v>2022</v>
      </c>
      <c r="C781" s="6" t="s">
        <v>102</v>
      </c>
      <c r="D781" s="48">
        <v>44651</v>
      </c>
      <c r="E781" s="6" t="s">
        <v>20</v>
      </c>
      <c r="F781" s="6" t="s">
        <v>73</v>
      </c>
      <c r="G781" s="10">
        <v>1</v>
      </c>
      <c r="H781" s="10">
        <v>2</v>
      </c>
      <c r="I781" s="10">
        <v>1</v>
      </c>
      <c r="J781" s="4" t="s">
        <v>30</v>
      </c>
      <c r="K781" s="4">
        <v>34553</v>
      </c>
      <c r="L781" s="4" t="s">
        <v>31</v>
      </c>
      <c r="M781" s="6" t="s">
        <v>2133</v>
      </c>
      <c r="N781" s="25" t="s">
        <v>20</v>
      </c>
      <c r="O781" s="6" t="s">
        <v>33</v>
      </c>
      <c r="P781" s="6">
        <v>2</v>
      </c>
      <c r="Q781" s="9" t="s">
        <v>2134</v>
      </c>
      <c r="R781" s="54" t="s">
        <v>2135</v>
      </c>
      <c r="S781" s="17" t="s">
        <v>2136</v>
      </c>
    </row>
    <row r="782" spans="1:19" ht="12.75">
      <c r="A782" s="10">
        <v>37</v>
      </c>
      <c r="B782" s="10">
        <v>2022</v>
      </c>
      <c r="C782" s="6" t="s">
        <v>102</v>
      </c>
      <c r="D782" s="48">
        <v>44651</v>
      </c>
      <c r="E782" s="6" t="s">
        <v>20</v>
      </c>
      <c r="F782" s="6" t="s">
        <v>73</v>
      </c>
      <c r="G782" s="10">
        <v>1</v>
      </c>
      <c r="H782" s="10">
        <v>2</v>
      </c>
      <c r="I782" s="10">
        <v>2</v>
      </c>
      <c r="J782" s="4" t="s">
        <v>30</v>
      </c>
      <c r="K782" s="4">
        <v>34600</v>
      </c>
      <c r="L782" s="4" t="s">
        <v>31</v>
      </c>
      <c r="M782" s="6" t="s">
        <v>2137</v>
      </c>
      <c r="N782" s="25" t="s">
        <v>20</v>
      </c>
      <c r="O782" s="9" t="s">
        <v>23</v>
      </c>
      <c r="P782" s="9" t="s">
        <v>23</v>
      </c>
      <c r="Q782" s="7" t="s">
        <v>23</v>
      </c>
      <c r="R782" s="54" t="s">
        <v>23</v>
      </c>
      <c r="S782" s="7" t="s">
        <v>23</v>
      </c>
    </row>
    <row r="783" spans="1:19" ht="12.75">
      <c r="A783" s="10">
        <v>38</v>
      </c>
      <c r="B783" s="10">
        <v>2022</v>
      </c>
      <c r="C783" s="6" t="s">
        <v>102</v>
      </c>
      <c r="D783" s="48">
        <v>44651</v>
      </c>
      <c r="E783" s="6" t="s">
        <v>20</v>
      </c>
      <c r="F783" s="6" t="s">
        <v>51</v>
      </c>
      <c r="G783" s="10">
        <v>1</v>
      </c>
      <c r="H783" s="10">
        <v>1</v>
      </c>
      <c r="I783" s="10">
        <v>1</v>
      </c>
      <c r="J783" s="4" t="s">
        <v>30</v>
      </c>
      <c r="K783" s="4">
        <v>34639</v>
      </c>
      <c r="L783" s="4" t="s">
        <v>31</v>
      </c>
      <c r="M783" s="6" t="s">
        <v>2138</v>
      </c>
      <c r="N783" s="25" t="s">
        <v>20</v>
      </c>
      <c r="O783" s="6" t="s">
        <v>33</v>
      </c>
      <c r="P783" s="6">
        <v>1</v>
      </c>
      <c r="Q783" s="9" t="s">
        <v>2139</v>
      </c>
      <c r="R783" s="54" t="s">
        <v>2140</v>
      </c>
      <c r="S783" s="17" t="s">
        <v>2141</v>
      </c>
    </row>
    <row r="784" spans="1:19" ht="12.75">
      <c r="A784" s="10">
        <v>39</v>
      </c>
      <c r="B784" s="10">
        <v>2022</v>
      </c>
      <c r="C784" s="6" t="s">
        <v>102</v>
      </c>
      <c r="D784" s="48">
        <v>44656</v>
      </c>
      <c r="E784" s="6" t="s">
        <v>33</v>
      </c>
      <c r="F784" s="6" t="s">
        <v>2113</v>
      </c>
      <c r="G784" s="10">
        <v>4</v>
      </c>
      <c r="H784" s="10">
        <v>1</v>
      </c>
      <c r="I784" s="10">
        <v>1</v>
      </c>
      <c r="J784" s="4" t="s">
        <v>23</v>
      </c>
      <c r="K784" s="4" t="s">
        <v>23</v>
      </c>
      <c r="L784" s="4" t="s">
        <v>23</v>
      </c>
      <c r="M784" s="6" t="s">
        <v>2142</v>
      </c>
      <c r="N784" s="25" t="s">
        <v>23</v>
      </c>
      <c r="O784" s="6" t="s">
        <v>20</v>
      </c>
      <c r="P784" s="6">
        <v>0</v>
      </c>
      <c r="Q784" s="9" t="s">
        <v>2143</v>
      </c>
      <c r="R784" s="54" t="s">
        <v>2144</v>
      </c>
      <c r="S784" s="55" t="s">
        <v>2145</v>
      </c>
    </row>
    <row r="785" spans="1:19" ht="12.75">
      <c r="A785" s="10">
        <v>40</v>
      </c>
      <c r="B785" s="10">
        <v>2022</v>
      </c>
      <c r="C785" s="6" t="s">
        <v>102</v>
      </c>
      <c r="D785" s="48">
        <v>44656</v>
      </c>
      <c r="E785" s="6" t="s">
        <v>20</v>
      </c>
      <c r="F785" s="6" t="s">
        <v>39</v>
      </c>
      <c r="G785" s="10">
        <v>1</v>
      </c>
      <c r="H785" s="10">
        <v>3</v>
      </c>
      <c r="I785" s="10">
        <v>1</v>
      </c>
      <c r="J785" s="4" t="s">
        <v>23</v>
      </c>
      <c r="K785" s="4" t="s">
        <v>23</v>
      </c>
      <c r="L785" s="4" t="s">
        <v>23</v>
      </c>
      <c r="M785" s="6" t="s">
        <v>2146</v>
      </c>
      <c r="N785" s="25" t="s">
        <v>23</v>
      </c>
      <c r="O785" s="6" t="s">
        <v>33</v>
      </c>
      <c r="P785" s="6">
        <v>5</v>
      </c>
      <c r="Q785" s="9" t="s">
        <v>2147</v>
      </c>
      <c r="R785" s="54" t="s">
        <v>2148</v>
      </c>
      <c r="S785" s="17" t="s">
        <v>2149</v>
      </c>
    </row>
    <row r="786" spans="1:19" ht="12.75">
      <c r="A786" s="10">
        <v>40</v>
      </c>
      <c r="B786" s="10">
        <v>2022</v>
      </c>
      <c r="C786" s="6" t="s">
        <v>102</v>
      </c>
      <c r="D786" s="48">
        <v>44656</v>
      </c>
      <c r="E786" s="6" t="s">
        <v>20</v>
      </c>
      <c r="F786" s="6" t="s">
        <v>39</v>
      </c>
      <c r="G786" s="10">
        <v>1</v>
      </c>
      <c r="H786" s="10">
        <v>3</v>
      </c>
      <c r="I786" s="10">
        <v>2</v>
      </c>
      <c r="J786" s="4" t="s">
        <v>71</v>
      </c>
      <c r="K786" s="4">
        <v>34473</v>
      </c>
      <c r="L786" s="4" t="s">
        <v>61</v>
      </c>
      <c r="M786" s="6" t="s">
        <v>2150</v>
      </c>
      <c r="N786" s="25" t="s">
        <v>20</v>
      </c>
      <c r="O786" s="6" t="s">
        <v>23</v>
      </c>
      <c r="P786" s="6" t="s">
        <v>23</v>
      </c>
      <c r="Q786" s="7" t="s">
        <v>23</v>
      </c>
      <c r="R786" s="54" t="s">
        <v>23</v>
      </c>
      <c r="S786" s="7" t="s">
        <v>23</v>
      </c>
    </row>
    <row r="787" spans="1:19" ht="12.75">
      <c r="A787" s="10">
        <v>40</v>
      </c>
      <c r="B787" s="10">
        <v>2022</v>
      </c>
      <c r="C787" s="6" t="s">
        <v>102</v>
      </c>
      <c r="D787" s="48">
        <v>44656</v>
      </c>
      <c r="E787" s="6" t="s">
        <v>20</v>
      </c>
      <c r="F787" s="6" t="s">
        <v>39</v>
      </c>
      <c r="G787" s="10">
        <v>1</v>
      </c>
      <c r="H787" s="10">
        <v>3</v>
      </c>
      <c r="I787" s="10">
        <v>3</v>
      </c>
      <c r="J787" s="4" t="s">
        <v>71</v>
      </c>
      <c r="K787" s="4">
        <v>34596</v>
      </c>
      <c r="L787" s="4" t="s">
        <v>61</v>
      </c>
      <c r="M787" s="6" t="s">
        <v>2151</v>
      </c>
      <c r="N787" s="25" t="s">
        <v>20</v>
      </c>
      <c r="O787" s="6" t="s">
        <v>23</v>
      </c>
      <c r="P787" s="6" t="s">
        <v>23</v>
      </c>
      <c r="Q787" s="7" t="s">
        <v>23</v>
      </c>
      <c r="R787" s="54" t="s">
        <v>23</v>
      </c>
      <c r="S787" s="7" t="s">
        <v>23</v>
      </c>
    </row>
    <row r="788" spans="1:19" ht="12.75">
      <c r="A788" s="10">
        <v>41</v>
      </c>
      <c r="B788" s="10">
        <v>2022</v>
      </c>
      <c r="C788" s="6" t="s">
        <v>102</v>
      </c>
      <c r="D788" s="48">
        <v>44656</v>
      </c>
      <c r="E788" s="6" t="s">
        <v>33</v>
      </c>
      <c r="F788" s="6" t="s">
        <v>1980</v>
      </c>
      <c r="G788" s="10">
        <v>2</v>
      </c>
      <c r="H788" s="10">
        <v>2</v>
      </c>
      <c r="I788" s="10">
        <v>1</v>
      </c>
      <c r="J788" s="4" t="s">
        <v>30</v>
      </c>
      <c r="K788" s="4">
        <v>34553</v>
      </c>
      <c r="L788" s="4" t="s">
        <v>31</v>
      </c>
      <c r="M788" s="6" t="s">
        <v>2152</v>
      </c>
      <c r="N788" s="25" t="s">
        <v>33</v>
      </c>
      <c r="O788" s="6" t="s">
        <v>20</v>
      </c>
      <c r="P788" s="6">
        <v>0</v>
      </c>
      <c r="Q788" s="9" t="s">
        <v>2153</v>
      </c>
      <c r="R788" s="54" t="s">
        <v>23</v>
      </c>
      <c r="S788" s="26" t="s">
        <v>2154</v>
      </c>
    </row>
    <row r="789" spans="1:19" ht="12.75">
      <c r="A789" s="10">
        <v>41</v>
      </c>
      <c r="B789" s="10">
        <v>2022</v>
      </c>
      <c r="C789" s="6" t="s">
        <v>102</v>
      </c>
      <c r="D789" s="48">
        <v>44656</v>
      </c>
      <c r="E789" s="6" t="s">
        <v>33</v>
      </c>
      <c r="F789" s="6" t="s">
        <v>1980</v>
      </c>
      <c r="G789" s="10">
        <v>2</v>
      </c>
      <c r="H789" s="10">
        <v>2</v>
      </c>
      <c r="I789" s="10">
        <v>2</v>
      </c>
      <c r="J789" s="4" t="s">
        <v>30</v>
      </c>
      <c r="K789" s="4">
        <v>34600</v>
      </c>
      <c r="L789" s="4" t="s">
        <v>31</v>
      </c>
      <c r="M789" s="6" t="s">
        <v>2155</v>
      </c>
      <c r="N789" s="25" t="s">
        <v>33</v>
      </c>
      <c r="O789" s="6" t="s">
        <v>23</v>
      </c>
      <c r="P789" s="6" t="s">
        <v>23</v>
      </c>
      <c r="Q789" s="7" t="s">
        <v>23</v>
      </c>
      <c r="R789" s="54" t="s">
        <v>23</v>
      </c>
      <c r="S789" s="9" t="s">
        <v>23</v>
      </c>
    </row>
    <row r="790" spans="1:19" ht="12.75">
      <c r="A790" s="10">
        <v>42</v>
      </c>
      <c r="B790" s="10">
        <v>2022</v>
      </c>
      <c r="C790" s="6" t="s">
        <v>19</v>
      </c>
      <c r="D790" s="48">
        <v>44658</v>
      </c>
      <c r="E790" s="6" t="s">
        <v>33</v>
      </c>
      <c r="F790" s="6" t="s">
        <v>603</v>
      </c>
      <c r="G790" s="10">
        <v>2</v>
      </c>
      <c r="H790" s="10">
        <v>1</v>
      </c>
      <c r="I790" s="10">
        <v>1</v>
      </c>
      <c r="J790" s="4" t="s">
        <v>23</v>
      </c>
      <c r="K790" s="4" t="s">
        <v>23</v>
      </c>
      <c r="L790" s="4" t="s">
        <v>23</v>
      </c>
      <c r="M790" s="6" t="s">
        <v>2156</v>
      </c>
      <c r="N790" s="25" t="s">
        <v>23</v>
      </c>
      <c r="O790" s="6" t="s">
        <v>20</v>
      </c>
      <c r="P790" s="6">
        <v>0</v>
      </c>
      <c r="Q790" s="7" t="s">
        <v>23</v>
      </c>
      <c r="R790" s="54" t="s">
        <v>23</v>
      </c>
      <c r="S790" s="26" t="s">
        <v>2157</v>
      </c>
    </row>
    <row r="791" spans="1:19" ht="12.75">
      <c r="A791" s="10">
        <v>43</v>
      </c>
      <c r="B791" s="10">
        <v>2022</v>
      </c>
      <c r="C791" s="6" t="s">
        <v>1824</v>
      </c>
      <c r="D791" s="48">
        <v>44658</v>
      </c>
      <c r="E791" s="6" t="s">
        <v>20</v>
      </c>
      <c r="F791" s="6" t="s">
        <v>370</v>
      </c>
      <c r="G791" s="10">
        <v>1</v>
      </c>
      <c r="H791" s="10">
        <v>1</v>
      </c>
      <c r="I791" s="10">
        <v>1</v>
      </c>
      <c r="J791" s="4" t="s">
        <v>23</v>
      </c>
      <c r="K791" s="4" t="s">
        <v>23</v>
      </c>
      <c r="L791" s="4" t="s">
        <v>23</v>
      </c>
      <c r="M791" s="6" t="s">
        <v>2158</v>
      </c>
      <c r="N791" s="25" t="s">
        <v>23</v>
      </c>
      <c r="O791" s="6" t="s">
        <v>33</v>
      </c>
      <c r="P791" s="6">
        <v>5</v>
      </c>
      <c r="Q791" s="9" t="s">
        <v>2159</v>
      </c>
      <c r="R791" s="54" t="s">
        <v>2160</v>
      </c>
      <c r="S791" s="17" t="s">
        <v>2161</v>
      </c>
    </row>
    <row r="792" spans="1:19" ht="12.75">
      <c r="A792" s="10">
        <v>44</v>
      </c>
      <c r="B792" s="10">
        <v>2022</v>
      </c>
      <c r="C792" s="6" t="s">
        <v>102</v>
      </c>
      <c r="D792" s="48">
        <v>44663</v>
      </c>
      <c r="E792" s="6" t="s">
        <v>33</v>
      </c>
      <c r="F792" s="6" t="s">
        <v>1591</v>
      </c>
      <c r="G792" s="10">
        <v>2</v>
      </c>
      <c r="H792" s="10">
        <v>1</v>
      </c>
      <c r="I792" s="10">
        <v>1</v>
      </c>
      <c r="J792" s="4" t="s">
        <v>23</v>
      </c>
      <c r="K792" s="4">
        <v>31520</v>
      </c>
      <c r="L792" s="4" t="s">
        <v>61</v>
      </c>
      <c r="M792" s="6" t="s">
        <v>2162</v>
      </c>
      <c r="N792" s="25" t="s">
        <v>20</v>
      </c>
      <c r="O792" s="6" t="s">
        <v>20</v>
      </c>
      <c r="P792" s="6">
        <v>0</v>
      </c>
      <c r="Q792" s="9" t="s">
        <v>2163</v>
      </c>
      <c r="R792" s="54" t="s">
        <v>2164</v>
      </c>
      <c r="S792" s="26" t="s">
        <v>2165</v>
      </c>
    </row>
    <row r="793" spans="1:19" ht="12.75">
      <c r="A793" s="10">
        <v>45</v>
      </c>
      <c r="B793" s="10">
        <v>2022</v>
      </c>
      <c r="C793" s="6" t="s">
        <v>102</v>
      </c>
      <c r="D793" s="48">
        <v>44663</v>
      </c>
      <c r="E793" s="6" t="s">
        <v>20</v>
      </c>
      <c r="F793" s="6" t="s">
        <v>37</v>
      </c>
      <c r="G793" s="10">
        <v>1</v>
      </c>
      <c r="H793" s="10">
        <v>6</v>
      </c>
      <c r="I793" s="10">
        <v>1</v>
      </c>
      <c r="J793" s="4" t="s">
        <v>64</v>
      </c>
      <c r="K793" s="4">
        <v>34749</v>
      </c>
      <c r="L793" s="4" t="s">
        <v>31</v>
      </c>
      <c r="M793" s="6" t="s">
        <v>2166</v>
      </c>
      <c r="N793" s="25" t="s">
        <v>33</v>
      </c>
      <c r="O793" s="6" t="s">
        <v>20</v>
      </c>
      <c r="P793" s="6">
        <v>0</v>
      </c>
      <c r="Q793" s="7" t="s">
        <v>2167</v>
      </c>
      <c r="R793" s="54" t="s">
        <v>2168</v>
      </c>
      <c r="S793" s="17" t="s">
        <v>2169</v>
      </c>
    </row>
    <row r="794" spans="1:19" ht="12.75">
      <c r="A794" s="10">
        <v>45</v>
      </c>
      <c r="B794" s="10">
        <v>2022</v>
      </c>
      <c r="C794" s="6" t="s">
        <v>102</v>
      </c>
      <c r="D794" s="48">
        <v>44663</v>
      </c>
      <c r="E794" s="6" t="s">
        <v>20</v>
      </c>
      <c r="F794" s="6" t="s">
        <v>37</v>
      </c>
      <c r="G794" s="10">
        <v>1</v>
      </c>
      <c r="H794" s="10">
        <v>6</v>
      </c>
      <c r="I794" s="10">
        <v>2</v>
      </c>
      <c r="J794" s="4" t="s">
        <v>64</v>
      </c>
      <c r="K794" s="4">
        <v>34750</v>
      </c>
      <c r="L794" s="4" t="s">
        <v>31</v>
      </c>
      <c r="M794" s="6" t="s">
        <v>2170</v>
      </c>
      <c r="N794" s="25" t="s">
        <v>33</v>
      </c>
      <c r="O794" s="6" t="s">
        <v>23</v>
      </c>
      <c r="P794" s="6" t="s">
        <v>23</v>
      </c>
      <c r="Q794" s="7" t="s">
        <v>23</v>
      </c>
      <c r="R794" s="54" t="s">
        <v>23</v>
      </c>
      <c r="S794" s="7" t="s">
        <v>23</v>
      </c>
    </row>
    <row r="795" spans="1:19" ht="12.75">
      <c r="A795" s="10">
        <v>45</v>
      </c>
      <c r="B795" s="10">
        <v>2022</v>
      </c>
      <c r="C795" s="6" t="s">
        <v>102</v>
      </c>
      <c r="D795" s="48">
        <v>44663</v>
      </c>
      <c r="E795" s="6" t="s">
        <v>20</v>
      </c>
      <c r="F795" s="6" t="s">
        <v>37</v>
      </c>
      <c r="G795" s="10">
        <v>1</v>
      </c>
      <c r="H795" s="10">
        <v>6</v>
      </c>
      <c r="I795" s="10">
        <v>3</v>
      </c>
      <c r="J795" s="4" t="s">
        <v>64</v>
      </c>
      <c r="K795" s="4">
        <v>34774</v>
      </c>
      <c r="L795" s="4" t="s">
        <v>31</v>
      </c>
      <c r="M795" s="6" t="s">
        <v>2171</v>
      </c>
      <c r="N795" s="25" t="s">
        <v>20</v>
      </c>
      <c r="O795" s="6" t="s">
        <v>23</v>
      </c>
      <c r="P795" s="6" t="s">
        <v>23</v>
      </c>
      <c r="Q795" s="7" t="s">
        <v>23</v>
      </c>
      <c r="R795" s="54" t="s">
        <v>23</v>
      </c>
      <c r="S795" s="7" t="s">
        <v>23</v>
      </c>
    </row>
    <row r="796" spans="1:19" ht="12.75">
      <c r="A796" s="10">
        <v>45</v>
      </c>
      <c r="B796" s="10">
        <v>2022</v>
      </c>
      <c r="C796" s="6" t="s">
        <v>102</v>
      </c>
      <c r="D796" s="48">
        <v>44663</v>
      </c>
      <c r="E796" s="6" t="s">
        <v>20</v>
      </c>
      <c r="F796" s="6" t="s">
        <v>37</v>
      </c>
      <c r="G796" s="10">
        <v>1</v>
      </c>
      <c r="H796" s="10">
        <v>6</v>
      </c>
      <c r="I796" s="10">
        <v>4</v>
      </c>
      <c r="J796" s="4" t="s">
        <v>71</v>
      </c>
      <c r="K796" s="4">
        <v>33777</v>
      </c>
      <c r="L796" s="4" t="s">
        <v>61</v>
      </c>
      <c r="M796" s="6" t="s">
        <v>2172</v>
      </c>
      <c r="N796" s="25" t="s">
        <v>20</v>
      </c>
      <c r="O796" s="6" t="s">
        <v>23</v>
      </c>
      <c r="P796" s="6" t="s">
        <v>23</v>
      </c>
      <c r="Q796" s="7" t="s">
        <v>23</v>
      </c>
      <c r="R796" s="54" t="s">
        <v>23</v>
      </c>
      <c r="S796" s="7" t="s">
        <v>23</v>
      </c>
    </row>
    <row r="797" spans="1:19" ht="12.75">
      <c r="A797" s="10">
        <v>45</v>
      </c>
      <c r="B797" s="10">
        <v>2022</v>
      </c>
      <c r="C797" s="6" t="s">
        <v>102</v>
      </c>
      <c r="D797" s="48">
        <v>44663</v>
      </c>
      <c r="E797" s="6" t="s">
        <v>20</v>
      </c>
      <c r="F797" s="6" t="s">
        <v>37</v>
      </c>
      <c r="G797" s="10">
        <v>1</v>
      </c>
      <c r="H797" s="10">
        <v>6</v>
      </c>
      <c r="I797" s="10">
        <v>5</v>
      </c>
      <c r="J797" s="4" t="s">
        <v>71</v>
      </c>
      <c r="K797" s="4">
        <v>34309</v>
      </c>
      <c r="L797" s="4" t="s">
        <v>61</v>
      </c>
      <c r="M797" s="6" t="s">
        <v>2173</v>
      </c>
      <c r="N797" s="25" t="s">
        <v>20</v>
      </c>
      <c r="O797" s="6" t="s">
        <v>23</v>
      </c>
      <c r="P797" s="6" t="s">
        <v>23</v>
      </c>
      <c r="Q797" s="7" t="s">
        <v>23</v>
      </c>
      <c r="R797" s="54" t="s">
        <v>23</v>
      </c>
      <c r="S797" s="7" t="s">
        <v>23</v>
      </c>
    </row>
    <row r="798" spans="1:19" ht="12.75">
      <c r="A798" s="10">
        <v>45</v>
      </c>
      <c r="B798" s="10">
        <v>2022</v>
      </c>
      <c r="C798" s="6" t="s">
        <v>102</v>
      </c>
      <c r="D798" s="48">
        <v>44663</v>
      </c>
      <c r="E798" s="6" t="s">
        <v>20</v>
      </c>
      <c r="F798" s="6" t="s">
        <v>37</v>
      </c>
      <c r="G798" s="10">
        <v>1</v>
      </c>
      <c r="H798" s="10">
        <v>6</v>
      </c>
      <c r="I798" s="10">
        <v>6</v>
      </c>
      <c r="J798" s="4" t="s">
        <v>71</v>
      </c>
      <c r="K798" s="4">
        <v>34565</v>
      </c>
      <c r="L798" s="4" t="s">
        <v>61</v>
      </c>
      <c r="M798" s="6" t="s">
        <v>2174</v>
      </c>
      <c r="N798" s="25" t="s">
        <v>20</v>
      </c>
      <c r="O798" s="6" t="s">
        <v>23</v>
      </c>
      <c r="P798" s="6" t="s">
        <v>23</v>
      </c>
      <c r="Q798" s="7" t="s">
        <v>23</v>
      </c>
      <c r="R798" s="54" t="s">
        <v>23</v>
      </c>
      <c r="S798" s="7" t="s">
        <v>23</v>
      </c>
    </row>
    <row r="799" spans="1:19" ht="12.75">
      <c r="A799" s="10">
        <v>46</v>
      </c>
      <c r="B799" s="10">
        <v>2022</v>
      </c>
      <c r="C799" s="6" t="s">
        <v>102</v>
      </c>
      <c r="D799" s="48">
        <v>44663</v>
      </c>
      <c r="E799" s="6" t="s">
        <v>20</v>
      </c>
      <c r="F799" s="6" t="s">
        <v>51</v>
      </c>
      <c r="G799" s="10">
        <v>1</v>
      </c>
      <c r="H799" s="10">
        <v>2</v>
      </c>
      <c r="I799" s="10">
        <v>1</v>
      </c>
      <c r="J799" s="4" t="s">
        <v>71</v>
      </c>
      <c r="K799" s="4">
        <v>34760</v>
      </c>
      <c r="L799" s="4" t="s">
        <v>61</v>
      </c>
      <c r="M799" s="6" t="s">
        <v>2175</v>
      </c>
      <c r="N799" s="25" t="s">
        <v>20</v>
      </c>
      <c r="O799" s="6" t="s">
        <v>33</v>
      </c>
      <c r="P799" s="6">
        <v>1</v>
      </c>
      <c r="Q799" s="9" t="s">
        <v>2176</v>
      </c>
      <c r="R799" s="54" t="s">
        <v>2177</v>
      </c>
      <c r="S799" s="17" t="s">
        <v>2178</v>
      </c>
    </row>
    <row r="800" spans="1:19" ht="12.75">
      <c r="A800" s="10">
        <v>46</v>
      </c>
      <c r="B800" s="10">
        <v>2022</v>
      </c>
      <c r="C800" s="6" t="s">
        <v>102</v>
      </c>
      <c r="D800" s="48">
        <v>44663</v>
      </c>
      <c r="E800" s="6" t="s">
        <v>20</v>
      </c>
      <c r="F800" s="6" t="s">
        <v>51</v>
      </c>
      <c r="G800" s="10">
        <v>1</v>
      </c>
      <c r="H800" s="10">
        <v>2</v>
      </c>
      <c r="I800" s="10">
        <v>2</v>
      </c>
      <c r="J800" s="4" t="s">
        <v>71</v>
      </c>
      <c r="K800" s="4">
        <v>34789</v>
      </c>
      <c r="L800" s="4" t="s">
        <v>61</v>
      </c>
      <c r="M800" s="6" t="s">
        <v>2179</v>
      </c>
      <c r="N800" s="25" t="s">
        <v>20</v>
      </c>
      <c r="O800" s="6" t="s">
        <v>23</v>
      </c>
      <c r="P800" s="6" t="s">
        <v>23</v>
      </c>
      <c r="Q800" s="7" t="s">
        <v>23</v>
      </c>
      <c r="R800" s="54" t="s">
        <v>23</v>
      </c>
      <c r="S800" s="7" t="s">
        <v>23</v>
      </c>
    </row>
    <row r="801" spans="1:19" ht="12.75">
      <c r="A801" s="10">
        <v>47</v>
      </c>
      <c r="B801" s="10">
        <v>2022</v>
      </c>
      <c r="C801" s="6" t="s">
        <v>102</v>
      </c>
      <c r="D801" s="48">
        <v>44663</v>
      </c>
      <c r="E801" s="6" t="s">
        <v>20</v>
      </c>
      <c r="F801" s="6" t="s">
        <v>190</v>
      </c>
      <c r="G801" s="10">
        <v>1</v>
      </c>
      <c r="H801" s="10">
        <v>2</v>
      </c>
      <c r="I801" s="10">
        <v>1</v>
      </c>
      <c r="J801" s="4" t="s">
        <v>71</v>
      </c>
      <c r="K801" s="4">
        <v>34490</v>
      </c>
      <c r="L801" s="4" t="s">
        <v>61</v>
      </c>
      <c r="M801" s="6" t="s">
        <v>2180</v>
      </c>
      <c r="N801" s="25" t="s">
        <v>20</v>
      </c>
      <c r="O801" s="6" t="s">
        <v>20</v>
      </c>
      <c r="P801" s="6">
        <v>0</v>
      </c>
      <c r="Q801" s="9" t="s">
        <v>2181</v>
      </c>
      <c r="R801" s="54" t="s">
        <v>2182</v>
      </c>
      <c r="S801" s="17" t="s">
        <v>2183</v>
      </c>
    </row>
    <row r="802" spans="1:19" ht="12.75">
      <c r="A802" s="10">
        <v>47</v>
      </c>
      <c r="B802" s="10">
        <v>2022</v>
      </c>
      <c r="C802" s="6" t="s">
        <v>102</v>
      </c>
      <c r="D802" s="48">
        <v>44663</v>
      </c>
      <c r="E802" s="6" t="s">
        <v>20</v>
      </c>
      <c r="F802" s="6" t="s">
        <v>190</v>
      </c>
      <c r="G802" s="10">
        <v>1</v>
      </c>
      <c r="H802" s="10">
        <v>2</v>
      </c>
      <c r="I802" s="10">
        <v>2</v>
      </c>
      <c r="J802" s="4" t="s">
        <v>71</v>
      </c>
      <c r="K802" s="4">
        <v>34586</v>
      </c>
      <c r="L802" s="4" t="s">
        <v>61</v>
      </c>
      <c r="M802" s="6" t="s">
        <v>2184</v>
      </c>
      <c r="N802" s="25" t="s">
        <v>20</v>
      </c>
      <c r="O802" s="6" t="s">
        <v>23</v>
      </c>
      <c r="P802" s="6" t="s">
        <v>23</v>
      </c>
      <c r="Q802" s="7" t="s">
        <v>23</v>
      </c>
      <c r="R802" s="54" t="s">
        <v>23</v>
      </c>
      <c r="S802" s="7" t="s">
        <v>23</v>
      </c>
    </row>
    <row r="803" spans="1:19" ht="12.75">
      <c r="A803" s="10">
        <v>48</v>
      </c>
      <c r="B803" s="10">
        <v>2022</v>
      </c>
      <c r="C803" s="6" t="s">
        <v>102</v>
      </c>
      <c r="D803" s="48">
        <v>44670</v>
      </c>
      <c r="E803" s="6" t="s">
        <v>33</v>
      </c>
      <c r="F803" s="6" t="s">
        <v>1591</v>
      </c>
      <c r="G803" s="10">
        <v>2</v>
      </c>
      <c r="H803" s="10">
        <v>1</v>
      </c>
      <c r="I803" s="10">
        <v>1</v>
      </c>
      <c r="J803" s="4" t="s">
        <v>30</v>
      </c>
      <c r="K803" s="4">
        <v>31520</v>
      </c>
      <c r="L803" s="4" t="s">
        <v>61</v>
      </c>
      <c r="M803" s="6" t="s">
        <v>2162</v>
      </c>
      <c r="N803" s="25" t="s">
        <v>20</v>
      </c>
      <c r="O803" s="6" t="s">
        <v>33</v>
      </c>
      <c r="P803" s="6">
        <v>3</v>
      </c>
      <c r="Q803" s="9" t="s">
        <v>2185</v>
      </c>
      <c r="R803" s="54" t="s">
        <v>2186</v>
      </c>
      <c r="S803" s="17" t="s">
        <v>2187</v>
      </c>
    </row>
    <row r="804" spans="1:19" ht="12.75">
      <c r="A804" s="10">
        <v>49</v>
      </c>
      <c r="B804" s="10">
        <v>2022</v>
      </c>
      <c r="C804" s="6" t="s">
        <v>102</v>
      </c>
      <c r="D804" s="48">
        <v>44670</v>
      </c>
      <c r="E804" s="6" t="s">
        <v>20</v>
      </c>
      <c r="F804" s="6" t="s">
        <v>47</v>
      </c>
      <c r="G804" s="10">
        <v>1</v>
      </c>
      <c r="H804" s="10">
        <v>1</v>
      </c>
      <c r="I804" s="10">
        <v>1</v>
      </c>
      <c r="J804" s="4" t="s">
        <v>30</v>
      </c>
      <c r="K804" s="4">
        <v>34795</v>
      </c>
      <c r="L804" s="4" t="s">
        <v>31</v>
      </c>
      <c r="M804" s="6" t="s">
        <v>2188</v>
      </c>
      <c r="N804" s="25" t="s">
        <v>33</v>
      </c>
      <c r="O804" s="6" t="s">
        <v>20</v>
      </c>
      <c r="P804" s="6">
        <v>0</v>
      </c>
      <c r="Q804" s="9" t="s">
        <v>2189</v>
      </c>
      <c r="R804" s="54" t="s">
        <v>2190</v>
      </c>
      <c r="S804" s="17" t="s">
        <v>2191</v>
      </c>
    </row>
    <row r="805" spans="1:19" ht="12.75">
      <c r="A805" s="10">
        <v>50</v>
      </c>
      <c r="B805" s="10">
        <v>2022</v>
      </c>
      <c r="C805" s="6" t="s">
        <v>102</v>
      </c>
      <c r="D805" s="48">
        <v>44671</v>
      </c>
      <c r="E805" s="6" t="s">
        <v>33</v>
      </c>
      <c r="F805" s="6" t="s">
        <v>2192</v>
      </c>
      <c r="G805" s="10">
        <v>2</v>
      </c>
      <c r="H805" s="10">
        <v>1</v>
      </c>
      <c r="I805" s="10">
        <v>1</v>
      </c>
      <c r="J805" s="4" t="s">
        <v>23</v>
      </c>
      <c r="K805" s="4" t="s">
        <v>23</v>
      </c>
      <c r="L805" s="4" t="s">
        <v>23</v>
      </c>
      <c r="M805" s="6" t="s">
        <v>2193</v>
      </c>
      <c r="N805" s="25" t="s">
        <v>23</v>
      </c>
      <c r="O805" s="6" t="s">
        <v>33</v>
      </c>
      <c r="P805" s="6">
        <v>2</v>
      </c>
      <c r="Q805" s="9" t="s">
        <v>2194</v>
      </c>
      <c r="R805" s="54" t="s">
        <v>2195</v>
      </c>
      <c r="S805" s="26" t="s">
        <v>2196</v>
      </c>
    </row>
    <row r="806" spans="1:19" ht="12.75">
      <c r="A806" s="10">
        <v>51</v>
      </c>
      <c r="B806" s="10">
        <v>2022</v>
      </c>
      <c r="C806" s="6" t="s">
        <v>102</v>
      </c>
      <c r="D806" s="48">
        <v>44672</v>
      </c>
      <c r="E806" s="6" t="s">
        <v>33</v>
      </c>
      <c r="F806" s="6" t="s">
        <v>1980</v>
      </c>
      <c r="G806" s="10">
        <v>2</v>
      </c>
      <c r="H806" s="10">
        <v>2</v>
      </c>
      <c r="I806" s="10">
        <v>1</v>
      </c>
      <c r="J806" s="4" t="s">
        <v>30</v>
      </c>
      <c r="K806" s="4">
        <v>34638</v>
      </c>
      <c r="L806" s="4" t="s">
        <v>31</v>
      </c>
      <c r="M806" s="6" t="s">
        <v>2197</v>
      </c>
      <c r="N806" s="25" t="s">
        <v>20</v>
      </c>
      <c r="O806" s="6" t="s">
        <v>33</v>
      </c>
      <c r="P806" s="6">
        <v>2</v>
      </c>
      <c r="Q806" s="9" t="s">
        <v>2198</v>
      </c>
      <c r="R806" s="54" t="s">
        <v>2199</v>
      </c>
      <c r="S806" s="26" t="s">
        <v>2200</v>
      </c>
    </row>
    <row r="807" spans="1:19" ht="12.75">
      <c r="A807" s="10">
        <v>51</v>
      </c>
      <c r="B807" s="10">
        <v>2022</v>
      </c>
      <c r="C807" s="6" t="s">
        <v>102</v>
      </c>
      <c r="D807" s="48">
        <v>44672</v>
      </c>
      <c r="E807" s="6" t="s">
        <v>33</v>
      </c>
      <c r="F807" s="6" t="s">
        <v>1980</v>
      </c>
      <c r="G807" s="10">
        <v>2</v>
      </c>
      <c r="H807" s="10">
        <v>2</v>
      </c>
      <c r="I807" s="10">
        <v>2</v>
      </c>
      <c r="J807" s="4" t="s">
        <v>30</v>
      </c>
      <c r="K807" s="4">
        <v>34672</v>
      </c>
      <c r="L807" s="4" t="s">
        <v>31</v>
      </c>
      <c r="M807" s="6" t="s">
        <v>2201</v>
      </c>
      <c r="N807" s="25" t="s">
        <v>20</v>
      </c>
      <c r="O807" s="6" t="s">
        <v>23</v>
      </c>
      <c r="P807" s="6" t="s">
        <v>23</v>
      </c>
      <c r="Q807" s="7" t="s">
        <v>23</v>
      </c>
      <c r="R807" s="54" t="s">
        <v>23</v>
      </c>
      <c r="S807" s="7" t="s">
        <v>23</v>
      </c>
    </row>
    <row r="808" spans="1:19" ht="12.75">
      <c r="A808" s="10">
        <v>52</v>
      </c>
      <c r="B808" s="10">
        <v>2022</v>
      </c>
      <c r="C808" s="6" t="s">
        <v>102</v>
      </c>
      <c r="D808" s="48">
        <v>44677</v>
      </c>
      <c r="E808" s="6" t="s">
        <v>33</v>
      </c>
      <c r="F808" s="6" t="s">
        <v>1591</v>
      </c>
      <c r="G808" s="10">
        <v>2</v>
      </c>
      <c r="H808" s="10">
        <v>1</v>
      </c>
      <c r="I808" s="10">
        <v>1</v>
      </c>
      <c r="J808" s="4" t="s">
        <v>30</v>
      </c>
      <c r="K808" s="4">
        <v>31520</v>
      </c>
      <c r="L808" s="4" t="s">
        <v>61</v>
      </c>
      <c r="M808" s="6" t="s">
        <v>2162</v>
      </c>
      <c r="N808" s="25" t="s">
        <v>20</v>
      </c>
      <c r="O808" s="6" t="s">
        <v>33</v>
      </c>
      <c r="P808" s="6">
        <v>2</v>
      </c>
      <c r="Q808" s="9" t="s">
        <v>2202</v>
      </c>
      <c r="R808" s="54" t="s">
        <v>2203</v>
      </c>
      <c r="S808" s="26" t="s">
        <v>2204</v>
      </c>
    </row>
    <row r="809" spans="1:19" ht="12.75">
      <c r="A809" s="10">
        <v>53</v>
      </c>
      <c r="B809" s="10">
        <v>2022</v>
      </c>
      <c r="C809" s="6" t="s">
        <v>102</v>
      </c>
      <c r="D809" s="48">
        <v>44677</v>
      </c>
      <c r="E809" s="6" t="s">
        <v>20</v>
      </c>
      <c r="F809" s="6" t="s">
        <v>39</v>
      </c>
      <c r="G809" s="10">
        <v>1</v>
      </c>
      <c r="H809" s="10">
        <v>3</v>
      </c>
      <c r="I809" s="10">
        <v>1</v>
      </c>
      <c r="J809" s="4" t="s">
        <v>71</v>
      </c>
      <c r="K809" s="4">
        <v>34524</v>
      </c>
      <c r="L809" s="4" t="s">
        <v>61</v>
      </c>
      <c r="M809" s="6" t="s">
        <v>2205</v>
      </c>
      <c r="N809" s="25" t="s">
        <v>33</v>
      </c>
      <c r="O809" s="6" t="s">
        <v>33</v>
      </c>
      <c r="P809" s="6">
        <v>3</v>
      </c>
      <c r="Q809" s="9" t="s">
        <v>2206</v>
      </c>
      <c r="R809" s="54" t="s">
        <v>2207</v>
      </c>
      <c r="S809" s="17" t="s">
        <v>2208</v>
      </c>
    </row>
    <row r="810" spans="1:19" ht="12.75">
      <c r="A810" s="10">
        <v>53</v>
      </c>
      <c r="B810" s="10">
        <v>2022</v>
      </c>
      <c r="C810" s="6" t="s">
        <v>102</v>
      </c>
      <c r="D810" s="48">
        <v>44677</v>
      </c>
      <c r="E810" s="6" t="s">
        <v>20</v>
      </c>
      <c r="F810" s="6" t="s">
        <v>39</v>
      </c>
      <c r="G810" s="10">
        <v>1</v>
      </c>
      <c r="H810" s="10">
        <v>3</v>
      </c>
      <c r="I810" s="10">
        <v>2</v>
      </c>
      <c r="J810" s="4" t="s">
        <v>71</v>
      </c>
      <c r="K810" s="4">
        <v>33193</v>
      </c>
      <c r="L810" s="4" t="s">
        <v>61</v>
      </c>
      <c r="M810" s="6" t="s">
        <v>2209</v>
      </c>
      <c r="N810" s="25" t="s">
        <v>33</v>
      </c>
      <c r="O810" s="6" t="s">
        <v>23</v>
      </c>
      <c r="P810" s="6" t="s">
        <v>23</v>
      </c>
      <c r="Q810" s="9" t="s">
        <v>23</v>
      </c>
      <c r="R810" s="54" t="s">
        <v>23</v>
      </c>
      <c r="S810" s="7" t="s">
        <v>23</v>
      </c>
    </row>
    <row r="811" spans="1:19" ht="12.75">
      <c r="A811" s="10">
        <v>53</v>
      </c>
      <c r="B811" s="10">
        <v>2022</v>
      </c>
      <c r="C811" s="6" t="s">
        <v>102</v>
      </c>
      <c r="D811" s="48">
        <v>44677</v>
      </c>
      <c r="E811" s="6" t="s">
        <v>20</v>
      </c>
      <c r="F811" s="6" t="s">
        <v>39</v>
      </c>
      <c r="G811" s="10">
        <v>1</v>
      </c>
      <c r="H811" s="10">
        <v>3</v>
      </c>
      <c r="I811" s="10">
        <v>3</v>
      </c>
      <c r="J811" s="4" t="s">
        <v>71</v>
      </c>
      <c r="K811" s="4">
        <v>33614</v>
      </c>
      <c r="L811" s="4" t="s">
        <v>61</v>
      </c>
      <c r="M811" s="6" t="s">
        <v>2210</v>
      </c>
      <c r="N811" s="25" t="s">
        <v>33</v>
      </c>
      <c r="O811" s="6" t="s">
        <v>23</v>
      </c>
      <c r="P811" s="6" t="s">
        <v>23</v>
      </c>
      <c r="Q811" s="9" t="s">
        <v>23</v>
      </c>
      <c r="R811" s="54" t="s">
        <v>23</v>
      </c>
      <c r="S811" s="7" t="s">
        <v>23</v>
      </c>
    </row>
    <row r="812" spans="1:19" ht="12.75">
      <c r="A812" s="10">
        <v>54</v>
      </c>
      <c r="B812" s="10">
        <v>2022</v>
      </c>
      <c r="C812" s="6" t="s">
        <v>102</v>
      </c>
      <c r="D812" s="48">
        <v>44677</v>
      </c>
      <c r="E812" s="6" t="s">
        <v>33</v>
      </c>
      <c r="F812" s="6" t="s">
        <v>1980</v>
      </c>
      <c r="G812" s="10">
        <v>2</v>
      </c>
      <c r="H812" s="10">
        <v>2</v>
      </c>
      <c r="I812" s="10">
        <v>1</v>
      </c>
      <c r="J812" s="4" t="s">
        <v>30</v>
      </c>
      <c r="K812" s="4">
        <v>34638</v>
      </c>
      <c r="L812" s="4" t="s">
        <v>31</v>
      </c>
      <c r="M812" s="6" t="s">
        <v>2197</v>
      </c>
      <c r="N812" s="25" t="s">
        <v>33</v>
      </c>
      <c r="O812" s="6" t="s">
        <v>20</v>
      </c>
      <c r="P812" s="6">
        <v>0</v>
      </c>
      <c r="Q812" s="9" t="s">
        <v>2211</v>
      </c>
      <c r="R812" s="54" t="s">
        <v>2212</v>
      </c>
      <c r="S812" s="26" t="s">
        <v>2213</v>
      </c>
    </row>
    <row r="813" spans="1:19" ht="12.75">
      <c r="A813" s="10">
        <v>54</v>
      </c>
      <c r="B813" s="10">
        <v>2022</v>
      </c>
      <c r="C813" s="6" t="s">
        <v>102</v>
      </c>
      <c r="D813" s="48">
        <v>44677</v>
      </c>
      <c r="E813" s="6" t="s">
        <v>33</v>
      </c>
      <c r="F813" s="6" t="s">
        <v>1980</v>
      </c>
      <c r="G813" s="10">
        <v>2</v>
      </c>
      <c r="H813" s="10">
        <v>2</v>
      </c>
      <c r="I813" s="10">
        <v>2</v>
      </c>
      <c r="J813" s="4" t="s">
        <v>30</v>
      </c>
      <c r="K813" s="4">
        <v>34672</v>
      </c>
      <c r="L813" s="4" t="s">
        <v>31</v>
      </c>
      <c r="M813" s="6" t="s">
        <v>2214</v>
      </c>
      <c r="N813" s="25" t="s">
        <v>33</v>
      </c>
      <c r="O813" s="6" t="s">
        <v>23</v>
      </c>
      <c r="P813" s="6" t="s">
        <v>23</v>
      </c>
      <c r="Q813" s="9" t="s">
        <v>23</v>
      </c>
      <c r="R813" s="54" t="s">
        <v>23</v>
      </c>
      <c r="S813" s="7" t="s">
        <v>23</v>
      </c>
    </row>
    <row r="814" spans="1:19" ht="12.75">
      <c r="A814" s="10">
        <v>55</v>
      </c>
      <c r="B814" s="10">
        <v>2022</v>
      </c>
      <c r="C814" s="6" t="s">
        <v>102</v>
      </c>
      <c r="D814" s="48">
        <v>44678</v>
      </c>
      <c r="E814" s="6" t="s">
        <v>20</v>
      </c>
      <c r="F814" s="6" t="s">
        <v>53</v>
      </c>
      <c r="G814" s="10">
        <v>1</v>
      </c>
      <c r="H814" s="10">
        <v>1</v>
      </c>
      <c r="I814" s="10">
        <v>1</v>
      </c>
      <c r="J814" s="4" t="s">
        <v>30</v>
      </c>
      <c r="K814" s="4">
        <v>34795</v>
      </c>
      <c r="L814" s="4" t="s">
        <v>31</v>
      </c>
      <c r="M814" s="6" t="s">
        <v>2215</v>
      </c>
      <c r="N814" s="25" t="s">
        <v>33</v>
      </c>
      <c r="O814" s="6" t="s">
        <v>20</v>
      </c>
      <c r="P814" s="6">
        <v>0</v>
      </c>
      <c r="Q814" s="9" t="s">
        <v>2216</v>
      </c>
      <c r="R814" s="54" t="s">
        <v>23</v>
      </c>
      <c r="S814" s="17" t="s">
        <v>2217</v>
      </c>
    </row>
    <row r="815" spans="1:19" ht="12.75">
      <c r="A815" s="10">
        <v>56</v>
      </c>
      <c r="B815" s="10">
        <v>2022</v>
      </c>
      <c r="C815" s="6" t="s">
        <v>102</v>
      </c>
      <c r="D815" s="48">
        <v>44679</v>
      </c>
      <c r="E815" s="6" t="s">
        <v>20</v>
      </c>
      <c r="F815" s="6" t="s">
        <v>47</v>
      </c>
      <c r="G815" s="10">
        <v>1</v>
      </c>
      <c r="H815" s="10">
        <v>1</v>
      </c>
      <c r="I815" s="10">
        <v>1</v>
      </c>
      <c r="J815" s="4" t="s">
        <v>30</v>
      </c>
      <c r="K815" s="4">
        <v>34275</v>
      </c>
      <c r="L815" s="4" t="s">
        <v>61</v>
      </c>
      <c r="M815" s="6" t="s">
        <v>2218</v>
      </c>
      <c r="N815" s="25" t="s">
        <v>33</v>
      </c>
      <c r="O815" s="6" t="s">
        <v>33</v>
      </c>
      <c r="P815" s="6">
        <v>2</v>
      </c>
      <c r="Q815" s="9" t="s">
        <v>2219</v>
      </c>
      <c r="R815" s="54" t="s">
        <v>2220</v>
      </c>
      <c r="S815" s="17" t="s">
        <v>2221</v>
      </c>
    </row>
    <row r="816" spans="1:19" ht="12.75">
      <c r="A816" s="10">
        <v>57</v>
      </c>
      <c r="B816" s="10">
        <v>2022</v>
      </c>
      <c r="C816" s="6" t="s">
        <v>102</v>
      </c>
      <c r="D816" s="48">
        <v>44679</v>
      </c>
      <c r="E816" s="6" t="s">
        <v>20</v>
      </c>
      <c r="F816" s="6" t="s">
        <v>51</v>
      </c>
      <c r="G816" s="10">
        <v>1</v>
      </c>
      <c r="H816" s="10">
        <v>4</v>
      </c>
      <c r="I816" s="10">
        <v>1</v>
      </c>
      <c r="J816" s="4" t="s">
        <v>71</v>
      </c>
      <c r="K816" s="4">
        <v>33606</v>
      </c>
      <c r="L816" s="4" t="s">
        <v>61</v>
      </c>
      <c r="M816" s="6" t="s">
        <v>2222</v>
      </c>
      <c r="N816" s="25" t="s">
        <v>33</v>
      </c>
      <c r="O816" s="6" t="s">
        <v>20</v>
      </c>
      <c r="P816" s="6">
        <v>0</v>
      </c>
      <c r="Q816" s="9" t="s">
        <v>2223</v>
      </c>
      <c r="R816" s="54" t="s">
        <v>2224</v>
      </c>
      <c r="S816" s="17" t="s">
        <v>2225</v>
      </c>
    </row>
    <row r="817" spans="1:19" ht="12.75">
      <c r="A817" s="10">
        <v>57</v>
      </c>
      <c r="B817" s="10">
        <v>2022</v>
      </c>
      <c r="C817" s="6" t="s">
        <v>102</v>
      </c>
      <c r="D817" s="48">
        <v>44679</v>
      </c>
      <c r="E817" s="6" t="s">
        <v>20</v>
      </c>
      <c r="F817" s="6" t="s">
        <v>51</v>
      </c>
      <c r="G817" s="10">
        <v>1</v>
      </c>
      <c r="H817" s="10">
        <v>4</v>
      </c>
      <c r="I817" s="10">
        <v>2</v>
      </c>
      <c r="J817" s="4" t="s">
        <v>71</v>
      </c>
      <c r="K817" s="4">
        <v>34313</v>
      </c>
      <c r="L817" s="4" t="s">
        <v>61</v>
      </c>
      <c r="M817" s="6" t="s">
        <v>2226</v>
      </c>
      <c r="N817" s="25" t="s">
        <v>33</v>
      </c>
      <c r="O817" s="6" t="s">
        <v>23</v>
      </c>
      <c r="P817" s="6" t="s">
        <v>23</v>
      </c>
      <c r="Q817" s="9" t="s">
        <v>23</v>
      </c>
      <c r="R817" s="54" t="s">
        <v>23</v>
      </c>
      <c r="S817" s="7" t="s">
        <v>23</v>
      </c>
    </row>
    <row r="818" spans="1:19" ht="12.75">
      <c r="A818" s="10">
        <v>57</v>
      </c>
      <c r="B818" s="10">
        <v>2022</v>
      </c>
      <c r="C818" s="6" t="s">
        <v>102</v>
      </c>
      <c r="D818" s="48">
        <v>44679</v>
      </c>
      <c r="E818" s="6" t="s">
        <v>20</v>
      </c>
      <c r="F818" s="6" t="s">
        <v>51</v>
      </c>
      <c r="G818" s="10">
        <v>1</v>
      </c>
      <c r="H818" s="10">
        <v>4</v>
      </c>
      <c r="I818" s="10">
        <v>3</v>
      </c>
      <c r="J818" s="4" t="s">
        <v>71</v>
      </c>
      <c r="K818" s="4">
        <v>34644</v>
      </c>
      <c r="L818" s="4" t="s">
        <v>61</v>
      </c>
      <c r="M818" s="6" t="s">
        <v>2227</v>
      </c>
      <c r="N818" s="25" t="s">
        <v>33</v>
      </c>
      <c r="O818" s="6" t="s">
        <v>23</v>
      </c>
      <c r="P818" s="6" t="s">
        <v>23</v>
      </c>
      <c r="Q818" s="9" t="s">
        <v>23</v>
      </c>
      <c r="R818" s="54" t="s">
        <v>23</v>
      </c>
      <c r="S818" s="7" t="s">
        <v>23</v>
      </c>
    </row>
    <row r="819" spans="1:19" ht="12.75">
      <c r="A819" s="10">
        <v>57</v>
      </c>
      <c r="B819" s="10">
        <v>2022</v>
      </c>
      <c r="C819" s="6" t="s">
        <v>102</v>
      </c>
      <c r="D819" s="48">
        <v>44679</v>
      </c>
      <c r="E819" s="6" t="s">
        <v>20</v>
      </c>
      <c r="F819" s="6" t="s">
        <v>51</v>
      </c>
      <c r="G819" s="10">
        <v>1</v>
      </c>
      <c r="H819" s="10">
        <v>4</v>
      </c>
      <c r="I819" s="10">
        <v>4</v>
      </c>
      <c r="J819" s="4" t="s">
        <v>71</v>
      </c>
      <c r="K819" s="4">
        <v>34645</v>
      </c>
      <c r="L819" s="4" t="s">
        <v>61</v>
      </c>
      <c r="M819" s="6" t="s">
        <v>2228</v>
      </c>
      <c r="N819" s="25" t="s">
        <v>33</v>
      </c>
      <c r="O819" s="6" t="s">
        <v>23</v>
      </c>
      <c r="P819" s="6" t="s">
        <v>23</v>
      </c>
      <c r="Q819" s="9" t="s">
        <v>23</v>
      </c>
      <c r="R819" s="54" t="s">
        <v>23</v>
      </c>
      <c r="S819" s="7" t="s">
        <v>23</v>
      </c>
    </row>
    <row r="820" spans="1:19" ht="12.75">
      <c r="A820" s="10">
        <v>58</v>
      </c>
      <c r="B820" s="10">
        <v>2022</v>
      </c>
      <c r="C820" s="6" t="s">
        <v>102</v>
      </c>
      <c r="D820" s="48">
        <v>44684</v>
      </c>
      <c r="E820" s="6" t="s">
        <v>33</v>
      </c>
      <c r="F820" s="6" t="s">
        <v>1591</v>
      </c>
      <c r="G820" s="10">
        <v>2</v>
      </c>
      <c r="H820" s="10">
        <v>1</v>
      </c>
      <c r="I820" s="10">
        <v>1</v>
      </c>
      <c r="J820" s="4" t="s">
        <v>30</v>
      </c>
      <c r="K820" s="4">
        <v>31520</v>
      </c>
      <c r="L820" s="4" t="s">
        <v>61</v>
      </c>
      <c r="M820" s="6" t="s">
        <v>2162</v>
      </c>
      <c r="N820" s="25" t="s">
        <v>20</v>
      </c>
      <c r="O820" s="6" t="s">
        <v>33</v>
      </c>
      <c r="P820" s="6">
        <v>3</v>
      </c>
      <c r="Q820" s="9" t="s">
        <v>2229</v>
      </c>
      <c r="R820" s="54" t="s">
        <v>2230</v>
      </c>
      <c r="S820" s="26" t="s">
        <v>2231</v>
      </c>
    </row>
    <row r="821" spans="1:19" ht="12.75">
      <c r="A821" s="10">
        <v>59</v>
      </c>
      <c r="B821" s="10">
        <v>2022</v>
      </c>
      <c r="C821" s="6" t="s">
        <v>1824</v>
      </c>
      <c r="D821" s="48">
        <v>44684</v>
      </c>
      <c r="E821" s="6" t="s">
        <v>20</v>
      </c>
      <c r="F821" s="6" t="s">
        <v>190</v>
      </c>
      <c r="G821" s="10">
        <v>1</v>
      </c>
      <c r="H821" s="10">
        <v>1</v>
      </c>
      <c r="I821" s="10">
        <v>1</v>
      </c>
      <c r="J821" s="4" t="s">
        <v>23</v>
      </c>
      <c r="K821" s="4" t="s">
        <v>23</v>
      </c>
      <c r="L821" s="4" t="s">
        <v>23</v>
      </c>
      <c r="M821" s="6" t="s">
        <v>2232</v>
      </c>
      <c r="N821" s="25" t="s">
        <v>23</v>
      </c>
      <c r="O821" s="6" t="s">
        <v>33</v>
      </c>
      <c r="P821" s="6">
        <v>1</v>
      </c>
      <c r="Q821" s="9" t="s">
        <v>2233</v>
      </c>
      <c r="R821" s="54" t="s">
        <v>2234</v>
      </c>
      <c r="S821" s="17" t="s">
        <v>2235</v>
      </c>
    </row>
    <row r="822" spans="1:19" ht="12.75">
      <c r="A822" s="10">
        <v>60</v>
      </c>
      <c r="B822" s="10">
        <v>2022</v>
      </c>
      <c r="C822" s="6" t="s">
        <v>102</v>
      </c>
      <c r="D822" s="48">
        <v>44684</v>
      </c>
      <c r="E822" s="6" t="s">
        <v>33</v>
      </c>
      <c r="F822" s="6" t="s">
        <v>2236</v>
      </c>
      <c r="G822" s="10">
        <v>2</v>
      </c>
      <c r="H822" s="10">
        <v>8</v>
      </c>
      <c r="I822" s="10">
        <v>1</v>
      </c>
      <c r="J822" s="4" t="s">
        <v>71</v>
      </c>
      <c r="K822" s="4">
        <v>33111</v>
      </c>
      <c r="L822" s="4" t="s">
        <v>61</v>
      </c>
      <c r="M822" s="6" t="s">
        <v>2237</v>
      </c>
      <c r="N822" s="25" t="s">
        <v>20</v>
      </c>
      <c r="O822" s="6" t="s">
        <v>33</v>
      </c>
      <c r="P822" s="6">
        <v>2</v>
      </c>
      <c r="Q822" s="9" t="s">
        <v>2238</v>
      </c>
      <c r="R822" s="54" t="s">
        <v>2239</v>
      </c>
      <c r="S822" s="26" t="s">
        <v>2240</v>
      </c>
    </row>
    <row r="823" spans="1:19" ht="12.75">
      <c r="A823" s="10">
        <v>60</v>
      </c>
      <c r="B823" s="10">
        <v>2022</v>
      </c>
      <c r="C823" s="6" t="s">
        <v>102</v>
      </c>
      <c r="D823" s="48">
        <v>44684</v>
      </c>
      <c r="E823" s="6" t="s">
        <v>33</v>
      </c>
      <c r="F823" s="6" t="s">
        <v>2236</v>
      </c>
      <c r="G823" s="10">
        <v>2</v>
      </c>
      <c r="H823" s="10">
        <v>8</v>
      </c>
      <c r="I823" s="10">
        <v>2</v>
      </c>
      <c r="J823" s="4" t="s">
        <v>71</v>
      </c>
      <c r="K823" s="4">
        <v>34568</v>
      </c>
      <c r="L823" s="4" t="s">
        <v>61</v>
      </c>
      <c r="M823" s="6" t="s">
        <v>2241</v>
      </c>
      <c r="N823" s="25" t="s">
        <v>20</v>
      </c>
      <c r="O823" s="6" t="s">
        <v>23</v>
      </c>
      <c r="P823" s="6" t="s">
        <v>23</v>
      </c>
      <c r="Q823" s="6" t="s">
        <v>23</v>
      </c>
      <c r="R823" s="19" t="s">
        <v>23</v>
      </c>
      <c r="S823" s="7" t="s">
        <v>23</v>
      </c>
    </row>
    <row r="824" spans="1:19" ht="12.75">
      <c r="A824" s="10">
        <v>60</v>
      </c>
      <c r="B824" s="10">
        <v>2022</v>
      </c>
      <c r="C824" s="6" t="s">
        <v>102</v>
      </c>
      <c r="D824" s="48">
        <v>44684</v>
      </c>
      <c r="E824" s="6" t="s">
        <v>33</v>
      </c>
      <c r="F824" s="6" t="s">
        <v>2236</v>
      </c>
      <c r="G824" s="10">
        <v>2</v>
      </c>
      <c r="H824" s="10">
        <v>8</v>
      </c>
      <c r="I824" s="10">
        <v>3</v>
      </c>
      <c r="J824" s="4" t="s">
        <v>71</v>
      </c>
      <c r="K824" s="4">
        <v>33281</v>
      </c>
      <c r="L824" s="4" t="s">
        <v>61</v>
      </c>
      <c r="M824" s="6" t="s">
        <v>2242</v>
      </c>
      <c r="N824" s="25" t="s">
        <v>20</v>
      </c>
      <c r="O824" s="6" t="s">
        <v>23</v>
      </c>
      <c r="P824" s="6" t="s">
        <v>23</v>
      </c>
      <c r="Q824" s="6" t="s">
        <v>23</v>
      </c>
      <c r="R824" s="19" t="s">
        <v>23</v>
      </c>
      <c r="S824" s="7" t="s">
        <v>23</v>
      </c>
    </row>
    <row r="825" spans="1:19" ht="12.75">
      <c r="A825" s="10">
        <v>60</v>
      </c>
      <c r="B825" s="10">
        <v>2022</v>
      </c>
      <c r="C825" s="6" t="s">
        <v>102</v>
      </c>
      <c r="D825" s="48">
        <v>44684</v>
      </c>
      <c r="E825" s="6" t="s">
        <v>33</v>
      </c>
      <c r="F825" s="6" t="s">
        <v>2236</v>
      </c>
      <c r="G825" s="10">
        <v>2</v>
      </c>
      <c r="H825" s="10">
        <v>8</v>
      </c>
      <c r="I825" s="10">
        <v>4</v>
      </c>
      <c r="J825" s="4" t="s">
        <v>71</v>
      </c>
      <c r="K825" s="4">
        <v>33404</v>
      </c>
      <c r="L825" s="4" t="s">
        <v>61</v>
      </c>
      <c r="M825" s="6" t="s">
        <v>2243</v>
      </c>
      <c r="N825" s="25" t="s">
        <v>20</v>
      </c>
      <c r="O825" s="6" t="s">
        <v>23</v>
      </c>
      <c r="P825" s="6" t="s">
        <v>23</v>
      </c>
      <c r="Q825" s="6" t="s">
        <v>23</v>
      </c>
      <c r="R825" s="19" t="s">
        <v>23</v>
      </c>
      <c r="S825" s="7" t="s">
        <v>23</v>
      </c>
    </row>
    <row r="826" spans="1:19" ht="12.75">
      <c r="A826" s="10">
        <v>60</v>
      </c>
      <c r="B826" s="10">
        <v>2022</v>
      </c>
      <c r="C826" s="6" t="s">
        <v>102</v>
      </c>
      <c r="D826" s="48">
        <v>44684</v>
      </c>
      <c r="E826" s="6" t="s">
        <v>33</v>
      </c>
      <c r="F826" s="6" t="s">
        <v>2236</v>
      </c>
      <c r="G826" s="10">
        <v>2</v>
      </c>
      <c r="H826" s="10">
        <v>8</v>
      </c>
      <c r="I826" s="10">
        <v>5</v>
      </c>
      <c r="J826" s="4" t="s">
        <v>71</v>
      </c>
      <c r="K826" s="4">
        <v>33568</v>
      </c>
      <c r="L826" s="4" t="s">
        <v>61</v>
      </c>
      <c r="M826" s="6" t="s">
        <v>2244</v>
      </c>
      <c r="N826" s="25" t="s">
        <v>20</v>
      </c>
      <c r="O826" s="6" t="s">
        <v>23</v>
      </c>
      <c r="P826" s="6" t="s">
        <v>23</v>
      </c>
      <c r="Q826" s="6" t="s">
        <v>23</v>
      </c>
      <c r="R826" s="19" t="s">
        <v>23</v>
      </c>
      <c r="S826" s="7" t="s">
        <v>23</v>
      </c>
    </row>
    <row r="827" spans="1:19" ht="12.75">
      <c r="A827" s="10">
        <v>60</v>
      </c>
      <c r="B827" s="10">
        <v>2022</v>
      </c>
      <c r="C827" s="6" t="s">
        <v>102</v>
      </c>
      <c r="D827" s="48">
        <v>44684</v>
      </c>
      <c r="E827" s="6" t="s">
        <v>33</v>
      </c>
      <c r="F827" s="6" t="s">
        <v>2236</v>
      </c>
      <c r="G827" s="10">
        <v>2</v>
      </c>
      <c r="H827" s="10">
        <v>8</v>
      </c>
      <c r="I827" s="10">
        <v>6</v>
      </c>
      <c r="J827" s="4" t="s">
        <v>71</v>
      </c>
      <c r="K827" s="4">
        <v>34292</v>
      </c>
      <c r="L827" s="4" t="s">
        <v>61</v>
      </c>
      <c r="M827" s="6" t="s">
        <v>2245</v>
      </c>
      <c r="N827" s="25" t="s">
        <v>20</v>
      </c>
      <c r="O827" s="6" t="s">
        <v>23</v>
      </c>
      <c r="P827" s="6" t="s">
        <v>23</v>
      </c>
      <c r="Q827" s="6" t="s">
        <v>23</v>
      </c>
      <c r="R827" s="19" t="s">
        <v>23</v>
      </c>
      <c r="S827" s="7" t="s">
        <v>23</v>
      </c>
    </row>
    <row r="828" spans="1:19" ht="12.75">
      <c r="A828" s="10">
        <v>60</v>
      </c>
      <c r="B828" s="10">
        <v>2022</v>
      </c>
      <c r="C828" s="6" t="s">
        <v>102</v>
      </c>
      <c r="D828" s="48">
        <v>44684</v>
      </c>
      <c r="E828" s="6" t="s">
        <v>33</v>
      </c>
      <c r="F828" s="6" t="s">
        <v>2236</v>
      </c>
      <c r="G828" s="10">
        <v>2</v>
      </c>
      <c r="H828" s="10">
        <v>8</v>
      </c>
      <c r="I828" s="10">
        <v>7</v>
      </c>
      <c r="J828" s="4" t="s">
        <v>71</v>
      </c>
      <c r="K828" s="4">
        <v>34761</v>
      </c>
      <c r="L828" s="4" t="s">
        <v>61</v>
      </c>
      <c r="M828" s="6" t="s">
        <v>2246</v>
      </c>
      <c r="N828" s="25" t="s">
        <v>20</v>
      </c>
      <c r="O828" s="6" t="s">
        <v>23</v>
      </c>
      <c r="P828" s="6" t="s">
        <v>23</v>
      </c>
      <c r="Q828" s="6" t="s">
        <v>23</v>
      </c>
      <c r="R828" s="19" t="s">
        <v>23</v>
      </c>
      <c r="S828" s="7" t="s">
        <v>23</v>
      </c>
    </row>
    <row r="829" spans="1:19" ht="12.75">
      <c r="A829" s="10">
        <v>60</v>
      </c>
      <c r="B829" s="10">
        <v>2022</v>
      </c>
      <c r="C829" s="6" t="s">
        <v>102</v>
      </c>
      <c r="D829" s="48">
        <v>44684</v>
      </c>
      <c r="E829" s="6" t="s">
        <v>33</v>
      </c>
      <c r="F829" s="6" t="s">
        <v>2236</v>
      </c>
      <c r="G829" s="10">
        <v>2</v>
      </c>
      <c r="H829" s="10">
        <v>8</v>
      </c>
      <c r="I829" s="10">
        <v>8</v>
      </c>
      <c r="J829" s="4" t="s">
        <v>30</v>
      </c>
      <c r="K829" s="4">
        <v>33941</v>
      </c>
      <c r="L829" s="4" t="s">
        <v>61</v>
      </c>
      <c r="M829" s="6" t="s">
        <v>2247</v>
      </c>
      <c r="N829" s="25" t="s">
        <v>20</v>
      </c>
      <c r="O829" s="6" t="s">
        <v>23</v>
      </c>
      <c r="P829" s="6" t="s">
        <v>23</v>
      </c>
      <c r="Q829" s="6" t="s">
        <v>23</v>
      </c>
      <c r="R829" s="19" t="s">
        <v>23</v>
      </c>
      <c r="S829" s="7" t="s">
        <v>23</v>
      </c>
    </row>
    <row r="830" spans="1:19" ht="12.75">
      <c r="A830" s="10">
        <v>61</v>
      </c>
      <c r="B830" s="10">
        <v>2022</v>
      </c>
      <c r="C830" s="6" t="s">
        <v>102</v>
      </c>
      <c r="D830" s="48">
        <v>44686</v>
      </c>
      <c r="E830" s="6" t="s">
        <v>20</v>
      </c>
      <c r="F830" s="6" t="s">
        <v>47</v>
      </c>
      <c r="G830" s="10">
        <v>1</v>
      </c>
      <c r="H830" s="10">
        <v>1</v>
      </c>
      <c r="I830" s="10">
        <v>1</v>
      </c>
      <c r="J830" s="4" t="s">
        <v>30</v>
      </c>
      <c r="K830" s="4">
        <v>34929</v>
      </c>
      <c r="L830" s="4" t="s">
        <v>31</v>
      </c>
      <c r="M830" s="6" t="s">
        <v>2248</v>
      </c>
      <c r="N830" s="25" t="s">
        <v>33</v>
      </c>
      <c r="O830" s="6" t="s">
        <v>20</v>
      </c>
      <c r="P830" s="6">
        <v>0</v>
      </c>
      <c r="Q830" s="9" t="s">
        <v>2249</v>
      </c>
      <c r="R830" s="54" t="s">
        <v>2250</v>
      </c>
      <c r="S830" s="17" t="s">
        <v>2251</v>
      </c>
    </row>
    <row r="831" spans="1:19" ht="12.75">
      <c r="A831" s="10">
        <v>62</v>
      </c>
      <c r="B831" s="10">
        <v>2022</v>
      </c>
      <c r="C831" s="6" t="s">
        <v>102</v>
      </c>
      <c r="D831" s="48">
        <v>44686</v>
      </c>
      <c r="E831" s="6" t="s">
        <v>20</v>
      </c>
      <c r="F831" s="6" t="s">
        <v>73</v>
      </c>
      <c r="G831" s="10">
        <v>1</v>
      </c>
      <c r="H831" s="10">
        <v>4</v>
      </c>
      <c r="I831" s="10">
        <v>1</v>
      </c>
      <c r="J831" s="4" t="s">
        <v>71</v>
      </c>
      <c r="K831" s="4">
        <v>32837</v>
      </c>
      <c r="L831" s="4" t="s">
        <v>61</v>
      </c>
      <c r="M831" s="6" t="s">
        <v>2252</v>
      </c>
      <c r="N831" s="25" t="s">
        <v>20</v>
      </c>
      <c r="O831" s="6" t="s">
        <v>33</v>
      </c>
      <c r="P831" s="6">
        <v>1</v>
      </c>
      <c r="Q831" s="9" t="s">
        <v>2253</v>
      </c>
      <c r="R831" s="54" t="s">
        <v>2254</v>
      </c>
      <c r="S831" s="17" t="s">
        <v>2255</v>
      </c>
    </row>
    <row r="832" spans="1:19" ht="12.75">
      <c r="A832" s="10">
        <v>62</v>
      </c>
      <c r="B832" s="10">
        <v>2022</v>
      </c>
      <c r="C832" s="6" t="s">
        <v>102</v>
      </c>
      <c r="D832" s="48">
        <v>44686</v>
      </c>
      <c r="E832" s="6" t="s">
        <v>20</v>
      </c>
      <c r="F832" s="6" t="s">
        <v>73</v>
      </c>
      <c r="G832" s="10">
        <v>1</v>
      </c>
      <c r="H832" s="10">
        <v>4</v>
      </c>
      <c r="I832" s="10">
        <v>2</v>
      </c>
      <c r="J832" s="4" t="s">
        <v>71</v>
      </c>
      <c r="K832" s="4">
        <v>32969</v>
      </c>
      <c r="L832" s="4" t="s">
        <v>61</v>
      </c>
      <c r="M832" s="6" t="s">
        <v>2256</v>
      </c>
      <c r="N832" s="25" t="s">
        <v>20</v>
      </c>
      <c r="O832" s="6" t="s">
        <v>23</v>
      </c>
      <c r="P832" s="6" t="s">
        <v>23</v>
      </c>
      <c r="Q832" s="6" t="s">
        <v>23</v>
      </c>
      <c r="R832" s="19" t="s">
        <v>23</v>
      </c>
      <c r="S832" s="7" t="s">
        <v>23</v>
      </c>
    </row>
    <row r="833" spans="1:19" ht="12.75">
      <c r="A833" s="10">
        <v>62</v>
      </c>
      <c r="B833" s="10">
        <v>2022</v>
      </c>
      <c r="C833" s="6" t="s">
        <v>102</v>
      </c>
      <c r="D833" s="48">
        <v>44686</v>
      </c>
      <c r="E833" s="6" t="s">
        <v>20</v>
      </c>
      <c r="F833" s="6" t="s">
        <v>73</v>
      </c>
      <c r="G833" s="10">
        <v>1</v>
      </c>
      <c r="H833" s="10">
        <v>4</v>
      </c>
      <c r="I833" s="10">
        <v>3</v>
      </c>
      <c r="J833" s="4" t="s">
        <v>71</v>
      </c>
      <c r="K833" s="4">
        <v>34342</v>
      </c>
      <c r="L833" s="4" t="s">
        <v>61</v>
      </c>
      <c r="M833" s="6" t="s">
        <v>2257</v>
      </c>
      <c r="N833" s="25" t="s">
        <v>20</v>
      </c>
      <c r="O833" s="6" t="s">
        <v>23</v>
      </c>
      <c r="P833" s="6" t="s">
        <v>23</v>
      </c>
      <c r="Q833" s="6" t="s">
        <v>23</v>
      </c>
      <c r="R833" s="19" t="s">
        <v>23</v>
      </c>
      <c r="S833" s="7" t="s">
        <v>23</v>
      </c>
    </row>
    <row r="834" spans="1:19" ht="12.75">
      <c r="A834" s="10">
        <v>62</v>
      </c>
      <c r="B834" s="10">
        <v>2022</v>
      </c>
      <c r="C834" s="6" t="s">
        <v>102</v>
      </c>
      <c r="D834" s="48">
        <v>44686</v>
      </c>
      <c r="E834" s="6" t="s">
        <v>20</v>
      </c>
      <c r="F834" s="6" t="s">
        <v>73</v>
      </c>
      <c r="G834" s="10">
        <v>1</v>
      </c>
      <c r="H834" s="10">
        <v>4</v>
      </c>
      <c r="I834" s="10">
        <v>4</v>
      </c>
      <c r="J834" s="4" t="s">
        <v>71</v>
      </c>
      <c r="K834" s="4">
        <v>34894</v>
      </c>
      <c r="L834" s="4" t="s">
        <v>61</v>
      </c>
      <c r="M834" s="6" t="s">
        <v>2258</v>
      </c>
      <c r="N834" s="25" t="s">
        <v>20</v>
      </c>
      <c r="O834" s="6" t="s">
        <v>23</v>
      </c>
      <c r="P834" s="6" t="s">
        <v>23</v>
      </c>
      <c r="Q834" s="6" t="s">
        <v>23</v>
      </c>
      <c r="R834" s="19" t="s">
        <v>23</v>
      </c>
      <c r="S834" s="7" t="s">
        <v>23</v>
      </c>
    </row>
    <row r="835" spans="1:19" ht="12.75">
      <c r="A835" s="10">
        <v>63</v>
      </c>
      <c r="B835" s="10">
        <v>2022</v>
      </c>
      <c r="C835" s="6" t="s">
        <v>1824</v>
      </c>
      <c r="D835" s="48">
        <v>44691</v>
      </c>
      <c r="E835" s="6" t="s">
        <v>20</v>
      </c>
      <c r="F835" s="6" t="s">
        <v>37</v>
      </c>
      <c r="G835" s="10">
        <v>1</v>
      </c>
      <c r="H835" s="10">
        <v>1</v>
      </c>
      <c r="I835" s="10">
        <v>1</v>
      </c>
      <c r="J835" s="4" t="s">
        <v>64</v>
      </c>
      <c r="K835" s="4">
        <v>34774</v>
      </c>
      <c r="L835" s="4" t="s">
        <v>31</v>
      </c>
      <c r="M835" s="6" t="s">
        <v>2259</v>
      </c>
      <c r="N835" s="25" t="s">
        <v>33</v>
      </c>
      <c r="O835" s="6" t="s">
        <v>20</v>
      </c>
      <c r="P835" s="6">
        <v>0</v>
      </c>
      <c r="Q835" s="9" t="s">
        <v>2260</v>
      </c>
      <c r="R835" s="54" t="s">
        <v>2261</v>
      </c>
      <c r="S835" s="17" t="s">
        <v>2262</v>
      </c>
    </row>
    <row r="836" spans="1:19" ht="12.75">
      <c r="A836" s="10">
        <v>64</v>
      </c>
      <c r="B836" s="10">
        <v>2022</v>
      </c>
      <c r="C836" s="6" t="s">
        <v>19</v>
      </c>
      <c r="D836" s="48">
        <v>44691</v>
      </c>
      <c r="E836" s="6" t="s">
        <v>20</v>
      </c>
      <c r="F836" s="6" t="s">
        <v>45</v>
      </c>
      <c r="G836" s="10">
        <v>1</v>
      </c>
      <c r="H836" s="10">
        <v>2</v>
      </c>
      <c r="I836" s="10">
        <v>1</v>
      </c>
      <c r="J836" s="4" t="s">
        <v>71</v>
      </c>
      <c r="K836" s="4">
        <v>33617</v>
      </c>
      <c r="L836" s="4" t="s">
        <v>61</v>
      </c>
      <c r="M836" s="6" t="s">
        <v>2263</v>
      </c>
      <c r="N836" s="25" t="s">
        <v>20</v>
      </c>
      <c r="O836" s="6" t="s">
        <v>33</v>
      </c>
      <c r="P836" s="6">
        <v>1</v>
      </c>
      <c r="Q836" s="9" t="s">
        <v>23</v>
      </c>
      <c r="R836" s="54" t="s">
        <v>23</v>
      </c>
      <c r="S836" s="17" t="s">
        <v>2264</v>
      </c>
    </row>
    <row r="837" spans="1:19" ht="12.75">
      <c r="A837" s="10">
        <v>64</v>
      </c>
      <c r="B837" s="10">
        <v>2022</v>
      </c>
      <c r="C837" s="6" t="s">
        <v>19</v>
      </c>
      <c r="D837" s="48">
        <v>44691</v>
      </c>
      <c r="E837" s="6" t="s">
        <v>20</v>
      </c>
      <c r="F837" s="6" t="s">
        <v>45</v>
      </c>
      <c r="G837" s="10">
        <v>1</v>
      </c>
      <c r="H837" s="10">
        <v>2</v>
      </c>
      <c r="I837" s="10">
        <v>2</v>
      </c>
      <c r="J837" s="4" t="s">
        <v>23</v>
      </c>
      <c r="K837" s="4" t="s">
        <v>23</v>
      </c>
      <c r="L837" s="4" t="s">
        <v>23</v>
      </c>
      <c r="M837" s="6" t="s">
        <v>2265</v>
      </c>
      <c r="N837" s="25" t="s">
        <v>23</v>
      </c>
      <c r="O837" s="6" t="s">
        <v>23</v>
      </c>
      <c r="P837" s="6" t="s">
        <v>23</v>
      </c>
      <c r="Q837" s="9" t="s">
        <v>23</v>
      </c>
      <c r="R837" s="54" t="s">
        <v>23</v>
      </c>
      <c r="S837" s="7" t="s">
        <v>23</v>
      </c>
    </row>
    <row r="838" spans="1:19" ht="12.75">
      <c r="A838" s="10">
        <v>65</v>
      </c>
      <c r="B838" s="10">
        <v>2022</v>
      </c>
      <c r="C838" s="6" t="s">
        <v>102</v>
      </c>
      <c r="D838" s="48">
        <v>44691</v>
      </c>
      <c r="E838" s="6" t="s">
        <v>20</v>
      </c>
      <c r="F838" s="6" t="s">
        <v>55</v>
      </c>
      <c r="G838" s="10">
        <v>1</v>
      </c>
      <c r="H838" s="10">
        <v>7</v>
      </c>
      <c r="I838" s="10">
        <v>1</v>
      </c>
      <c r="J838" s="4" t="s">
        <v>71</v>
      </c>
      <c r="K838" s="4">
        <v>33530</v>
      </c>
      <c r="L838" s="4" t="s">
        <v>61</v>
      </c>
      <c r="M838" s="6" t="s">
        <v>2266</v>
      </c>
      <c r="N838" s="25" t="s">
        <v>20</v>
      </c>
      <c r="O838" s="6" t="s">
        <v>20</v>
      </c>
      <c r="P838" s="6">
        <v>0</v>
      </c>
      <c r="Q838" s="9" t="s">
        <v>2267</v>
      </c>
      <c r="R838" s="54" t="s">
        <v>2268</v>
      </c>
      <c r="S838" s="17" t="s">
        <v>2269</v>
      </c>
    </row>
    <row r="839" spans="1:19" ht="12.75">
      <c r="A839" s="10">
        <v>65</v>
      </c>
      <c r="B839" s="10">
        <v>2022</v>
      </c>
      <c r="C839" s="6" t="s">
        <v>102</v>
      </c>
      <c r="D839" s="48">
        <v>44691</v>
      </c>
      <c r="E839" s="6" t="s">
        <v>20</v>
      </c>
      <c r="F839" s="6" t="s">
        <v>55</v>
      </c>
      <c r="G839" s="10">
        <v>1</v>
      </c>
      <c r="H839" s="10">
        <v>7</v>
      </c>
      <c r="I839" s="10">
        <v>2</v>
      </c>
      <c r="J839" s="4" t="s">
        <v>71</v>
      </c>
      <c r="K839" s="4">
        <v>34107</v>
      </c>
      <c r="L839" s="4" t="s">
        <v>61</v>
      </c>
      <c r="M839" s="6" t="s">
        <v>2270</v>
      </c>
      <c r="N839" s="25" t="s">
        <v>33</v>
      </c>
      <c r="O839" s="6" t="s">
        <v>23</v>
      </c>
      <c r="P839" s="6" t="s">
        <v>23</v>
      </c>
      <c r="Q839" s="9" t="s">
        <v>23</v>
      </c>
      <c r="R839" s="54" t="s">
        <v>23</v>
      </c>
      <c r="S839" s="7" t="s">
        <v>23</v>
      </c>
    </row>
    <row r="840" spans="1:19" ht="12.75">
      <c r="A840" s="10">
        <v>65</v>
      </c>
      <c r="B840" s="10">
        <v>2022</v>
      </c>
      <c r="C840" s="6" t="s">
        <v>102</v>
      </c>
      <c r="D840" s="48">
        <v>44691</v>
      </c>
      <c r="E840" s="6" t="s">
        <v>20</v>
      </c>
      <c r="F840" s="6" t="s">
        <v>55</v>
      </c>
      <c r="G840" s="10">
        <v>1</v>
      </c>
      <c r="H840" s="10">
        <v>7</v>
      </c>
      <c r="I840" s="10">
        <v>3</v>
      </c>
      <c r="J840" s="4" t="s">
        <v>71</v>
      </c>
      <c r="K840" s="4">
        <v>34616</v>
      </c>
      <c r="L840" s="4" t="s">
        <v>61</v>
      </c>
      <c r="M840" s="6" t="s">
        <v>2271</v>
      </c>
      <c r="N840" s="25" t="s">
        <v>33</v>
      </c>
      <c r="O840" s="6" t="s">
        <v>23</v>
      </c>
      <c r="P840" s="6" t="s">
        <v>23</v>
      </c>
      <c r="Q840" s="9" t="s">
        <v>23</v>
      </c>
      <c r="R840" s="54" t="s">
        <v>23</v>
      </c>
      <c r="S840" s="7" t="s">
        <v>23</v>
      </c>
    </row>
    <row r="841" spans="1:19" ht="12.75">
      <c r="A841" s="10">
        <v>65</v>
      </c>
      <c r="B841" s="10">
        <v>2022</v>
      </c>
      <c r="C841" s="6" t="s">
        <v>102</v>
      </c>
      <c r="D841" s="48">
        <v>44691</v>
      </c>
      <c r="E841" s="6" t="s">
        <v>20</v>
      </c>
      <c r="F841" s="6" t="s">
        <v>55</v>
      </c>
      <c r="G841" s="10">
        <v>1</v>
      </c>
      <c r="H841" s="10">
        <v>7</v>
      </c>
      <c r="I841" s="10">
        <v>4</v>
      </c>
      <c r="J841" s="4" t="s">
        <v>71</v>
      </c>
      <c r="K841" s="4">
        <v>34617</v>
      </c>
      <c r="L841" s="4" t="s">
        <v>61</v>
      </c>
      <c r="M841" s="6" t="s">
        <v>2272</v>
      </c>
      <c r="N841" s="25" t="s">
        <v>33</v>
      </c>
      <c r="O841" s="6" t="s">
        <v>23</v>
      </c>
      <c r="P841" s="6" t="s">
        <v>23</v>
      </c>
      <c r="Q841" s="9" t="s">
        <v>23</v>
      </c>
      <c r="R841" s="54" t="s">
        <v>23</v>
      </c>
      <c r="S841" s="7" t="s">
        <v>23</v>
      </c>
    </row>
    <row r="842" spans="1:19" ht="12.75">
      <c r="A842" s="10">
        <v>65</v>
      </c>
      <c r="B842" s="10">
        <v>2022</v>
      </c>
      <c r="C842" s="6" t="s">
        <v>102</v>
      </c>
      <c r="D842" s="48">
        <v>44691</v>
      </c>
      <c r="E842" s="6" t="s">
        <v>20</v>
      </c>
      <c r="F842" s="6" t="s">
        <v>55</v>
      </c>
      <c r="G842" s="10">
        <v>1</v>
      </c>
      <c r="H842" s="10">
        <v>7</v>
      </c>
      <c r="I842" s="10">
        <v>5</v>
      </c>
      <c r="J842" s="4" t="s">
        <v>71</v>
      </c>
      <c r="K842" s="4">
        <v>34653</v>
      </c>
      <c r="L842" s="4" t="s">
        <v>61</v>
      </c>
      <c r="M842" s="6" t="s">
        <v>2273</v>
      </c>
      <c r="N842" s="25" t="s">
        <v>20</v>
      </c>
      <c r="O842" s="6" t="s">
        <v>23</v>
      </c>
      <c r="P842" s="6" t="s">
        <v>23</v>
      </c>
      <c r="Q842" s="9" t="s">
        <v>23</v>
      </c>
      <c r="R842" s="54" t="s">
        <v>23</v>
      </c>
      <c r="S842" s="7" t="s">
        <v>23</v>
      </c>
    </row>
    <row r="843" spans="1:19" ht="12.75">
      <c r="A843" s="10">
        <v>65</v>
      </c>
      <c r="B843" s="10">
        <v>2022</v>
      </c>
      <c r="C843" s="6" t="s">
        <v>102</v>
      </c>
      <c r="D843" s="48">
        <v>44691</v>
      </c>
      <c r="E843" s="6" t="s">
        <v>20</v>
      </c>
      <c r="F843" s="6" t="s">
        <v>55</v>
      </c>
      <c r="G843" s="10">
        <v>1</v>
      </c>
      <c r="H843" s="10">
        <v>7</v>
      </c>
      <c r="I843" s="10">
        <v>6</v>
      </c>
      <c r="J843" s="4" t="s">
        <v>71</v>
      </c>
      <c r="K843" s="4">
        <v>34676</v>
      </c>
      <c r="L843" s="4" t="s">
        <v>61</v>
      </c>
      <c r="M843" s="6" t="s">
        <v>2274</v>
      </c>
      <c r="N843" s="25" t="s">
        <v>33</v>
      </c>
      <c r="O843" s="6" t="s">
        <v>23</v>
      </c>
      <c r="P843" s="6" t="s">
        <v>23</v>
      </c>
      <c r="Q843" s="9" t="s">
        <v>23</v>
      </c>
      <c r="R843" s="54" t="s">
        <v>23</v>
      </c>
      <c r="S843" s="7" t="s">
        <v>23</v>
      </c>
    </row>
    <row r="844" spans="1:19" ht="12.75">
      <c r="A844" s="10">
        <v>65</v>
      </c>
      <c r="B844" s="10">
        <v>2022</v>
      </c>
      <c r="C844" s="6" t="s">
        <v>102</v>
      </c>
      <c r="D844" s="48">
        <v>44691</v>
      </c>
      <c r="E844" s="6" t="s">
        <v>20</v>
      </c>
      <c r="F844" s="6" t="s">
        <v>55</v>
      </c>
      <c r="G844" s="10">
        <v>1</v>
      </c>
      <c r="H844" s="10">
        <v>7</v>
      </c>
      <c r="I844" s="10">
        <v>7</v>
      </c>
      <c r="J844" s="4" t="s">
        <v>71</v>
      </c>
      <c r="K844" s="4">
        <v>34797</v>
      </c>
      <c r="L844" s="4" t="s">
        <v>61</v>
      </c>
      <c r="M844" s="6" t="s">
        <v>2275</v>
      </c>
      <c r="N844" s="25" t="s">
        <v>33</v>
      </c>
      <c r="O844" s="6" t="s">
        <v>23</v>
      </c>
      <c r="P844" s="6" t="s">
        <v>23</v>
      </c>
      <c r="Q844" s="9" t="s">
        <v>23</v>
      </c>
      <c r="R844" s="54" t="s">
        <v>23</v>
      </c>
      <c r="S844" s="7" t="s">
        <v>23</v>
      </c>
    </row>
    <row r="845" spans="1:19" ht="12.75">
      <c r="A845" s="10">
        <v>66</v>
      </c>
      <c r="B845" s="10">
        <v>2022</v>
      </c>
      <c r="C845" s="6" t="s">
        <v>102</v>
      </c>
      <c r="D845" s="48">
        <v>44692</v>
      </c>
      <c r="E845" s="6" t="s">
        <v>20</v>
      </c>
      <c r="F845" s="6" t="s">
        <v>53</v>
      </c>
      <c r="G845" s="10">
        <v>1</v>
      </c>
      <c r="H845" s="10">
        <v>1</v>
      </c>
      <c r="I845" s="10">
        <v>1</v>
      </c>
      <c r="J845" s="4" t="s">
        <v>30</v>
      </c>
      <c r="K845" s="4">
        <v>34929</v>
      </c>
      <c r="L845" s="4" t="s">
        <v>31</v>
      </c>
      <c r="M845" s="6" t="s">
        <v>2248</v>
      </c>
      <c r="N845" s="25" t="s">
        <v>20</v>
      </c>
      <c r="O845" s="6" t="s">
        <v>20</v>
      </c>
      <c r="P845" s="6">
        <v>0</v>
      </c>
      <c r="Q845" s="9" t="s">
        <v>2276</v>
      </c>
      <c r="R845" s="54" t="s">
        <v>2277</v>
      </c>
      <c r="S845" s="17" t="s">
        <v>2278</v>
      </c>
    </row>
    <row r="846" spans="1:19" ht="12.75">
      <c r="A846" s="10">
        <v>67</v>
      </c>
      <c r="B846" s="10">
        <v>2022</v>
      </c>
      <c r="C846" s="6" t="s">
        <v>102</v>
      </c>
      <c r="D846" s="48">
        <v>44693</v>
      </c>
      <c r="E846" s="6" t="s">
        <v>20</v>
      </c>
      <c r="F846" s="6" t="s">
        <v>39</v>
      </c>
      <c r="G846" s="10">
        <v>1</v>
      </c>
      <c r="H846" s="10">
        <v>2</v>
      </c>
      <c r="I846" s="10">
        <v>1</v>
      </c>
      <c r="J846" s="4" t="s">
        <v>71</v>
      </c>
      <c r="K846" s="4">
        <v>34311</v>
      </c>
      <c r="L846" s="4" t="s">
        <v>61</v>
      </c>
      <c r="M846" s="6" t="s">
        <v>2279</v>
      </c>
      <c r="N846" s="25" t="s">
        <v>20</v>
      </c>
      <c r="O846" s="6" t="s">
        <v>33</v>
      </c>
      <c r="P846" s="6">
        <v>2</v>
      </c>
      <c r="Q846" s="9" t="s">
        <v>2280</v>
      </c>
      <c r="R846" s="54" t="s">
        <v>2281</v>
      </c>
      <c r="S846" s="17" t="s">
        <v>2282</v>
      </c>
    </row>
    <row r="847" spans="1:19" ht="12.75">
      <c r="A847" s="10">
        <v>67</v>
      </c>
      <c r="B847" s="10">
        <v>2022</v>
      </c>
      <c r="C847" s="6" t="s">
        <v>102</v>
      </c>
      <c r="D847" s="48">
        <v>44693</v>
      </c>
      <c r="E847" s="6" t="s">
        <v>20</v>
      </c>
      <c r="F847" s="6" t="s">
        <v>39</v>
      </c>
      <c r="G847" s="10">
        <v>1</v>
      </c>
      <c r="H847" s="10">
        <v>2</v>
      </c>
      <c r="I847" s="10">
        <v>2</v>
      </c>
      <c r="J847" s="4" t="s">
        <v>71</v>
      </c>
      <c r="K847" s="4">
        <v>34652</v>
      </c>
      <c r="L847" s="4" t="s">
        <v>61</v>
      </c>
      <c r="M847" s="6" t="s">
        <v>2283</v>
      </c>
      <c r="N847" s="25" t="s">
        <v>20</v>
      </c>
      <c r="O847" s="6" t="s">
        <v>23</v>
      </c>
      <c r="P847" s="6" t="s">
        <v>23</v>
      </c>
      <c r="Q847" s="9" t="s">
        <v>23</v>
      </c>
      <c r="R847" s="54" t="s">
        <v>23</v>
      </c>
      <c r="S847" s="7" t="s">
        <v>23</v>
      </c>
    </row>
    <row r="848" spans="1:19" ht="12.75">
      <c r="A848" s="10">
        <v>68</v>
      </c>
      <c r="B848" s="10">
        <v>2022</v>
      </c>
      <c r="C848" s="6" t="s">
        <v>102</v>
      </c>
      <c r="D848" s="48">
        <v>44693</v>
      </c>
      <c r="E848" s="6" t="s">
        <v>20</v>
      </c>
      <c r="F848" s="6" t="s">
        <v>471</v>
      </c>
      <c r="G848" s="10">
        <v>1</v>
      </c>
      <c r="H848" s="10">
        <v>1</v>
      </c>
      <c r="I848" s="10">
        <v>1</v>
      </c>
      <c r="J848" s="4" t="s">
        <v>23</v>
      </c>
      <c r="K848" s="4" t="s">
        <v>23</v>
      </c>
      <c r="L848" s="4" t="s">
        <v>23</v>
      </c>
      <c r="M848" s="6" t="s">
        <v>2284</v>
      </c>
      <c r="N848" s="25" t="s">
        <v>23</v>
      </c>
      <c r="O848" s="6" t="s">
        <v>33</v>
      </c>
      <c r="P848" s="6">
        <v>1</v>
      </c>
      <c r="Q848" s="9" t="s">
        <v>2285</v>
      </c>
      <c r="R848" s="54" t="s">
        <v>2286</v>
      </c>
      <c r="S848" s="17" t="s">
        <v>2287</v>
      </c>
    </row>
    <row r="849" spans="1:19" ht="12.75">
      <c r="A849" s="10">
        <v>69</v>
      </c>
      <c r="B849" s="10">
        <v>2022</v>
      </c>
      <c r="C849" s="6" t="s">
        <v>1824</v>
      </c>
      <c r="D849" s="48">
        <v>44698</v>
      </c>
      <c r="E849" s="6" t="s">
        <v>33</v>
      </c>
      <c r="F849" s="6" t="s">
        <v>2288</v>
      </c>
      <c r="G849" s="18">
        <v>4</v>
      </c>
      <c r="H849" s="10">
        <v>8</v>
      </c>
      <c r="I849" s="10">
        <v>1</v>
      </c>
      <c r="J849" s="4" t="s">
        <v>71</v>
      </c>
      <c r="K849" s="4">
        <v>33443</v>
      </c>
      <c r="L849" s="4" t="s">
        <v>61</v>
      </c>
      <c r="M849" s="6" t="s">
        <v>2289</v>
      </c>
      <c r="N849" s="25" t="s">
        <v>20</v>
      </c>
      <c r="O849" s="6" t="s">
        <v>33</v>
      </c>
      <c r="P849" s="6">
        <v>4</v>
      </c>
      <c r="Q849" s="9" t="s">
        <v>2290</v>
      </c>
      <c r="R849" s="54" t="s">
        <v>2291</v>
      </c>
      <c r="S849" s="17" t="s">
        <v>2292</v>
      </c>
    </row>
    <row r="850" spans="1:19" ht="12.75">
      <c r="A850" s="10">
        <v>69</v>
      </c>
      <c r="B850" s="10">
        <v>2022</v>
      </c>
      <c r="C850" s="6" t="s">
        <v>1824</v>
      </c>
      <c r="D850" s="48">
        <v>44698</v>
      </c>
      <c r="E850" s="6" t="s">
        <v>33</v>
      </c>
      <c r="F850" s="6" t="s">
        <v>2288</v>
      </c>
      <c r="G850" s="10">
        <v>4</v>
      </c>
      <c r="H850" s="10">
        <v>8</v>
      </c>
      <c r="I850" s="10">
        <v>2</v>
      </c>
      <c r="J850" s="4" t="s">
        <v>71</v>
      </c>
      <c r="K850" s="4">
        <v>33454</v>
      </c>
      <c r="L850" s="4" t="s">
        <v>61</v>
      </c>
      <c r="M850" s="6" t="s">
        <v>2293</v>
      </c>
      <c r="N850" s="25" t="s">
        <v>20</v>
      </c>
      <c r="O850" s="6" t="s">
        <v>23</v>
      </c>
      <c r="P850" s="6" t="s">
        <v>23</v>
      </c>
      <c r="Q850" s="6" t="s">
        <v>23</v>
      </c>
      <c r="R850" s="19" t="s">
        <v>23</v>
      </c>
      <c r="S850" s="7" t="s">
        <v>23</v>
      </c>
    </row>
    <row r="851" spans="1:19" ht="15.75" customHeight="1">
      <c r="A851" s="10">
        <v>69</v>
      </c>
      <c r="B851" s="10">
        <v>2022</v>
      </c>
      <c r="C851" s="6" t="s">
        <v>1824</v>
      </c>
      <c r="D851" s="48">
        <v>44698</v>
      </c>
      <c r="E851" s="6" t="s">
        <v>33</v>
      </c>
      <c r="F851" s="6" t="s">
        <v>2288</v>
      </c>
      <c r="G851" s="10">
        <v>4</v>
      </c>
      <c r="H851" s="10">
        <v>8</v>
      </c>
      <c r="I851" s="10">
        <v>3</v>
      </c>
      <c r="J851" s="4" t="s">
        <v>71</v>
      </c>
      <c r="K851" s="4">
        <v>32768</v>
      </c>
      <c r="L851" s="4" t="s">
        <v>61</v>
      </c>
      <c r="M851" s="6" t="s">
        <v>2294</v>
      </c>
      <c r="N851" s="25" t="s">
        <v>20</v>
      </c>
      <c r="O851" s="6" t="s">
        <v>23</v>
      </c>
      <c r="P851" s="6" t="s">
        <v>23</v>
      </c>
      <c r="Q851" s="6" t="s">
        <v>23</v>
      </c>
      <c r="R851" s="19" t="s">
        <v>23</v>
      </c>
      <c r="S851" s="7" t="s">
        <v>23</v>
      </c>
    </row>
    <row r="852" spans="1:19" ht="15.75" customHeight="1">
      <c r="A852" s="10">
        <v>69</v>
      </c>
      <c r="B852" s="10">
        <v>2022</v>
      </c>
      <c r="C852" s="6" t="s">
        <v>1824</v>
      </c>
      <c r="D852" s="48">
        <v>44698</v>
      </c>
      <c r="E852" s="6" t="s">
        <v>33</v>
      </c>
      <c r="F852" s="6" t="s">
        <v>2288</v>
      </c>
      <c r="G852" s="10">
        <v>4</v>
      </c>
      <c r="H852" s="10">
        <v>8</v>
      </c>
      <c r="I852" s="10">
        <v>4</v>
      </c>
      <c r="J852" s="4" t="s">
        <v>71</v>
      </c>
      <c r="K852" s="4">
        <v>33809</v>
      </c>
      <c r="L852" s="4" t="s">
        <v>61</v>
      </c>
      <c r="M852" s="6" t="s">
        <v>2295</v>
      </c>
      <c r="N852" s="25" t="s">
        <v>20</v>
      </c>
      <c r="O852" s="6" t="s">
        <v>23</v>
      </c>
      <c r="P852" s="6" t="s">
        <v>23</v>
      </c>
      <c r="Q852" s="6" t="s">
        <v>23</v>
      </c>
      <c r="R852" s="19" t="s">
        <v>23</v>
      </c>
      <c r="S852" s="7" t="s">
        <v>23</v>
      </c>
    </row>
    <row r="853" spans="1:19" ht="15.75" customHeight="1">
      <c r="A853" s="10">
        <v>69</v>
      </c>
      <c r="B853" s="10">
        <v>2022</v>
      </c>
      <c r="C853" s="6" t="s">
        <v>1824</v>
      </c>
      <c r="D853" s="48">
        <v>44698</v>
      </c>
      <c r="E853" s="6" t="s">
        <v>33</v>
      </c>
      <c r="F853" s="6" t="s">
        <v>2288</v>
      </c>
      <c r="G853" s="10">
        <v>4</v>
      </c>
      <c r="H853" s="10">
        <v>8</v>
      </c>
      <c r="I853" s="10">
        <v>5</v>
      </c>
      <c r="J853" s="4" t="s">
        <v>71</v>
      </c>
      <c r="K853" s="4">
        <v>34123</v>
      </c>
      <c r="L853" s="4" t="s">
        <v>61</v>
      </c>
      <c r="M853" s="6" t="s">
        <v>2296</v>
      </c>
      <c r="N853" s="25" t="s">
        <v>20</v>
      </c>
      <c r="O853" s="6" t="s">
        <v>23</v>
      </c>
      <c r="P853" s="6" t="s">
        <v>23</v>
      </c>
      <c r="Q853" s="6" t="s">
        <v>23</v>
      </c>
      <c r="R853" s="19" t="s">
        <v>23</v>
      </c>
      <c r="S853" s="7" t="s">
        <v>23</v>
      </c>
    </row>
    <row r="854" spans="1:19" ht="15.75" customHeight="1">
      <c r="A854" s="10">
        <v>69</v>
      </c>
      <c r="B854" s="10">
        <v>2022</v>
      </c>
      <c r="C854" s="6" t="s">
        <v>1824</v>
      </c>
      <c r="D854" s="48">
        <v>44698</v>
      </c>
      <c r="E854" s="6" t="s">
        <v>33</v>
      </c>
      <c r="F854" s="6" t="s">
        <v>2288</v>
      </c>
      <c r="G854" s="10">
        <v>4</v>
      </c>
      <c r="H854" s="10">
        <v>8</v>
      </c>
      <c r="I854" s="10">
        <v>6</v>
      </c>
      <c r="J854" s="4" t="s">
        <v>71</v>
      </c>
      <c r="K854" s="4">
        <v>34363</v>
      </c>
      <c r="L854" s="4" t="s">
        <v>61</v>
      </c>
      <c r="M854" s="6" t="s">
        <v>2297</v>
      </c>
      <c r="N854" s="25" t="s">
        <v>20</v>
      </c>
      <c r="O854" s="6" t="s">
        <v>23</v>
      </c>
      <c r="P854" s="6" t="s">
        <v>23</v>
      </c>
      <c r="Q854" s="6" t="s">
        <v>23</v>
      </c>
      <c r="R854" s="19" t="s">
        <v>23</v>
      </c>
      <c r="S854" s="7" t="s">
        <v>23</v>
      </c>
    </row>
    <row r="855" spans="1:19" ht="15.75" customHeight="1">
      <c r="A855" s="10">
        <v>69</v>
      </c>
      <c r="B855" s="10">
        <v>2022</v>
      </c>
      <c r="C855" s="6" t="s">
        <v>1824</v>
      </c>
      <c r="D855" s="48">
        <v>44698</v>
      </c>
      <c r="E855" s="6" t="s">
        <v>33</v>
      </c>
      <c r="F855" s="6" t="s">
        <v>2288</v>
      </c>
      <c r="G855" s="10">
        <v>4</v>
      </c>
      <c r="H855" s="10">
        <v>8</v>
      </c>
      <c r="I855" s="10">
        <v>7</v>
      </c>
      <c r="J855" s="4" t="s">
        <v>71</v>
      </c>
      <c r="K855" s="4">
        <v>34825</v>
      </c>
      <c r="L855" s="4" t="s">
        <v>61</v>
      </c>
      <c r="M855" s="6" t="s">
        <v>2298</v>
      </c>
      <c r="N855" s="25" t="s">
        <v>20</v>
      </c>
      <c r="O855" s="6" t="s">
        <v>23</v>
      </c>
      <c r="P855" s="6" t="s">
        <v>23</v>
      </c>
      <c r="Q855" s="6" t="s">
        <v>23</v>
      </c>
      <c r="R855" s="19" t="s">
        <v>23</v>
      </c>
      <c r="S855" s="7" t="s">
        <v>23</v>
      </c>
    </row>
    <row r="856" spans="1:19" ht="15.75" customHeight="1">
      <c r="A856" s="10">
        <v>69</v>
      </c>
      <c r="B856" s="10">
        <v>2022</v>
      </c>
      <c r="C856" s="6" t="s">
        <v>1824</v>
      </c>
      <c r="D856" s="48">
        <v>44698</v>
      </c>
      <c r="E856" s="6" t="s">
        <v>33</v>
      </c>
      <c r="F856" s="6" t="s">
        <v>2288</v>
      </c>
      <c r="G856" s="10">
        <v>4</v>
      </c>
      <c r="H856" s="10">
        <v>8</v>
      </c>
      <c r="I856" s="10">
        <v>8</v>
      </c>
      <c r="J856" s="4" t="s">
        <v>71</v>
      </c>
      <c r="K856" s="4">
        <v>34998</v>
      </c>
      <c r="L856" s="4" t="s">
        <v>61</v>
      </c>
      <c r="M856" s="6" t="s">
        <v>2299</v>
      </c>
      <c r="N856" s="25" t="s">
        <v>20</v>
      </c>
      <c r="O856" s="6" t="s">
        <v>23</v>
      </c>
      <c r="P856" s="6" t="s">
        <v>23</v>
      </c>
      <c r="Q856" s="6" t="s">
        <v>23</v>
      </c>
      <c r="R856" s="19" t="s">
        <v>23</v>
      </c>
      <c r="S856" s="7" t="s">
        <v>23</v>
      </c>
    </row>
    <row r="857" spans="1:19" ht="15.75" customHeight="1">
      <c r="A857" s="10">
        <v>70</v>
      </c>
      <c r="B857" s="10">
        <v>2022</v>
      </c>
      <c r="C857" s="6" t="s">
        <v>102</v>
      </c>
      <c r="D857" s="48">
        <v>44700</v>
      </c>
      <c r="E857" s="6" t="s">
        <v>33</v>
      </c>
      <c r="F857" s="6" t="s">
        <v>2300</v>
      </c>
      <c r="G857" s="10">
        <v>2</v>
      </c>
      <c r="H857" s="10">
        <v>1</v>
      </c>
      <c r="I857" s="10">
        <v>1</v>
      </c>
      <c r="J857" s="4" t="s">
        <v>30</v>
      </c>
      <c r="K857" s="4">
        <v>29532</v>
      </c>
      <c r="L857" s="4" t="s">
        <v>61</v>
      </c>
      <c r="M857" s="6" t="s">
        <v>2301</v>
      </c>
      <c r="N857" s="25" t="s">
        <v>20</v>
      </c>
      <c r="O857" s="6" t="s">
        <v>33</v>
      </c>
      <c r="P857" s="6">
        <v>1</v>
      </c>
      <c r="Q857" s="9" t="s">
        <v>2302</v>
      </c>
      <c r="R857" s="54" t="s">
        <v>2303</v>
      </c>
      <c r="S857" s="17" t="s">
        <v>2304</v>
      </c>
    </row>
    <row r="858" spans="1:19" ht="15.75" customHeight="1">
      <c r="A858" s="10">
        <v>71</v>
      </c>
      <c r="B858" s="10">
        <v>2022</v>
      </c>
      <c r="C858" s="6" t="s">
        <v>102</v>
      </c>
      <c r="D858" s="48">
        <v>44700</v>
      </c>
      <c r="E858" s="6" t="s">
        <v>20</v>
      </c>
      <c r="F858" s="6" t="s">
        <v>47</v>
      </c>
      <c r="G858" s="10">
        <v>1</v>
      </c>
      <c r="H858" s="10">
        <v>1</v>
      </c>
      <c r="I858" s="10">
        <v>1</v>
      </c>
      <c r="J858" s="4" t="s">
        <v>30</v>
      </c>
      <c r="K858" s="4">
        <v>34930</v>
      </c>
      <c r="L858" s="4" t="s">
        <v>31</v>
      </c>
      <c r="M858" s="6" t="s">
        <v>2305</v>
      </c>
      <c r="N858" s="25" t="s">
        <v>33</v>
      </c>
      <c r="O858" s="6" t="s">
        <v>20</v>
      </c>
      <c r="P858" s="6">
        <v>0</v>
      </c>
      <c r="Q858" s="17" t="s">
        <v>2306</v>
      </c>
      <c r="R858" s="54" t="s">
        <v>2307</v>
      </c>
      <c r="S858" s="17" t="s">
        <v>2308</v>
      </c>
    </row>
    <row r="859" spans="1:19" ht="15.75" customHeight="1">
      <c r="A859" s="10">
        <v>72</v>
      </c>
      <c r="B859" s="10">
        <v>2022</v>
      </c>
      <c r="C859" s="6" t="s">
        <v>102</v>
      </c>
      <c r="D859" s="48">
        <v>44700</v>
      </c>
      <c r="E859" s="6" t="s">
        <v>33</v>
      </c>
      <c r="F859" s="6" t="s">
        <v>1980</v>
      </c>
      <c r="G859" s="10">
        <v>2</v>
      </c>
      <c r="H859" s="10">
        <v>2</v>
      </c>
      <c r="I859" s="10">
        <v>1</v>
      </c>
      <c r="J859" s="4" t="s">
        <v>30</v>
      </c>
      <c r="K859" s="4">
        <v>34717</v>
      </c>
      <c r="L859" s="4" t="s">
        <v>31</v>
      </c>
      <c r="M859" s="6" t="s">
        <v>2309</v>
      </c>
      <c r="N859" s="25" t="s">
        <v>33</v>
      </c>
      <c r="O859" s="6" t="s">
        <v>33</v>
      </c>
      <c r="P859" s="6">
        <v>2</v>
      </c>
      <c r="Q859" s="9" t="s">
        <v>2310</v>
      </c>
      <c r="R859" s="54" t="s">
        <v>2311</v>
      </c>
      <c r="S859" s="30" t="s">
        <v>2312</v>
      </c>
    </row>
    <row r="860" spans="1:19" ht="15.75" customHeight="1">
      <c r="A860" s="10">
        <v>72</v>
      </c>
      <c r="B860" s="10">
        <v>2022</v>
      </c>
      <c r="C860" s="6" t="s">
        <v>102</v>
      </c>
      <c r="D860" s="48">
        <v>44700</v>
      </c>
      <c r="E860" s="6" t="s">
        <v>33</v>
      </c>
      <c r="F860" s="6" t="s">
        <v>1980</v>
      </c>
      <c r="G860" s="10">
        <v>2</v>
      </c>
      <c r="H860" s="10">
        <v>2</v>
      </c>
      <c r="I860" s="10">
        <v>2</v>
      </c>
      <c r="J860" s="4" t="s">
        <v>30</v>
      </c>
      <c r="K860" s="4">
        <v>34990</v>
      </c>
      <c r="L860" s="4" t="s">
        <v>31</v>
      </c>
      <c r="M860" s="6" t="s">
        <v>2313</v>
      </c>
      <c r="N860" s="25" t="s">
        <v>33</v>
      </c>
      <c r="O860" s="6" t="s">
        <v>23</v>
      </c>
      <c r="P860" s="6" t="s">
        <v>23</v>
      </c>
      <c r="Q860" s="9" t="s">
        <v>23</v>
      </c>
      <c r="R860" s="54" t="s">
        <v>23</v>
      </c>
      <c r="S860" s="7" t="s">
        <v>23</v>
      </c>
    </row>
    <row r="861" spans="1:19" ht="15.75" customHeight="1">
      <c r="A861" s="10">
        <v>73</v>
      </c>
      <c r="B861" s="10">
        <v>2022</v>
      </c>
      <c r="C861" s="6" t="s">
        <v>102</v>
      </c>
      <c r="D861" s="48">
        <v>44705</v>
      </c>
      <c r="E861" s="6" t="s">
        <v>33</v>
      </c>
      <c r="F861" s="6" t="s">
        <v>2314</v>
      </c>
      <c r="G861" s="10">
        <v>3</v>
      </c>
      <c r="H861" s="10">
        <v>1</v>
      </c>
      <c r="I861" s="10">
        <v>1</v>
      </c>
      <c r="J861" s="4" t="s">
        <v>30</v>
      </c>
      <c r="K861" s="4">
        <v>35051</v>
      </c>
      <c r="L861" s="4" t="s">
        <v>61</v>
      </c>
      <c r="M861" s="6" t="s">
        <v>2315</v>
      </c>
      <c r="N861" s="25" t="s">
        <v>20</v>
      </c>
      <c r="O861" s="6" t="s">
        <v>33</v>
      </c>
      <c r="P861" s="6">
        <v>1</v>
      </c>
      <c r="Q861" s="9" t="s">
        <v>2316</v>
      </c>
      <c r="R861" s="54" t="s">
        <v>2317</v>
      </c>
      <c r="S861" s="17" t="s">
        <v>2318</v>
      </c>
    </row>
    <row r="862" spans="1:19" ht="15.75" customHeight="1">
      <c r="A862" s="10">
        <v>74</v>
      </c>
      <c r="B862" s="10">
        <v>2022</v>
      </c>
      <c r="C862" s="6" t="s">
        <v>19</v>
      </c>
      <c r="D862" s="48">
        <v>44705</v>
      </c>
      <c r="E862" s="6" t="s">
        <v>20</v>
      </c>
      <c r="F862" s="6" t="s">
        <v>45</v>
      </c>
      <c r="G862" s="10">
        <v>1</v>
      </c>
      <c r="H862" s="10">
        <v>1</v>
      </c>
      <c r="I862" s="10">
        <v>1</v>
      </c>
      <c r="J862" s="4" t="s">
        <v>23</v>
      </c>
      <c r="K862" s="4" t="s">
        <v>23</v>
      </c>
      <c r="L862" s="4" t="s">
        <v>23</v>
      </c>
      <c r="M862" s="6" t="s">
        <v>2319</v>
      </c>
      <c r="N862" s="25" t="s">
        <v>23</v>
      </c>
      <c r="O862" s="6" t="s">
        <v>20</v>
      </c>
      <c r="P862" s="6">
        <v>0</v>
      </c>
      <c r="Q862" s="9" t="s">
        <v>23</v>
      </c>
      <c r="R862" s="54" t="s">
        <v>23</v>
      </c>
      <c r="S862" s="17" t="s">
        <v>2320</v>
      </c>
    </row>
    <row r="863" spans="1:19" ht="15.75" customHeight="1">
      <c r="A863" s="10">
        <v>75</v>
      </c>
      <c r="B863" s="10">
        <v>2022</v>
      </c>
      <c r="C863" s="6" t="s">
        <v>102</v>
      </c>
      <c r="D863" s="48">
        <v>44705</v>
      </c>
      <c r="E863" s="6" t="s">
        <v>20</v>
      </c>
      <c r="F863" s="6" t="s">
        <v>47</v>
      </c>
      <c r="G863" s="10">
        <v>1</v>
      </c>
      <c r="H863" s="10">
        <v>1</v>
      </c>
      <c r="I863" s="10">
        <v>1</v>
      </c>
      <c r="J863" s="4" t="s">
        <v>30</v>
      </c>
      <c r="K863" s="4">
        <v>35067</v>
      </c>
      <c r="L863" s="4" t="s">
        <v>31</v>
      </c>
      <c r="M863" s="6" t="s">
        <v>2321</v>
      </c>
      <c r="N863" s="25" t="s">
        <v>33</v>
      </c>
      <c r="O863" s="6" t="s">
        <v>20</v>
      </c>
      <c r="P863" s="6">
        <v>0</v>
      </c>
      <c r="Q863" s="17" t="s">
        <v>2322</v>
      </c>
      <c r="R863" s="54" t="s">
        <v>2323</v>
      </c>
      <c r="S863" s="17" t="s">
        <v>2324</v>
      </c>
    </row>
    <row r="864" spans="1:19" ht="15.75" customHeight="1">
      <c r="A864" s="10">
        <v>76</v>
      </c>
      <c r="B864" s="10">
        <v>2022</v>
      </c>
      <c r="C864" s="6" t="s">
        <v>102</v>
      </c>
      <c r="D864" s="48">
        <v>44707</v>
      </c>
      <c r="E864" s="6" t="s">
        <v>33</v>
      </c>
      <c r="F864" s="6" t="s">
        <v>2325</v>
      </c>
      <c r="G864" s="10">
        <v>2</v>
      </c>
      <c r="H864" s="10">
        <v>2</v>
      </c>
      <c r="I864" s="10">
        <v>1</v>
      </c>
      <c r="J864" s="4" t="s">
        <v>71</v>
      </c>
      <c r="K864" s="4">
        <v>34083</v>
      </c>
      <c r="L864" s="4" t="s">
        <v>61</v>
      </c>
      <c r="M864" s="6" t="s">
        <v>2326</v>
      </c>
      <c r="N864" s="25" t="s">
        <v>20</v>
      </c>
      <c r="O864" s="6" t="s">
        <v>33</v>
      </c>
      <c r="P864" s="6">
        <v>4</v>
      </c>
      <c r="Q864" s="9" t="s">
        <v>2327</v>
      </c>
      <c r="R864" s="54" t="s">
        <v>2328</v>
      </c>
      <c r="S864" s="34" t="s">
        <v>2329</v>
      </c>
    </row>
    <row r="865" spans="1:19" ht="15.75" customHeight="1">
      <c r="A865" s="10">
        <v>76</v>
      </c>
      <c r="B865" s="10">
        <v>2022</v>
      </c>
      <c r="C865" s="6" t="s">
        <v>102</v>
      </c>
      <c r="D865" s="48">
        <v>44707</v>
      </c>
      <c r="E865" s="6" t="s">
        <v>33</v>
      </c>
      <c r="F865" s="6" t="s">
        <v>2325</v>
      </c>
      <c r="G865" s="10">
        <v>2</v>
      </c>
      <c r="H865" s="10">
        <v>2</v>
      </c>
      <c r="I865" s="10">
        <v>2</v>
      </c>
      <c r="J865" s="4" t="s">
        <v>71</v>
      </c>
      <c r="K865" s="4">
        <v>34657</v>
      </c>
      <c r="L865" s="4" t="s">
        <v>61</v>
      </c>
      <c r="M865" s="6" t="s">
        <v>2330</v>
      </c>
      <c r="N865" s="25" t="s">
        <v>20</v>
      </c>
      <c r="O865" s="6" t="s">
        <v>23</v>
      </c>
      <c r="P865" s="6" t="s">
        <v>23</v>
      </c>
      <c r="Q865" s="9" t="s">
        <v>23</v>
      </c>
      <c r="R865" s="54" t="s">
        <v>23</v>
      </c>
      <c r="S865" s="9" t="s">
        <v>23</v>
      </c>
    </row>
    <row r="866" spans="1:19" ht="15.75" customHeight="1">
      <c r="A866" s="10">
        <v>77</v>
      </c>
      <c r="B866" s="10">
        <v>2022</v>
      </c>
      <c r="C866" s="6" t="s">
        <v>102</v>
      </c>
      <c r="D866" s="48">
        <v>44712</v>
      </c>
      <c r="E866" s="6" t="s">
        <v>33</v>
      </c>
      <c r="F866" s="6" t="s">
        <v>1591</v>
      </c>
      <c r="G866" s="10">
        <v>2</v>
      </c>
      <c r="H866" s="10">
        <v>1</v>
      </c>
      <c r="I866" s="10">
        <v>1</v>
      </c>
      <c r="J866" s="4" t="s">
        <v>30</v>
      </c>
      <c r="K866" s="4">
        <v>31520</v>
      </c>
      <c r="L866" s="4" t="s">
        <v>61</v>
      </c>
      <c r="M866" s="6" t="s">
        <v>2162</v>
      </c>
      <c r="N866" s="25" t="s">
        <v>33</v>
      </c>
      <c r="O866" s="6" t="s">
        <v>20</v>
      </c>
      <c r="P866" s="6">
        <v>0</v>
      </c>
      <c r="Q866" s="9" t="s">
        <v>2331</v>
      </c>
      <c r="R866" s="54" t="s">
        <v>2332</v>
      </c>
      <c r="S866" s="24" t="s">
        <v>2333</v>
      </c>
    </row>
    <row r="867" spans="1:19" ht="15.75" customHeight="1">
      <c r="A867" s="10">
        <v>78</v>
      </c>
      <c r="B867" s="10">
        <v>2022</v>
      </c>
      <c r="C867" s="6" t="s">
        <v>102</v>
      </c>
      <c r="D867" s="48">
        <v>44712</v>
      </c>
      <c r="E867" s="6" t="s">
        <v>33</v>
      </c>
      <c r="F867" s="6" t="s">
        <v>2334</v>
      </c>
      <c r="G867" s="10">
        <v>2</v>
      </c>
      <c r="H867" s="10">
        <v>1</v>
      </c>
      <c r="I867" s="10">
        <v>1</v>
      </c>
      <c r="J867" s="4" t="s">
        <v>30</v>
      </c>
      <c r="K867" s="4">
        <v>35051</v>
      </c>
      <c r="L867" s="4" t="s">
        <v>61</v>
      </c>
      <c r="M867" s="6" t="s">
        <v>2315</v>
      </c>
      <c r="N867" s="25" t="s">
        <v>33</v>
      </c>
      <c r="O867" s="6" t="s">
        <v>20</v>
      </c>
      <c r="P867" s="6">
        <v>0</v>
      </c>
      <c r="Q867" s="9" t="s">
        <v>2335</v>
      </c>
      <c r="R867" s="54" t="s">
        <v>2336</v>
      </c>
      <c r="S867" s="17" t="s">
        <v>2337</v>
      </c>
    </row>
    <row r="868" spans="1:19" ht="15.75" customHeight="1">
      <c r="A868" s="10">
        <v>79</v>
      </c>
      <c r="B868" s="10">
        <v>2022</v>
      </c>
      <c r="C868" s="6" t="s">
        <v>102</v>
      </c>
      <c r="D868" s="48">
        <v>44713</v>
      </c>
      <c r="E868" s="6" t="s">
        <v>20</v>
      </c>
      <c r="F868" s="6" t="s">
        <v>53</v>
      </c>
      <c r="G868" s="10">
        <v>1</v>
      </c>
      <c r="H868" s="10">
        <v>3</v>
      </c>
      <c r="I868" s="10">
        <v>1</v>
      </c>
      <c r="J868" s="4" t="s">
        <v>30</v>
      </c>
      <c r="K868" s="4">
        <v>34930</v>
      </c>
      <c r="L868" s="4" t="s">
        <v>31</v>
      </c>
      <c r="M868" s="6" t="s">
        <v>2338</v>
      </c>
      <c r="N868" s="25" t="s">
        <v>33</v>
      </c>
      <c r="O868" s="6" t="s">
        <v>20</v>
      </c>
      <c r="P868" s="6">
        <v>0</v>
      </c>
      <c r="Q868" s="9" t="s">
        <v>2339</v>
      </c>
      <c r="R868" s="54" t="s">
        <v>23</v>
      </c>
      <c r="S868" s="17" t="s">
        <v>2340</v>
      </c>
    </row>
    <row r="869" spans="1:19" ht="15.75" customHeight="1">
      <c r="A869" s="10">
        <v>79</v>
      </c>
      <c r="B869" s="10">
        <v>2022</v>
      </c>
      <c r="C869" s="6" t="s">
        <v>102</v>
      </c>
      <c r="D869" s="48">
        <v>44713</v>
      </c>
      <c r="E869" s="6" t="s">
        <v>20</v>
      </c>
      <c r="F869" s="6" t="s">
        <v>53</v>
      </c>
      <c r="G869" s="10">
        <v>1</v>
      </c>
      <c r="H869" s="10">
        <v>3</v>
      </c>
      <c r="I869" s="10">
        <v>2</v>
      </c>
      <c r="J869" s="4" t="s">
        <v>30</v>
      </c>
      <c r="K869" s="4">
        <v>35067</v>
      </c>
      <c r="L869" s="4" t="s">
        <v>31</v>
      </c>
      <c r="M869" s="6" t="s">
        <v>2341</v>
      </c>
      <c r="N869" s="25" t="s">
        <v>33</v>
      </c>
      <c r="O869" s="6" t="s">
        <v>23</v>
      </c>
      <c r="P869" s="6" t="s">
        <v>23</v>
      </c>
      <c r="Q869" s="9" t="s">
        <v>23</v>
      </c>
      <c r="R869" s="54" t="s">
        <v>23</v>
      </c>
      <c r="S869" s="9" t="s">
        <v>23</v>
      </c>
    </row>
    <row r="870" spans="1:19" ht="15.75" customHeight="1">
      <c r="A870" s="10">
        <v>79</v>
      </c>
      <c r="B870" s="10">
        <v>2022</v>
      </c>
      <c r="C870" s="6" t="s">
        <v>102</v>
      </c>
      <c r="D870" s="48">
        <v>44713</v>
      </c>
      <c r="E870" s="6" t="s">
        <v>20</v>
      </c>
      <c r="F870" s="6" t="s">
        <v>53</v>
      </c>
      <c r="G870" s="10">
        <v>1</v>
      </c>
      <c r="H870" s="10">
        <v>3</v>
      </c>
      <c r="I870" s="10">
        <v>3</v>
      </c>
      <c r="J870" s="4" t="s">
        <v>30</v>
      </c>
      <c r="K870" s="4">
        <v>35051</v>
      </c>
      <c r="L870" s="4" t="s">
        <v>61</v>
      </c>
      <c r="M870" s="6" t="s">
        <v>2342</v>
      </c>
      <c r="N870" s="25" t="s">
        <v>33</v>
      </c>
      <c r="O870" s="6" t="s">
        <v>23</v>
      </c>
      <c r="P870" s="6" t="s">
        <v>23</v>
      </c>
      <c r="Q870" s="9" t="s">
        <v>23</v>
      </c>
      <c r="R870" s="54" t="s">
        <v>23</v>
      </c>
      <c r="S870" s="9" t="s">
        <v>23</v>
      </c>
    </row>
    <row r="871" spans="1:19" ht="15.75" customHeight="1">
      <c r="A871" s="10">
        <v>80</v>
      </c>
      <c r="B871" s="10">
        <v>2022</v>
      </c>
      <c r="C871" s="6" t="s">
        <v>102</v>
      </c>
      <c r="D871" s="48">
        <v>44714</v>
      </c>
      <c r="E871" s="6" t="s">
        <v>20</v>
      </c>
      <c r="F871" s="6" t="s">
        <v>21</v>
      </c>
      <c r="G871" s="10">
        <v>1</v>
      </c>
      <c r="H871" s="10">
        <v>1</v>
      </c>
      <c r="I871" s="10">
        <v>1</v>
      </c>
      <c r="J871" s="4" t="s">
        <v>71</v>
      </c>
      <c r="K871" s="4">
        <v>34928</v>
      </c>
      <c r="L871" s="4" t="s">
        <v>61</v>
      </c>
      <c r="M871" s="6" t="s">
        <v>2343</v>
      </c>
      <c r="N871" s="25" t="s">
        <v>20</v>
      </c>
      <c r="O871" s="6" t="s">
        <v>20</v>
      </c>
      <c r="P871" s="6">
        <v>0</v>
      </c>
      <c r="Q871" s="9" t="s">
        <v>2344</v>
      </c>
      <c r="R871" s="54" t="s">
        <v>2345</v>
      </c>
      <c r="S871" s="17" t="s">
        <v>2346</v>
      </c>
    </row>
    <row r="872" spans="1:19" ht="15.75" customHeight="1">
      <c r="A872" s="10">
        <v>81</v>
      </c>
      <c r="B872" s="10">
        <v>2022</v>
      </c>
      <c r="C872" s="6" t="s">
        <v>102</v>
      </c>
      <c r="D872" s="48">
        <v>44719</v>
      </c>
      <c r="E872" s="6" t="s">
        <v>20</v>
      </c>
      <c r="F872" s="6" t="s">
        <v>37</v>
      </c>
      <c r="G872" s="10">
        <v>1</v>
      </c>
      <c r="H872" s="10">
        <v>1</v>
      </c>
      <c r="I872" s="10">
        <v>1</v>
      </c>
      <c r="J872" s="4" t="s">
        <v>64</v>
      </c>
      <c r="K872" s="4">
        <v>35141</v>
      </c>
      <c r="L872" s="4" t="s">
        <v>31</v>
      </c>
      <c r="M872" s="6" t="s">
        <v>2347</v>
      </c>
      <c r="N872" s="25" t="s">
        <v>33</v>
      </c>
      <c r="O872" s="6" t="s">
        <v>20</v>
      </c>
      <c r="P872" s="6">
        <v>0</v>
      </c>
      <c r="Q872" s="9" t="s">
        <v>2348</v>
      </c>
      <c r="R872" s="56" t="s">
        <v>2349</v>
      </c>
      <c r="S872" s="17" t="s">
        <v>2350</v>
      </c>
    </row>
    <row r="873" spans="1:19" ht="15.75" customHeight="1">
      <c r="A873" s="10">
        <v>82</v>
      </c>
      <c r="B873" s="10">
        <v>2022</v>
      </c>
      <c r="C873" s="6" t="s">
        <v>102</v>
      </c>
      <c r="D873" s="48">
        <v>44719</v>
      </c>
      <c r="E873" s="6" t="s">
        <v>33</v>
      </c>
      <c r="F873" s="6" t="s">
        <v>2300</v>
      </c>
      <c r="G873" s="10">
        <v>2</v>
      </c>
      <c r="H873" s="10">
        <v>1</v>
      </c>
      <c r="I873" s="10">
        <v>1</v>
      </c>
      <c r="J873" s="4" t="s">
        <v>30</v>
      </c>
      <c r="K873" s="4">
        <v>29532</v>
      </c>
      <c r="L873" s="4" t="s">
        <v>61</v>
      </c>
      <c r="M873" s="6" t="s">
        <v>2351</v>
      </c>
      <c r="N873" s="25" t="s">
        <v>33</v>
      </c>
      <c r="O873" s="6" t="s">
        <v>20</v>
      </c>
      <c r="P873" s="6">
        <v>0</v>
      </c>
      <c r="Q873" s="9" t="s">
        <v>2352</v>
      </c>
      <c r="R873" s="56" t="s">
        <v>2353</v>
      </c>
      <c r="S873" s="17" t="s">
        <v>2354</v>
      </c>
    </row>
    <row r="874" spans="1:19" ht="15.75" customHeight="1">
      <c r="A874" s="10">
        <v>83</v>
      </c>
      <c r="B874" s="10">
        <v>2022</v>
      </c>
      <c r="C874" s="6" t="s">
        <v>102</v>
      </c>
      <c r="D874" s="48">
        <v>44719</v>
      </c>
      <c r="E874" s="6" t="s">
        <v>33</v>
      </c>
      <c r="F874" s="6" t="s">
        <v>603</v>
      </c>
      <c r="G874" s="10">
        <v>2</v>
      </c>
      <c r="H874" s="10">
        <v>2</v>
      </c>
      <c r="I874" s="10">
        <v>1</v>
      </c>
      <c r="J874" s="4" t="s">
        <v>23</v>
      </c>
      <c r="K874" s="4" t="s">
        <v>23</v>
      </c>
      <c r="L874" s="4" t="s">
        <v>23</v>
      </c>
      <c r="M874" s="6" t="s">
        <v>2355</v>
      </c>
      <c r="N874" s="25" t="s">
        <v>23</v>
      </c>
      <c r="O874" s="6" t="s">
        <v>33</v>
      </c>
      <c r="P874" s="6">
        <v>2</v>
      </c>
      <c r="Q874" s="9" t="s">
        <v>2356</v>
      </c>
      <c r="R874" s="56" t="s">
        <v>2357</v>
      </c>
      <c r="S874" s="30" t="s">
        <v>2358</v>
      </c>
    </row>
    <row r="875" spans="1:19" ht="15.75" customHeight="1">
      <c r="A875" s="10">
        <v>83</v>
      </c>
      <c r="B875" s="10">
        <v>2022</v>
      </c>
      <c r="C875" s="6" t="s">
        <v>102</v>
      </c>
      <c r="D875" s="48">
        <v>44719</v>
      </c>
      <c r="E875" s="6" t="s">
        <v>33</v>
      </c>
      <c r="F875" s="6" t="s">
        <v>603</v>
      </c>
      <c r="G875" s="10">
        <v>2</v>
      </c>
      <c r="H875" s="10">
        <v>2</v>
      </c>
      <c r="I875" s="10">
        <v>2</v>
      </c>
      <c r="J875" s="4" t="s">
        <v>71</v>
      </c>
      <c r="K875" s="4">
        <v>34614</v>
      </c>
      <c r="L875" s="4" t="s">
        <v>61</v>
      </c>
      <c r="M875" s="6" t="s">
        <v>2359</v>
      </c>
      <c r="N875" s="25" t="s">
        <v>20</v>
      </c>
      <c r="O875" s="6" t="s">
        <v>23</v>
      </c>
      <c r="P875" s="6" t="s">
        <v>23</v>
      </c>
      <c r="Q875" s="9" t="s">
        <v>23</v>
      </c>
      <c r="R875" s="54" t="s">
        <v>23</v>
      </c>
      <c r="S875" s="9" t="s">
        <v>23</v>
      </c>
    </row>
    <row r="876" spans="1:19" ht="15.75" customHeight="1">
      <c r="A876" s="10">
        <v>84</v>
      </c>
      <c r="B876" s="10">
        <v>2022</v>
      </c>
      <c r="C876" s="6" t="s">
        <v>1824</v>
      </c>
      <c r="D876" s="48">
        <v>44720</v>
      </c>
      <c r="E876" s="6" t="s">
        <v>33</v>
      </c>
      <c r="F876" s="6" t="s">
        <v>2192</v>
      </c>
      <c r="G876" s="10">
        <v>2</v>
      </c>
      <c r="H876" s="10">
        <v>3</v>
      </c>
      <c r="I876" s="10">
        <v>1</v>
      </c>
      <c r="J876" s="4" t="s">
        <v>85</v>
      </c>
      <c r="K876" s="4">
        <v>35169</v>
      </c>
      <c r="L876" s="4" t="s">
        <v>61</v>
      </c>
      <c r="M876" s="6" t="s">
        <v>2360</v>
      </c>
      <c r="N876" s="25" t="s">
        <v>33</v>
      </c>
      <c r="O876" s="6" t="s">
        <v>33</v>
      </c>
      <c r="P876" s="6">
        <v>3</v>
      </c>
      <c r="Q876" s="32" t="s">
        <v>2361</v>
      </c>
      <c r="R876" s="54" t="s">
        <v>2362</v>
      </c>
      <c r="S876" s="17" t="s">
        <v>2363</v>
      </c>
    </row>
    <row r="877" spans="1:19" ht="15.75" customHeight="1">
      <c r="A877" s="10">
        <v>84</v>
      </c>
      <c r="B877" s="10">
        <v>2022</v>
      </c>
      <c r="C877" s="6" t="s">
        <v>1824</v>
      </c>
      <c r="D877" s="48">
        <v>44720</v>
      </c>
      <c r="E877" s="6" t="s">
        <v>33</v>
      </c>
      <c r="F877" s="6" t="s">
        <v>2192</v>
      </c>
      <c r="G877" s="10">
        <v>2</v>
      </c>
      <c r="H877" s="10">
        <v>3</v>
      </c>
      <c r="I877" s="10">
        <v>2</v>
      </c>
      <c r="J877" s="4" t="s">
        <v>85</v>
      </c>
      <c r="K877" s="4">
        <v>35205</v>
      </c>
      <c r="L877" s="4" t="s">
        <v>61</v>
      </c>
      <c r="M877" s="6" t="s">
        <v>2364</v>
      </c>
      <c r="N877" s="25" t="s">
        <v>20</v>
      </c>
      <c r="O877" s="6" t="s">
        <v>23</v>
      </c>
      <c r="P877" s="6" t="s">
        <v>23</v>
      </c>
      <c r="Q877" s="9" t="s">
        <v>23</v>
      </c>
      <c r="R877" s="54" t="s">
        <v>23</v>
      </c>
      <c r="S877" s="9" t="s">
        <v>23</v>
      </c>
    </row>
    <row r="878" spans="1:19" ht="15.75" customHeight="1">
      <c r="A878" s="10">
        <v>84</v>
      </c>
      <c r="B878" s="10">
        <v>2022</v>
      </c>
      <c r="C878" s="6" t="s">
        <v>1824</v>
      </c>
      <c r="D878" s="48">
        <v>44720</v>
      </c>
      <c r="E878" s="6" t="s">
        <v>33</v>
      </c>
      <c r="F878" s="6" t="s">
        <v>2192</v>
      </c>
      <c r="G878" s="10">
        <v>2</v>
      </c>
      <c r="H878" s="10">
        <v>3</v>
      </c>
      <c r="I878" s="10">
        <v>3</v>
      </c>
      <c r="J878" s="4" t="s">
        <v>85</v>
      </c>
      <c r="K878" s="4">
        <v>35229</v>
      </c>
      <c r="L878" s="4" t="s">
        <v>61</v>
      </c>
      <c r="M878" s="6" t="s">
        <v>2365</v>
      </c>
      <c r="N878" s="25" t="s">
        <v>20</v>
      </c>
      <c r="O878" s="6" t="s">
        <v>23</v>
      </c>
      <c r="P878" s="6" t="s">
        <v>23</v>
      </c>
      <c r="Q878" s="9" t="s">
        <v>23</v>
      </c>
      <c r="R878" s="54" t="s">
        <v>23</v>
      </c>
      <c r="S878" s="9" t="s">
        <v>23</v>
      </c>
    </row>
    <row r="879" spans="1:19" ht="15.75" customHeight="1">
      <c r="A879" s="10">
        <v>85</v>
      </c>
      <c r="B879" s="10">
        <v>2022</v>
      </c>
      <c r="C879" s="6" t="s">
        <v>102</v>
      </c>
      <c r="D879" s="48">
        <v>44721</v>
      </c>
      <c r="E879" s="6" t="s">
        <v>20</v>
      </c>
      <c r="F879" s="6" t="s">
        <v>55</v>
      </c>
      <c r="G879" s="10">
        <v>1</v>
      </c>
      <c r="H879" s="10">
        <v>1</v>
      </c>
      <c r="I879" s="10">
        <v>1</v>
      </c>
      <c r="J879" s="4" t="s">
        <v>416</v>
      </c>
      <c r="K879" s="4">
        <v>34751</v>
      </c>
      <c r="L879" s="4" t="s">
        <v>61</v>
      </c>
      <c r="M879" s="6" t="s">
        <v>2366</v>
      </c>
      <c r="N879" s="25" t="s">
        <v>23</v>
      </c>
      <c r="O879" s="6" t="s">
        <v>20</v>
      </c>
      <c r="P879" s="6">
        <v>0</v>
      </c>
      <c r="Q879" s="32" t="s">
        <v>2367</v>
      </c>
      <c r="R879" s="56" t="s">
        <v>2368</v>
      </c>
      <c r="S879" s="32" t="s">
        <v>2369</v>
      </c>
    </row>
    <row r="880" spans="1:19" ht="15.75" customHeight="1">
      <c r="A880" s="10">
        <v>86</v>
      </c>
      <c r="B880" s="10">
        <v>2022</v>
      </c>
      <c r="C880" s="6" t="s">
        <v>102</v>
      </c>
      <c r="D880" s="48">
        <v>44721</v>
      </c>
      <c r="E880" s="6" t="s">
        <v>33</v>
      </c>
      <c r="F880" s="6" t="s">
        <v>1980</v>
      </c>
      <c r="G880" s="10">
        <v>2</v>
      </c>
      <c r="H880" s="10">
        <v>1</v>
      </c>
      <c r="I880" s="10">
        <v>1</v>
      </c>
      <c r="J880" s="4" t="s">
        <v>30</v>
      </c>
      <c r="K880" s="4">
        <v>35150</v>
      </c>
      <c r="L880" s="4" t="s">
        <v>31</v>
      </c>
      <c r="M880" s="6" t="s">
        <v>2370</v>
      </c>
      <c r="N880" s="25" t="s">
        <v>33</v>
      </c>
      <c r="O880" s="6" t="s">
        <v>33</v>
      </c>
      <c r="P880" s="6">
        <v>2</v>
      </c>
      <c r="Q880" s="32" t="s">
        <v>2371</v>
      </c>
      <c r="R880" s="56" t="s">
        <v>2368</v>
      </c>
      <c r="S880" s="34" t="s">
        <v>2372</v>
      </c>
    </row>
    <row r="881" spans="1:19" ht="15.75" customHeight="1">
      <c r="A881" s="10">
        <v>87</v>
      </c>
      <c r="B881" s="10">
        <v>2022</v>
      </c>
      <c r="C881" s="6" t="s">
        <v>102</v>
      </c>
      <c r="D881" s="48">
        <v>44721</v>
      </c>
      <c r="E881" s="6" t="s">
        <v>33</v>
      </c>
      <c r="F881" s="6" t="s">
        <v>2373</v>
      </c>
      <c r="G881" s="10">
        <v>2</v>
      </c>
      <c r="H881" s="10">
        <v>2</v>
      </c>
      <c r="I881" s="10">
        <v>1</v>
      </c>
      <c r="J881" s="4" t="s">
        <v>30</v>
      </c>
      <c r="K881" s="4">
        <v>33211</v>
      </c>
      <c r="L881" s="4" t="s">
        <v>61</v>
      </c>
      <c r="M881" s="6" t="s">
        <v>2374</v>
      </c>
      <c r="N881" s="25" t="s">
        <v>20</v>
      </c>
      <c r="O881" s="6" t="s">
        <v>33</v>
      </c>
      <c r="P881" s="6">
        <v>11</v>
      </c>
      <c r="Q881" s="32" t="s">
        <v>2375</v>
      </c>
      <c r="R881" s="56" t="s">
        <v>2376</v>
      </c>
      <c r="S881" s="17" t="s">
        <v>2377</v>
      </c>
    </row>
    <row r="882" spans="1:19" ht="15.75" customHeight="1">
      <c r="A882" s="10">
        <v>87</v>
      </c>
      <c r="B882" s="10">
        <v>2022</v>
      </c>
      <c r="C882" s="6" t="s">
        <v>102</v>
      </c>
      <c r="D882" s="48">
        <v>44721</v>
      </c>
      <c r="E882" s="6" t="s">
        <v>33</v>
      </c>
      <c r="F882" s="6" t="s">
        <v>2373</v>
      </c>
      <c r="G882" s="10">
        <v>2</v>
      </c>
      <c r="H882" s="10">
        <v>2</v>
      </c>
      <c r="I882" s="10">
        <v>2</v>
      </c>
      <c r="J882" s="4" t="s">
        <v>23</v>
      </c>
      <c r="K882" s="4" t="s">
        <v>23</v>
      </c>
      <c r="L882" s="4" t="s">
        <v>23</v>
      </c>
      <c r="M882" s="6" t="s">
        <v>2378</v>
      </c>
      <c r="N882" s="25" t="s">
        <v>23</v>
      </c>
      <c r="O882" s="6" t="s">
        <v>23</v>
      </c>
      <c r="P882" s="6" t="s">
        <v>23</v>
      </c>
      <c r="Q882" s="9" t="s">
        <v>23</v>
      </c>
      <c r="R882" s="54" t="s">
        <v>23</v>
      </c>
      <c r="S882" s="9" t="s">
        <v>23</v>
      </c>
    </row>
    <row r="883" spans="1:19" ht="15.75" customHeight="1">
      <c r="A883" s="10">
        <v>88</v>
      </c>
      <c r="B883" s="10">
        <v>2022</v>
      </c>
      <c r="C883" s="6" t="s">
        <v>1824</v>
      </c>
      <c r="D883" s="48">
        <v>44726</v>
      </c>
      <c r="E883" s="6" t="s">
        <v>20</v>
      </c>
      <c r="F883" s="6" t="s">
        <v>53</v>
      </c>
      <c r="G883" s="10">
        <v>1</v>
      </c>
      <c r="H883" s="10">
        <v>1</v>
      </c>
      <c r="I883" s="10">
        <v>1</v>
      </c>
      <c r="J883" s="4" t="s">
        <v>71</v>
      </c>
      <c r="K883" s="4">
        <v>35136</v>
      </c>
      <c r="L883" s="4" t="s">
        <v>61</v>
      </c>
      <c r="M883" s="6" t="s">
        <v>2379</v>
      </c>
      <c r="N883" s="25" t="s">
        <v>20</v>
      </c>
      <c r="O883" s="6" t="s">
        <v>33</v>
      </c>
      <c r="P883" s="6">
        <v>6</v>
      </c>
      <c r="Q883" s="32" t="s">
        <v>2380</v>
      </c>
      <c r="R883" s="56" t="s">
        <v>2381</v>
      </c>
      <c r="S883" s="17" t="s">
        <v>2382</v>
      </c>
    </row>
    <row r="884" spans="1:19" ht="15.75" customHeight="1">
      <c r="A884" s="10">
        <v>89</v>
      </c>
      <c r="B884" s="10">
        <v>2022</v>
      </c>
      <c r="C884" s="6" t="s">
        <v>1824</v>
      </c>
      <c r="D884" s="48">
        <v>44726</v>
      </c>
      <c r="E884" s="6" t="s">
        <v>33</v>
      </c>
      <c r="F884" s="6" t="s">
        <v>2064</v>
      </c>
      <c r="G884" s="10">
        <v>2</v>
      </c>
      <c r="H884" s="10">
        <v>3</v>
      </c>
      <c r="I884" s="10">
        <v>1</v>
      </c>
      <c r="J884" s="4" t="s">
        <v>71</v>
      </c>
      <c r="K884" s="4">
        <v>34722</v>
      </c>
      <c r="L884" s="4" t="s">
        <v>61</v>
      </c>
      <c r="M884" s="6" t="s">
        <v>2383</v>
      </c>
      <c r="N884" s="25" t="s">
        <v>20</v>
      </c>
      <c r="O884" s="6" t="s">
        <v>33</v>
      </c>
      <c r="P884" s="6">
        <v>6</v>
      </c>
      <c r="Q884" s="32" t="s">
        <v>2384</v>
      </c>
      <c r="R884" s="56" t="s">
        <v>2385</v>
      </c>
      <c r="S884" s="57" t="s">
        <v>2386</v>
      </c>
    </row>
    <row r="885" spans="1:19" ht="15.75" customHeight="1">
      <c r="A885" s="10">
        <v>89</v>
      </c>
      <c r="B885" s="10">
        <v>2022</v>
      </c>
      <c r="C885" s="6" t="s">
        <v>1824</v>
      </c>
      <c r="D885" s="48">
        <v>44726</v>
      </c>
      <c r="E885" s="6" t="s">
        <v>33</v>
      </c>
      <c r="F885" s="6" t="s">
        <v>2064</v>
      </c>
      <c r="G885" s="10">
        <v>2</v>
      </c>
      <c r="H885" s="10">
        <v>3</v>
      </c>
      <c r="I885" s="10">
        <v>2</v>
      </c>
      <c r="J885" s="4" t="s">
        <v>71</v>
      </c>
      <c r="K885" s="4">
        <v>35015</v>
      </c>
      <c r="L885" s="4" t="s">
        <v>61</v>
      </c>
      <c r="M885" s="6" t="s">
        <v>2387</v>
      </c>
      <c r="N885" s="25" t="s">
        <v>20</v>
      </c>
      <c r="O885" s="6" t="s">
        <v>23</v>
      </c>
      <c r="P885" s="6" t="s">
        <v>23</v>
      </c>
      <c r="Q885" s="9" t="s">
        <v>23</v>
      </c>
      <c r="R885" s="54" t="s">
        <v>23</v>
      </c>
      <c r="S885" s="9" t="s">
        <v>23</v>
      </c>
    </row>
    <row r="886" spans="1:19" ht="15.75" customHeight="1">
      <c r="A886" s="10">
        <v>89</v>
      </c>
      <c r="B886" s="10">
        <v>2022</v>
      </c>
      <c r="C886" s="6" t="s">
        <v>1824</v>
      </c>
      <c r="D886" s="48">
        <v>44726</v>
      </c>
      <c r="E886" s="6" t="s">
        <v>33</v>
      </c>
      <c r="F886" s="6" t="s">
        <v>2064</v>
      </c>
      <c r="G886" s="10">
        <v>2</v>
      </c>
      <c r="H886" s="10">
        <v>3</v>
      </c>
      <c r="I886" s="10">
        <v>3</v>
      </c>
      <c r="J886" s="4" t="s">
        <v>23</v>
      </c>
      <c r="K886" s="4" t="s">
        <v>23</v>
      </c>
      <c r="L886" s="4" t="s">
        <v>23</v>
      </c>
      <c r="M886" s="6" t="s">
        <v>2388</v>
      </c>
      <c r="N886" s="25" t="s">
        <v>23</v>
      </c>
      <c r="O886" s="6" t="s">
        <v>23</v>
      </c>
      <c r="P886" s="6" t="s">
        <v>23</v>
      </c>
      <c r="Q886" s="9" t="s">
        <v>23</v>
      </c>
      <c r="R886" s="54" t="s">
        <v>23</v>
      </c>
      <c r="S886" s="9" t="s">
        <v>23</v>
      </c>
    </row>
    <row r="887" spans="1:19" ht="15.75" customHeight="1">
      <c r="A887" s="10">
        <v>90</v>
      </c>
      <c r="B887" s="10">
        <v>2022</v>
      </c>
      <c r="C887" s="6" t="s">
        <v>102</v>
      </c>
      <c r="D887" s="48">
        <v>44727</v>
      </c>
      <c r="E887" s="6" t="s">
        <v>20</v>
      </c>
      <c r="F887" s="6" t="s">
        <v>53</v>
      </c>
      <c r="G887" s="10">
        <v>1</v>
      </c>
      <c r="H887" s="10">
        <v>1</v>
      </c>
      <c r="I887" s="10">
        <v>1</v>
      </c>
      <c r="J887" s="4" t="s">
        <v>30</v>
      </c>
      <c r="K887" s="4">
        <v>31520</v>
      </c>
      <c r="L887" s="4" t="s">
        <v>61</v>
      </c>
      <c r="M887" s="6" t="s">
        <v>2162</v>
      </c>
      <c r="N887" s="25" t="s">
        <v>20</v>
      </c>
      <c r="O887" s="6" t="s">
        <v>20</v>
      </c>
      <c r="P887" s="6">
        <v>0</v>
      </c>
      <c r="Q887" s="32" t="s">
        <v>2389</v>
      </c>
      <c r="R887" s="56" t="s">
        <v>2390</v>
      </c>
      <c r="S887" s="17" t="s">
        <v>2391</v>
      </c>
    </row>
    <row r="888" spans="1:19" ht="15.75" customHeight="1">
      <c r="A888" s="10">
        <v>91</v>
      </c>
      <c r="B888" s="10">
        <v>2022</v>
      </c>
      <c r="C888" s="6" t="s">
        <v>102</v>
      </c>
      <c r="D888" s="48">
        <v>44728</v>
      </c>
      <c r="E888" s="6" t="s">
        <v>20</v>
      </c>
      <c r="F888" s="6" t="s">
        <v>37</v>
      </c>
      <c r="G888" s="10">
        <v>1</v>
      </c>
      <c r="H888" s="10">
        <v>2</v>
      </c>
      <c r="I888" s="10">
        <v>1</v>
      </c>
      <c r="J888" s="4" t="s">
        <v>30</v>
      </c>
      <c r="K888" s="4">
        <v>32554</v>
      </c>
      <c r="L888" s="4" t="s">
        <v>61</v>
      </c>
      <c r="M888" s="6" t="s">
        <v>2392</v>
      </c>
      <c r="N888" s="25" t="s">
        <v>20</v>
      </c>
      <c r="O888" s="6" t="s">
        <v>33</v>
      </c>
      <c r="P888" s="6">
        <v>3</v>
      </c>
      <c r="Q888" s="32" t="s">
        <v>2393</v>
      </c>
      <c r="R888" s="56" t="s">
        <v>2394</v>
      </c>
      <c r="S888" s="17" t="s">
        <v>2395</v>
      </c>
    </row>
    <row r="889" spans="1:19" ht="15.75" customHeight="1">
      <c r="A889" s="10">
        <v>91</v>
      </c>
      <c r="B889" s="10">
        <v>2022</v>
      </c>
      <c r="C889" s="6" t="s">
        <v>102</v>
      </c>
      <c r="D889" s="48">
        <v>44728</v>
      </c>
      <c r="E889" s="6" t="s">
        <v>20</v>
      </c>
      <c r="F889" s="6" t="s">
        <v>37</v>
      </c>
      <c r="G889" s="10">
        <v>1</v>
      </c>
      <c r="H889" s="10">
        <v>2</v>
      </c>
      <c r="I889" s="10">
        <v>2</v>
      </c>
      <c r="J889" s="4" t="s">
        <v>30</v>
      </c>
      <c r="K889" s="4">
        <v>32834</v>
      </c>
      <c r="L889" s="4" t="s">
        <v>61</v>
      </c>
      <c r="M889" s="6" t="s">
        <v>2396</v>
      </c>
      <c r="N889" s="25" t="s">
        <v>20</v>
      </c>
      <c r="O889" s="6" t="s">
        <v>23</v>
      </c>
      <c r="P889" s="6" t="s">
        <v>23</v>
      </c>
      <c r="Q889" s="9" t="s">
        <v>23</v>
      </c>
      <c r="R889" s="54" t="s">
        <v>23</v>
      </c>
      <c r="S889" s="9" t="s">
        <v>23</v>
      </c>
    </row>
    <row r="890" spans="1:19" ht="15.75" customHeight="1">
      <c r="A890" s="10">
        <v>92</v>
      </c>
      <c r="B890" s="10">
        <v>2022</v>
      </c>
      <c r="C890" s="6" t="s">
        <v>102</v>
      </c>
      <c r="D890" s="48">
        <v>44733</v>
      </c>
      <c r="E890" s="6" t="s">
        <v>20</v>
      </c>
      <c r="F890" s="6" t="s">
        <v>37</v>
      </c>
      <c r="G890" s="10">
        <v>1</v>
      </c>
      <c r="H890" s="10">
        <v>3</v>
      </c>
      <c r="I890" s="10">
        <v>1</v>
      </c>
      <c r="J890" s="4" t="s">
        <v>64</v>
      </c>
      <c r="K890" s="4">
        <v>35237</v>
      </c>
      <c r="L890" s="4" t="s">
        <v>31</v>
      </c>
      <c r="M890" s="6" t="s">
        <v>2397</v>
      </c>
      <c r="N890" s="25" t="s">
        <v>33</v>
      </c>
      <c r="O890" s="6" t="s">
        <v>20</v>
      </c>
      <c r="P890" s="6">
        <v>0</v>
      </c>
      <c r="Q890" s="32" t="s">
        <v>2398</v>
      </c>
      <c r="R890" s="56" t="s">
        <v>2399</v>
      </c>
      <c r="S890" s="17" t="s">
        <v>2400</v>
      </c>
    </row>
    <row r="891" spans="1:19" ht="15.75" customHeight="1">
      <c r="A891" s="10">
        <v>92</v>
      </c>
      <c r="B891" s="10">
        <v>2022</v>
      </c>
      <c r="C891" s="6" t="s">
        <v>102</v>
      </c>
      <c r="D891" s="48">
        <v>44733</v>
      </c>
      <c r="E891" s="6" t="s">
        <v>20</v>
      </c>
      <c r="F891" s="6" t="s">
        <v>37</v>
      </c>
      <c r="G891" s="10">
        <v>1</v>
      </c>
      <c r="H891" s="10">
        <v>3</v>
      </c>
      <c r="I891" s="10">
        <v>2</v>
      </c>
      <c r="J891" s="4" t="s">
        <v>64</v>
      </c>
      <c r="K891" s="4">
        <v>35238</v>
      </c>
      <c r="L891" s="4" t="s">
        <v>31</v>
      </c>
      <c r="M891" s="6" t="s">
        <v>2401</v>
      </c>
      <c r="N891" s="25" t="s">
        <v>33</v>
      </c>
      <c r="O891" s="6" t="s">
        <v>23</v>
      </c>
      <c r="P891" s="6" t="s">
        <v>23</v>
      </c>
      <c r="Q891" s="9" t="s">
        <v>23</v>
      </c>
      <c r="R891" s="54" t="s">
        <v>23</v>
      </c>
      <c r="S891" s="9" t="s">
        <v>23</v>
      </c>
    </row>
    <row r="892" spans="1:19" ht="15.75" customHeight="1">
      <c r="A892" s="10">
        <v>92</v>
      </c>
      <c r="B892" s="10">
        <v>2022</v>
      </c>
      <c r="C892" s="6" t="s">
        <v>102</v>
      </c>
      <c r="D892" s="48">
        <v>44733</v>
      </c>
      <c r="E892" s="6" t="s">
        <v>20</v>
      </c>
      <c r="F892" s="6" t="s">
        <v>37</v>
      </c>
      <c r="G892" s="10">
        <v>1</v>
      </c>
      <c r="H892" s="10">
        <v>3</v>
      </c>
      <c r="I892" s="18">
        <v>3</v>
      </c>
      <c r="J892" s="4" t="s">
        <v>30</v>
      </c>
      <c r="K892" s="4">
        <v>34989</v>
      </c>
      <c r="L892" s="4" t="s">
        <v>31</v>
      </c>
      <c r="M892" s="6" t="s">
        <v>2402</v>
      </c>
      <c r="N892" s="25" t="s">
        <v>33</v>
      </c>
      <c r="O892" s="6" t="s">
        <v>23</v>
      </c>
      <c r="P892" s="6" t="s">
        <v>23</v>
      </c>
      <c r="Q892" s="9" t="s">
        <v>23</v>
      </c>
      <c r="R892" s="54" t="s">
        <v>23</v>
      </c>
      <c r="S892" s="9" t="s">
        <v>23</v>
      </c>
    </row>
    <row r="893" spans="1:19" ht="15.75" customHeight="1">
      <c r="A893" s="10">
        <v>93</v>
      </c>
      <c r="B893" s="10">
        <v>2022</v>
      </c>
      <c r="C893" s="6" t="s">
        <v>102</v>
      </c>
      <c r="D893" s="48">
        <v>44733</v>
      </c>
      <c r="E893" s="6" t="s">
        <v>33</v>
      </c>
      <c r="F893" s="6" t="s">
        <v>2403</v>
      </c>
      <c r="G893" s="10">
        <v>3</v>
      </c>
      <c r="H893" s="10">
        <v>3</v>
      </c>
      <c r="I893" s="10">
        <v>1</v>
      </c>
      <c r="J893" s="4" t="s">
        <v>30</v>
      </c>
      <c r="K893" s="4">
        <v>35138</v>
      </c>
      <c r="L893" s="4" t="s">
        <v>61</v>
      </c>
      <c r="M893" s="6" t="s">
        <v>2404</v>
      </c>
      <c r="N893" s="25" t="s">
        <v>20</v>
      </c>
      <c r="O893" s="6" t="s">
        <v>33</v>
      </c>
      <c r="P893" s="6">
        <v>6</v>
      </c>
      <c r="Q893" s="32" t="s">
        <v>2405</v>
      </c>
      <c r="R893" s="56" t="s">
        <v>2406</v>
      </c>
      <c r="S893" s="39" t="s">
        <v>2407</v>
      </c>
    </row>
    <row r="894" spans="1:19" ht="15.75" customHeight="1">
      <c r="A894" s="10">
        <v>93</v>
      </c>
      <c r="B894" s="10">
        <v>2022</v>
      </c>
      <c r="C894" s="6" t="s">
        <v>102</v>
      </c>
      <c r="D894" s="48">
        <v>44733</v>
      </c>
      <c r="E894" s="6" t="s">
        <v>33</v>
      </c>
      <c r="F894" s="6" t="s">
        <v>2403</v>
      </c>
      <c r="G894" s="10">
        <v>3</v>
      </c>
      <c r="H894" s="10">
        <v>3</v>
      </c>
      <c r="I894" s="10">
        <v>2</v>
      </c>
      <c r="J894" s="4" t="s">
        <v>30</v>
      </c>
      <c r="K894" s="4">
        <v>32211</v>
      </c>
      <c r="L894" s="4" t="s">
        <v>61</v>
      </c>
      <c r="M894" s="6" t="s">
        <v>2374</v>
      </c>
      <c r="N894" s="25" t="s">
        <v>20</v>
      </c>
      <c r="O894" s="6" t="s">
        <v>23</v>
      </c>
      <c r="P894" s="6" t="s">
        <v>23</v>
      </c>
      <c r="Q894" s="9" t="s">
        <v>23</v>
      </c>
      <c r="R894" s="54" t="s">
        <v>23</v>
      </c>
      <c r="S894" s="9" t="s">
        <v>23</v>
      </c>
    </row>
    <row r="895" spans="1:19" ht="15.75" customHeight="1">
      <c r="A895" s="10">
        <v>93</v>
      </c>
      <c r="B895" s="10">
        <v>2022</v>
      </c>
      <c r="C895" s="6" t="s">
        <v>102</v>
      </c>
      <c r="D895" s="48">
        <v>44733</v>
      </c>
      <c r="E895" s="6" t="s">
        <v>33</v>
      </c>
      <c r="F895" s="6" t="s">
        <v>2403</v>
      </c>
      <c r="G895" s="10">
        <v>3</v>
      </c>
      <c r="H895" s="10">
        <v>3</v>
      </c>
      <c r="I895" s="10">
        <v>3</v>
      </c>
      <c r="J895" s="4" t="s">
        <v>30</v>
      </c>
      <c r="K895" s="4">
        <v>34639</v>
      </c>
      <c r="L895" s="4" t="s">
        <v>31</v>
      </c>
      <c r="M895" s="6" t="s">
        <v>2408</v>
      </c>
      <c r="N895" s="25" t="s">
        <v>33</v>
      </c>
      <c r="O895" s="6" t="s">
        <v>23</v>
      </c>
      <c r="P895" s="6" t="s">
        <v>23</v>
      </c>
      <c r="Q895" s="9" t="s">
        <v>23</v>
      </c>
      <c r="R895" s="54" t="s">
        <v>23</v>
      </c>
      <c r="S895" s="9" t="s">
        <v>23</v>
      </c>
    </row>
    <row r="896" spans="1:19" ht="15.75" customHeight="1">
      <c r="A896" s="10">
        <v>94</v>
      </c>
      <c r="B896" s="10">
        <v>2022</v>
      </c>
      <c r="C896" s="6" t="s">
        <v>102</v>
      </c>
      <c r="D896" s="48">
        <v>44734</v>
      </c>
      <c r="E896" s="6" t="s">
        <v>20</v>
      </c>
      <c r="F896" s="6" t="s">
        <v>53</v>
      </c>
      <c r="G896" s="10">
        <v>1</v>
      </c>
      <c r="H896" s="10">
        <v>2</v>
      </c>
      <c r="I896" s="10">
        <v>1</v>
      </c>
      <c r="J896" s="4" t="s">
        <v>30</v>
      </c>
      <c r="K896" s="4">
        <v>34989</v>
      </c>
      <c r="L896" s="4" t="s">
        <v>31</v>
      </c>
      <c r="M896" s="6" t="s">
        <v>2402</v>
      </c>
      <c r="N896" s="25" t="s">
        <v>33</v>
      </c>
      <c r="O896" s="6" t="s">
        <v>20</v>
      </c>
      <c r="P896" s="6">
        <v>0</v>
      </c>
      <c r="Q896" s="32" t="s">
        <v>2409</v>
      </c>
      <c r="R896" s="56" t="s">
        <v>2410</v>
      </c>
      <c r="S896" s="17" t="s">
        <v>2411</v>
      </c>
    </row>
    <row r="897" spans="1:19" ht="15.75" customHeight="1">
      <c r="A897" s="10">
        <v>94</v>
      </c>
      <c r="B897" s="10">
        <v>2022</v>
      </c>
      <c r="C897" s="6" t="s">
        <v>102</v>
      </c>
      <c r="D897" s="48">
        <v>44734</v>
      </c>
      <c r="E897" s="6" t="s">
        <v>20</v>
      </c>
      <c r="F897" s="6" t="s">
        <v>53</v>
      </c>
      <c r="G897" s="10">
        <v>1</v>
      </c>
      <c r="H897" s="10">
        <v>2</v>
      </c>
      <c r="I897" s="10">
        <v>2</v>
      </c>
      <c r="J897" s="4" t="s">
        <v>30</v>
      </c>
      <c r="K897" s="4">
        <v>34639</v>
      </c>
      <c r="L897" s="4" t="s">
        <v>31</v>
      </c>
      <c r="M897" s="6" t="s">
        <v>2408</v>
      </c>
      <c r="N897" s="25" t="s">
        <v>33</v>
      </c>
      <c r="O897" s="6" t="s">
        <v>23</v>
      </c>
      <c r="P897" s="6" t="s">
        <v>23</v>
      </c>
      <c r="Q897" s="9" t="s">
        <v>23</v>
      </c>
      <c r="R897" s="54" t="s">
        <v>23</v>
      </c>
      <c r="S897" s="9" t="s">
        <v>23</v>
      </c>
    </row>
    <row r="898" spans="1:19" ht="15.75" customHeight="1">
      <c r="A898" s="10">
        <v>95</v>
      </c>
      <c r="B898" s="10">
        <v>2022</v>
      </c>
      <c r="C898" s="6" t="s">
        <v>102</v>
      </c>
      <c r="D898" s="48">
        <v>44735</v>
      </c>
      <c r="E898" s="6" t="s">
        <v>20</v>
      </c>
      <c r="F898" s="6" t="s">
        <v>55</v>
      </c>
      <c r="G898" s="10">
        <v>1</v>
      </c>
      <c r="H898" s="10">
        <v>1</v>
      </c>
      <c r="I898" s="10">
        <v>1</v>
      </c>
      <c r="J898" s="4" t="s">
        <v>416</v>
      </c>
      <c r="K898" s="4">
        <v>34751</v>
      </c>
      <c r="L898" s="4" t="s">
        <v>61</v>
      </c>
      <c r="M898" s="6" t="s">
        <v>2366</v>
      </c>
      <c r="N898" s="25" t="s">
        <v>23</v>
      </c>
      <c r="O898" s="6" t="s">
        <v>20</v>
      </c>
      <c r="P898" s="6">
        <v>0</v>
      </c>
      <c r="Q898" s="32" t="s">
        <v>2412</v>
      </c>
      <c r="R898" s="44" t="s">
        <v>2413</v>
      </c>
      <c r="S898" s="17" t="s">
        <v>2414</v>
      </c>
    </row>
    <row r="899" spans="1:19" ht="15.75" customHeight="1">
      <c r="A899" s="10">
        <v>96</v>
      </c>
      <c r="B899" s="10">
        <v>2022</v>
      </c>
      <c r="C899" s="6" t="s">
        <v>102</v>
      </c>
      <c r="D899" s="48">
        <v>44735</v>
      </c>
      <c r="E899" s="6" t="s">
        <v>20</v>
      </c>
      <c r="F899" s="6" t="s">
        <v>73</v>
      </c>
      <c r="G899" s="10">
        <v>1</v>
      </c>
      <c r="H899" s="10">
        <v>1</v>
      </c>
      <c r="I899" s="10">
        <v>1</v>
      </c>
      <c r="J899" s="4" t="s">
        <v>30</v>
      </c>
      <c r="K899" s="4">
        <v>33289</v>
      </c>
      <c r="L899" s="4" t="s">
        <v>61</v>
      </c>
      <c r="M899" s="6" t="s">
        <v>2415</v>
      </c>
      <c r="N899" s="25" t="s">
        <v>20</v>
      </c>
      <c r="O899" s="6" t="s">
        <v>33</v>
      </c>
      <c r="P899" s="6">
        <v>1</v>
      </c>
      <c r="Q899" s="32" t="s">
        <v>2416</v>
      </c>
      <c r="R899" s="54" t="s">
        <v>23</v>
      </c>
      <c r="S899" s="17" t="s">
        <v>2417</v>
      </c>
    </row>
    <row r="900" spans="1:19" ht="15.75" customHeight="1">
      <c r="A900" s="10">
        <v>97</v>
      </c>
      <c r="B900" s="10">
        <v>2022</v>
      </c>
      <c r="C900" s="6" t="s">
        <v>102</v>
      </c>
      <c r="D900" s="48">
        <v>44735</v>
      </c>
      <c r="E900" s="6" t="s">
        <v>20</v>
      </c>
      <c r="F900" s="6" t="s">
        <v>26</v>
      </c>
      <c r="G900" s="10">
        <v>1</v>
      </c>
      <c r="H900" s="10">
        <v>1</v>
      </c>
      <c r="I900" s="10">
        <v>1</v>
      </c>
      <c r="J900" s="4" t="s">
        <v>30</v>
      </c>
      <c r="K900" s="4">
        <v>35351</v>
      </c>
      <c r="L900" s="4" t="s">
        <v>61</v>
      </c>
      <c r="M900" s="6" t="s">
        <v>2418</v>
      </c>
      <c r="N900" s="25" t="s">
        <v>20</v>
      </c>
      <c r="O900" s="6" t="s">
        <v>20</v>
      </c>
      <c r="P900" s="6">
        <v>0</v>
      </c>
      <c r="Q900" s="34" t="s">
        <v>2419</v>
      </c>
      <c r="R900" s="56" t="s">
        <v>2420</v>
      </c>
      <c r="S900" s="17" t="s">
        <v>2421</v>
      </c>
    </row>
    <row r="901" spans="1:19" ht="15.75" customHeight="1">
      <c r="A901" s="10">
        <v>98</v>
      </c>
      <c r="B901" s="10">
        <v>2022</v>
      </c>
      <c r="C901" s="6" t="s">
        <v>102</v>
      </c>
      <c r="D901" s="48">
        <v>44740</v>
      </c>
      <c r="E901" s="6" t="s">
        <v>20</v>
      </c>
      <c r="F901" s="6" t="s">
        <v>26</v>
      </c>
      <c r="G901" s="10">
        <v>1</v>
      </c>
      <c r="H901" s="10">
        <v>1</v>
      </c>
      <c r="I901" s="10">
        <v>1</v>
      </c>
      <c r="J901" s="4" t="s">
        <v>30</v>
      </c>
      <c r="K901" s="4">
        <v>35351</v>
      </c>
      <c r="L901" s="4" t="s">
        <v>61</v>
      </c>
      <c r="M901" s="6" t="s">
        <v>2418</v>
      </c>
      <c r="N901" s="25" t="s">
        <v>20</v>
      </c>
      <c r="O901" s="6" t="s">
        <v>33</v>
      </c>
      <c r="P901" s="6">
        <v>3</v>
      </c>
      <c r="Q901" s="32" t="s">
        <v>2422</v>
      </c>
      <c r="R901" s="56" t="s">
        <v>2423</v>
      </c>
      <c r="S901" s="17" t="s">
        <v>2424</v>
      </c>
    </row>
    <row r="902" spans="1:19" ht="15.75" customHeight="1">
      <c r="A902" s="10">
        <v>99</v>
      </c>
      <c r="B902" s="10">
        <v>2022</v>
      </c>
      <c r="C902" s="6" t="s">
        <v>102</v>
      </c>
      <c r="D902" s="48">
        <v>44740</v>
      </c>
      <c r="E902" s="6" t="s">
        <v>33</v>
      </c>
      <c r="F902" s="6" t="s">
        <v>2373</v>
      </c>
      <c r="G902" s="10">
        <v>2</v>
      </c>
      <c r="H902" s="10">
        <v>1</v>
      </c>
      <c r="I902" s="10">
        <v>1</v>
      </c>
      <c r="J902" s="4" t="s">
        <v>30</v>
      </c>
      <c r="K902" s="4">
        <v>33211</v>
      </c>
      <c r="L902" s="4" t="s">
        <v>61</v>
      </c>
      <c r="M902" s="6" t="s">
        <v>2425</v>
      </c>
      <c r="N902" s="25" t="s">
        <v>33</v>
      </c>
      <c r="O902" s="6" t="s">
        <v>20</v>
      </c>
      <c r="P902" s="6">
        <v>0</v>
      </c>
      <c r="Q902" s="32" t="s">
        <v>2426</v>
      </c>
      <c r="R902" s="56" t="s">
        <v>2427</v>
      </c>
      <c r="S902" s="34" t="s">
        <v>2428</v>
      </c>
    </row>
    <row r="903" spans="1:19" ht="15.75" customHeight="1">
      <c r="A903" s="10">
        <v>100</v>
      </c>
      <c r="B903" s="10">
        <v>2022</v>
      </c>
      <c r="C903" s="6" t="s">
        <v>102</v>
      </c>
      <c r="D903" s="48">
        <v>44742</v>
      </c>
      <c r="E903" s="6" t="s">
        <v>20</v>
      </c>
      <c r="F903" s="6" t="s">
        <v>190</v>
      </c>
      <c r="G903" s="10">
        <v>1</v>
      </c>
      <c r="H903" s="10">
        <v>1</v>
      </c>
      <c r="I903" s="10">
        <v>1</v>
      </c>
      <c r="J903" s="4" t="s">
        <v>23</v>
      </c>
      <c r="K903" s="4" t="s">
        <v>23</v>
      </c>
      <c r="L903" s="4" t="s">
        <v>23</v>
      </c>
      <c r="M903" s="6" t="s">
        <v>2429</v>
      </c>
      <c r="N903" s="25" t="s">
        <v>23</v>
      </c>
      <c r="O903" s="6" t="s">
        <v>33</v>
      </c>
      <c r="P903" s="6">
        <v>3</v>
      </c>
      <c r="Q903" s="32" t="s">
        <v>2430</v>
      </c>
      <c r="R903" s="56" t="s">
        <v>2431</v>
      </c>
      <c r="S903" s="17" t="s">
        <v>2432</v>
      </c>
    </row>
    <row r="904" spans="1:19" ht="15.75" customHeight="1">
      <c r="A904" s="10">
        <v>101</v>
      </c>
      <c r="B904" s="10">
        <v>2022</v>
      </c>
      <c r="C904" s="6" t="s">
        <v>102</v>
      </c>
      <c r="D904" s="48">
        <v>44747</v>
      </c>
      <c r="E904" s="6" t="s">
        <v>33</v>
      </c>
      <c r="F904" s="6" t="s">
        <v>2074</v>
      </c>
      <c r="G904" s="10">
        <v>2</v>
      </c>
      <c r="H904" s="10">
        <v>2</v>
      </c>
      <c r="I904" s="10">
        <v>1</v>
      </c>
      <c r="J904" s="4" t="s">
        <v>30</v>
      </c>
      <c r="K904" s="4">
        <v>35387</v>
      </c>
      <c r="L904" s="4" t="s">
        <v>31</v>
      </c>
      <c r="M904" s="6" t="s">
        <v>2433</v>
      </c>
      <c r="N904" s="25" t="s">
        <v>20</v>
      </c>
      <c r="O904" s="6" t="s">
        <v>20</v>
      </c>
      <c r="P904" s="6">
        <v>0</v>
      </c>
      <c r="Q904" s="17" t="s">
        <v>2434</v>
      </c>
      <c r="R904" s="56" t="s">
        <v>2435</v>
      </c>
      <c r="S904" s="17" t="s">
        <v>2436</v>
      </c>
    </row>
    <row r="905" spans="1:19" ht="15.75" customHeight="1">
      <c r="A905" s="10">
        <v>101</v>
      </c>
      <c r="B905" s="10">
        <v>2022</v>
      </c>
      <c r="C905" s="6" t="s">
        <v>102</v>
      </c>
      <c r="D905" s="48">
        <v>44747</v>
      </c>
      <c r="E905" s="6" t="s">
        <v>33</v>
      </c>
      <c r="F905" s="6" t="s">
        <v>2074</v>
      </c>
      <c r="G905" s="10">
        <v>2</v>
      </c>
      <c r="H905" s="10">
        <v>2</v>
      </c>
      <c r="I905" s="10">
        <v>2</v>
      </c>
      <c r="J905" s="4" t="s">
        <v>30</v>
      </c>
      <c r="K905" s="4">
        <v>35393</v>
      </c>
      <c r="L905" s="4" t="s">
        <v>31</v>
      </c>
      <c r="M905" s="6" t="s">
        <v>2437</v>
      </c>
      <c r="N905" s="25" t="s">
        <v>20</v>
      </c>
      <c r="O905" s="6" t="s">
        <v>23</v>
      </c>
      <c r="P905" s="6" t="s">
        <v>23</v>
      </c>
      <c r="Q905" s="9" t="s">
        <v>23</v>
      </c>
      <c r="R905" s="54" t="s">
        <v>23</v>
      </c>
      <c r="S905" s="9" t="s">
        <v>23</v>
      </c>
    </row>
    <row r="906" spans="1:19" ht="15.75" customHeight="1">
      <c r="A906" s="10">
        <v>102</v>
      </c>
      <c r="B906" s="10">
        <v>2022</v>
      </c>
      <c r="C906" s="6" t="s">
        <v>102</v>
      </c>
      <c r="D906" s="48">
        <v>44747</v>
      </c>
      <c r="E906" s="6" t="s">
        <v>20</v>
      </c>
      <c r="F906" s="6" t="s">
        <v>55</v>
      </c>
      <c r="G906" s="10">
        <v>1</v>
      </c>
      <c r="H906" s="10">
        <v>1</v>
      </c>
      <c r="I906" s="10">
        <v>1</v>
      </c>
      <c r="J906" s="4" t="s">
        <v>416</v>
      </c>
      <c r="K906" s="4">
        <v>34751</v>
      </c>
      <c r="L906" s="4" t="s">
        <v>61</v>
      </c>
      <c r="M906" s="6" t="s">
        <v>2366</v>
      </c>
      <c r="N906" s="25" t="s">
        <v>33</v>
      </c>
      <c r="O906" s="6" t="s">
        <v>20</v>
      </c>
      <c r="P906" s="6">
        <v>0</v>
      </c>
      <c r="Q906" s="17" t="s">
        <v>2438</v>
      </c>
      <c r="R906" s="56" t="s">
        <v>2439</v>
      </c>
      <c r="S906" s="17" t="s">
        <v>2440</v>
      </c>
    </row>
    <row r="907" spans="1:19" ht="15.75" customHeight="1">
      <c r="A907" s="10">
        <v>103</v>
      </c>
      <c r="B907" s="10">
        <v>2022</v>
      </c>
      <c r="C907" s="6" t="s">
        <v>102</v>
      </c>
      <c r="D907" s="48">
        <v>44749</v>
      </c>
      <c r="E907" s="6" t="s">
        <v>20</v>
      </c>
      <c r="F907" s="6" t="s">
        <v>51</v>
      </c>
      <c r="G907" s="10">
        <v>1</v>
      </c>
      <c r="H907" s="10">
        <v>5</v>
      </c>
      <c r="I907" s="10">
        <v>1</v>
      </c>
      <c r="J907" s="4" t="s">
        <v>71</v>
      </c>
      <c r="K907" s="4">
        <v>34068</v>
      </c>
      <c r="L907" s="4" t="s">
        <v>61</v>
      </c>
      <c r="M907" s="6" t="s">
        <v>2441</v>
      </c>
      <c r="N907" s="25" t="s">
        <v>33</v>
      </c>
      <c r="O907" s="6" t="s">
        <v>20</v>
      </c>
      <c r="P907" s="6">
        <v>0</v>
      </c>
      <c r="Q907" s="32" t="s">
        <v>2442</v>
      </c>
      <c r="R907" s="56" t="s">
        <v>2443</v>
      </c>
      <c r="S907" s="17" t="s">
        <v>2444</v>
      </c>
    </row>
    <row r="908" spans="1:19" ht="15.75" customHeight="1">
      <c r="A908" s="10">
        <v>103</v>
      </c>
      <c r="B908" s="10">
        <v>2022</v>
      </c>
      <c r="C908" s="6" t="s">
        <v>102</v>
      </c>
      <c r="D908" s="48">
        <v>44749</v>
      </c>
      <c r="E908" s="6" t="s">
        <v>20</v>
      </c>
      <c r="F908" s="6" t="s">
        <v>51</v>
      </c>
      <c r="G908" s="10">
        <v>1</v>
      </c>
      <c r="H908" s="10">
        <v>5</v>
      </c>
      <c r="I908" s="10">
        <v>2</v>
      </c>
      <c r="J908" s="4" t="s">
        <v>71</v>
      </c>
      <c r="K908" s="4">
        <v>34780</v>
      </c>
      <c r="L908" s="4" t="s">
        <v>61</v>
      </c>
      <c r="M908" s="6" t="s">
        <v>2445</v>
      </c>
      <c r="N908" s="25" t="s">
        <v>33</v>
      </c>
      <c r="O908" s="6" t="s">
        <v>23</v>
      </c>
      <c r="P908" s="6" t="s">
        <v>23</v>
      </c>
      <c r="Q908" s="9" t="s">
        <v>23</v>
      </c>
      <c r="R908" s="54" t="s">
        <v>23</v>
      </c>
      <c r="S908" s="9" t="s">
        <v>23</v>
      </c>
    </row>
    <row r="909" spans="1:19" ht="15.75" customHeight="1">
      <c r="A909" s="10">
        <v>103</v>
      </c>
      <c r="B909" s="10">
        <v>2022</v>
      </c>
      <c r="C909" s="6" t="s">
        <v>102</v>
      </c>
      <c r="D909" s="48">
        <v>44749</v>
      </c>
      <c r="E909" s="6" t="s">
        <v>20</v>
      </c>
      <c r="F909" s="6" t="s">
        <v>51</v>
      </c>
      <c r="G909" s="10">
        <v>1</v>
      </c>
      <c r="H909" s="10">
        <v>5</v>
      </c>
      <c r="I909" s="10">
        <v>3</v>
      </c>
      <c r="J909" s="4" t="s">
        <v>71</v>
      </c>
      <c r="K909" s="4">
        <v>34866</v>
      </c>
      <c r="L909" s="4" t="s">
        <v>61</v>
      </c>
      <c r="M909" s="6" t="s">
        <v>2446</v>
      </c>
      <c r="N909" s="25" t="s">
        <v>33</v>
      </c>
      <c r="O909" s="6" t="s">
        <v>23</v>
      </c>
      <c r="P909" s="6" t="s">
        <v>23</v>
      </c>
      <c r="Q909" s="9" t="s">
        <v>23</v>
      </c>
      <c r="R909" s="54" t="s">
        <v>23</v>
      </c>
      <c r="S909" s="9" t="s">
        <v>23</v>
      </c>
    </row>
    <row r="910" spans="1:19" ht="15.75" customHeight="1">
      <c r="A910" s="10">
        <v>103</v>
      </c>
      <c r="B910" s="10">
        <v>2022</v>
      </c>
      <c r="C910" s="6" t="s">
        <v>102</v>
      </c>
      <c r="D910" s="48">
        <v>44749</v>
      </c>
      <c r="E910" s="6" t="s">
        <v>20</v>
      </c>
      <c r="F910" s="6" t="s">
        <v>51</v>
      </c>
      <c r="G910" s="10">
        <v>1</v>
      </c>
      <c r="H910" s="10">
        <v>5</v>
      </c>
      <c r="I910" s="10">
        <v>4</v>
      </c>
      <c r="J910" s="4" t="s">
        <v>30</v>
      </c>
      <c r="K910" s="4">
        <v>23709</v>
      </c>
      <c r="L910" s="4" t="s">
        <v>61</v>
      </c>
      <c r="M910" s="6" t="s">
        <v>2447</v>
      </c>
      <c r="N910" s="25" t="s">
        <v>20</v>
      </c>
      <c r="O910" s="6" t="s">
        <v>23</v>
      </c>
      <c r="P910" s="6" t="s">
        <v>23</v>
      </c>
      <c r="Q910" s="9" t="s">
        <v>23</v>
      </c>
      <c r="R910" s="54" t="s">
        <v>23</v>
      </c>
      <c r="S910" s="9" t="s">
        <v>23</v>
      </c>
    </row>
    <row r="911" spans="1:19" ht="15.75" customHeight="1">
      <c r="A911" s="10">
        <v>103</v>
      </c>
      <c r="B911" s="10">
        <v>2022</v>
      </c>
      <c r="C911" s="6" t="s">
        <v>102</v>
      </c>
      <c r="D911" s="48">
        <v>44749</v>
      </c>
      <c r="E911" s="6" t="s">
        <v>20</v>
      </c>
      <c r="F911" s="6" t="s">
        <v>51</v>
      </c>
      <c r="G911" s="10">
        <v>1</v>
      </c>
      <c r="H911" s="10">
        <v>5</v>
      </c>
      <c r="I911" s="10">
        <v>5</v>
      </c>
      <c r="J911" s="4" t="s">
        <v>30</v>
      </c>
      <c r="K911" s="4">
        <v>34220</v>
      </c>
      <c r="L911" s="4" t="s">
        <v>61</v>
      </c>
      <c r="M911" s="6" t="s">
        <v>2448</v>
      </c>
      <c r="N911" s="25" t="s">
        <v>20</v>
      </c>
      <c r="O911" s="6" t="s">
        <v>23</v>
      </c>
      <c r="P911" s="6" t="s">
        <v>23</v>
      </c>
      <c r="Q911" s="9" t="s">
        <v>23</v>
      </c>
      <c r="R911" s="54" t="s">
        <v>23</v>
      </c>
      <c r="S911" s="9" t="s">
        <v>23</v>
      </c>
    </row>
    <row r="912" spans="1:19" ht="15.75" customHeight="1">
      <c r="A912" s="10">
        <v>104</v>
      </c>
      <c r="B912" s="10">
        <v>2022</v>
      </c>
      <c r="C912" s="6" t="s">
        <v>1824</v>
      </c>
      <c r="D912" s="48">
        <v>44768</v>
      </c>
      <c r="E912" s="6" t="s">
        <v>33</v>
      </c>
      <c r="F912" s="6" t="s">
        <v>2074</v>
      </c>
      <c r="G912" s="10">
        <v>2</v>
      </c>
      <c r="H912" s="10">
        <v>2</v>
      </c>
      <c r="I912" s="10">
        <v>1</v>
      </c>
      <c r="J912" s="4" t="s">
        <v>30</v>
      </c>
      <c r="K912" s="4">
        <v>35387</v>
      </c>
      <c r="L912" s="4" t="s">
        <v>31</v>
      </c>
      <c r="M912" s="6" t="s">
        <v>2433</v>
      </c>
      <c r="N912" s="25" t="s">
        <v>20</v>
      </c>
      <c r="O912" s="6" t="s">
        <v>33</v>
      </c>
      <c r="P912" s="6">
        <v>2</v>
      </c>
      <c r="Q912" s="58" t="s">
        <v>2449</v>
      </c>
      <c r="R912" s="56" t="s">
        <v>2450</v>
      </c>
      <c r="S912" s="17" t="s">
        <v>2451</v>
      </c>
    </row>
    <row r="913" spans="1:19" ht="15.75" customHeight="1">
      <c r="A913" s="10">
        <v>104</v>
      </c>
      <c r="B913" s="10">
        <v>2022</v>
      </c>
      <c r="C913" s="6" t="s">
        <v>1824</v>
      </c>
      <c r="D913" s="48">
        <v>44768</v>
      </c>
      <c r="E913" s="6" t="s">
        <v>33</v>
      </c>
      <c r="F913" s="6" t="s">
        <v>2074</v>
      </c>
      <c r="G913" s="10">
        <v>2</v>
      </c>
      <c r="H913" s="10">
        <v>2</v>
      </c>
      <c r="I913" s="10">
        <v>2</v>
      </c>
      <c r="J913" s="4" t="s">
        <v>30</v>
      </c>
      <c r="K913" s="4">
        <v>35393</v>
      </c>
      <c r="L913" s="4" t="s">
        <v>31</v>
      </c>
      <c r="M913" s="6" t="s">
        <v>2437</v>
      </c>
      <c r="N913" s="25" t="s">
        <v>20</v>
      </c>
      <c r="O913" s="6" t="s">
        <v>23</v>
      </c>
      <c r="P913" s="6" t="s">
        <v>23</v>
      </c>
      <c r="Q913" s="9" t="s">
        <v>23</v>
      </c>
      <c r="R913" s="54" t="s">
        <v>23</v>
      </c>
      <c r="S913" s="9" t="s">
        <v>23</v>
      </c>
    </row>
    <row r="914" spans="1:19" ht="15.75" customHeight="1">
      <c r="A914" s="10">
        <v>105</v>
      </c>
      <c r="B914" s="10">
        <v>2022</v>
      </c>
      <c r="C914" s="6" t="s">
        <v>102</v>
      </c>
      <c r="D914" s="48">
        <v>44770</v>
      </c>
      <c r="E914" s="6" t="s">
        <v>20</v>
      </c>
      <c r="F914" s="6" t="s">
        <v>55</v>
      </c>
      <c r="G914" s="10">
        <v>1</v>
      </c>
      <c r="H914" s="10">
        <v>1</v>
      </c>
      <c r="I914" s="10">
        <v>1</v>
      </c>
      <c r="J914" s="4" t="s">
        <v>30</v>
      </c>
      <c r="K914" s="4">
        <v>35388</v>
      </c>
      <c r="L914" s="4" t="s">
        <v>31</v>
      </c>
      <c r="M914" s="6" t="s">
        <v>2452</v>
      </c>
      <c r="N914" s="25" t="s">
        <v>20</v>
      </c>
      <c r="O914" s="6" t="s">
        <v>20</v>
      </c>
      <c r="P914" s="6">
        <v>0</v>
      </c>
      <c r="Q914" s="32" t="s">
        <v>2453</v>
      </c>
      <c r="R914" s="54" t="s">
        <v>23</v>
      </c>
      <c r="S914" s="17" t="s">
        <v>2454</v>
      </c>
    </row>
    <row r="915" spans="1:19" ht="15.75" customHeight="1">
      <c r="A915" s="10">
        <v>106</v>
      </c>
      <c r="B915" s="10">
        <v>2022</v>
      </c>
      <c r="C915" s="6" t="s">
        <v>102</v>
      </c>
      <c r="D915" s="48">
        <v>44775</v>
      </c>
      <c r="E915" s="6" t="s">
        <v>33</v>
      </c>
      <c r="F915" s="6" t="s">
        <v>2300</v>
      </c>
      <c r="G915" s="10">
        <v>2</v>
      </c>
      <c r="H915" s="10">
        <v>1</v>
      </c>
      <c r="I915" s="10">
        <v>1</v>
      </c>
      <c r="J915" s="4" t="s">
        <v>30</v>
      </c>
      <c r="K915" s="4">
        <v>35351</v>
      </c>
      <c r="L915" s="4" t="s">
        <v>61</v>
      </c>
      <c r="M915" s="6" t="s">
        <v>2455</v>
      </c>
      <c r="N915" s="25" t="s">
        <v>33</v>
      </c>
      <c r="O915" s="6" t="s">
        <v>20</v>
      </c>
      <c r="P915" s="6">
        <v>0</v>
      </c>
      <c r="Q915" s="32" t="s">
        <v>2456</v>
      </c>
      <c r="R915" s="56" t="s">
        <v>2457</v>
      </c>
      <c r="S915" s="17" t="s">
        <v>2458</v>
      </c>
    </row>
    <row r="916" spans="1:19" ht="15.75" customHeight="1">
      <c r="A916" s="10">
        <v>107</v>
      </c>
      <c r="B916" s="10">
        <v>2022</v>
      </c>
      <c r="C916" s="6" t="s">
        <v>1824</v>
      </c>
      <c r="D916" s="48">
        <v>44775</v>
      </c>
      <c r="E916" s="6" t="s">
        <v>33</v>
      </c>
      <c r="F916" s="6" t="s">
        <v>2074</v>
      </c>
      <c r="G916" s="10">
        <v>2</v>
      </c>
      <c r="H916" s="10">
        <v>2</v>
      </c>
      <c r="I916" s="10">
        <v>1</v>
      </c>
      <c r="J916" s="4" t="s">
        <v>30</v>
      </c>
      <c r="K916" s="4">
        <v>35387</v>
      </c>
      <c r="L916" s="4" t="s">
        <v>31</v>
      </c>
      <c r="M916" s="6" t="s">
        <v>2433</v>
      </c>
      <c r="N916" s="25" t="s">
        <v>20</v>
      </c>
      <c r="O916" s="6" t="s">
        <v>33</v>
      </c>
      <c r="P916" s="6">
        <v>6</v>
      </c>
      <c r="Q916" s="32" t="s">
        <v>2459</v>
      </c>
      <c r="R916" s="56" t="s">
        <v>2460</v>
      </c>
      <c r="S916" s="17" t="s">
        <v>2461</v>
      </c>
    </row>
    <row r="917" spans="1:19" ht="15.75" customHeight="1">
      <c r="A917" s="10">
        <v>107</v>
      </c>
      <c r="B917" s="10">
        <v>2022</v>
      </c>
      <c r="C917" s="6" t="s">
        <v>1824</v>
      </c>
      <c r="D917" s="48">
        <v>44775</v>
      </c>
      <c r="E917" s="6" t="s">
        <v>33</v>
      </c>
      <c r="F917" s="6" t="s">
        <v>2074</v>
      </c>
      <c r="G917" s="10">
        <v>2</v>
      </c>
      <c r="H917" s="10">
        <v>2</v>
      </c>
      <c r="I917" s="10">
        <v>2</v>
      </c>
      <c r="J917" s="4" t="s">
        <v>30</v>
      </c>
      <c r="K917" s="4">
        <v>35393</v>
      </c>
      <c r="L917" s="4" t="s">
        <v>31</v>
      </c>
      <c r="M917" s="6" t="s">
        <v>2437</v>
      </c>
      <c r="N917" s="25" t="s">
        <v>20</v>
      </c>
      <c r="O917" s="6" t="s">
        <v>23</v>
      </c>
      <c r="P917" s="6" t="s">
        <v>23</v>
      </c>
      <c r="Q917" s="9" t="s">
        <v>23</v>
      </c>
      <c r="R917" s="54" t="s">
        <v>23</v>
      </c>
      <c r="S917" s="9" t="s">
        <v>23</v>
      </c>
    </row>
    <row r="918" spans="1:19" ht="15.75" customHeight="1">
      <c r="A918" s="10">
        <v>108</v>
      </c>
      <c r="B918" s="10">
        <v>2022</v>
      </c>
      <c r="C918" s="6" t="s">
        <v>102</v>
      </c>
      <c r="D918" s="48">
        <v>44775</v>
      </c>
      <c r="E918" s="6" t="s">
        <v>33</v>
      </c>
      <c r="F918" s="6" t="s">
        <v>2462</v>
      </c>
      <c r="G918" s="10">
        <v>2</v>
      </c>
      <c r="H918" s="10">
        <v>1</v>
      </c>
      <c r="I918" s="10">
        <v>1</v>
      </c>
      <c r="J918" s="4" t="s">
        <v>30</v>
      </c>
      <c r="K918" s="4">
        <v>35138</v>
      </c>
      <c r="L918" s="4" t="s">
        <v>61</v>
      </c>
      <c r="M918" s="6" t="s">
        <v>2404</v>
      </c>
      <c r="N918" s="25" t="s">
        <v>33</v>
      </c>
      <c r="O918" s="6" t="s">
        <v>20</v>
      </c>
      <c r="P918" s="6">
        <v>0</v>
      </c>
      <c r="Q918" s="32" t="s">
        <v>2463</v>
      </c>
      <c r="R918" s="56" t="s">
        <v>2464</v>
      </c>
      <c r="S918" s="17" t="s">
        <v>2465</v>
      </c>
    </row>
    <row r="919" spans="1:19" ht="15.75" customHeight="1">
      <c r="A919" s="10">
        <v>109</v>
      </c>
      <c r="B919" s="10">
        <v>2022</v>
      </c>
      <c r="C919" s="6" t="s">
        <v>1824</v>
      </c>
      <c r="D919" s="48">
        <v>44775</v>
      </c>
      <c r="E919" s="6" t="s">
        <v>33</v>
      </c>
      <c r="F919" s="6" t="s">
        <v>2466</v>
      </c>
      <c r="G919" s="10">
        <v>3</v>
      </c>
      <c r="H919" s="10">
        <v>1</v>
      </c>
      <c r="I919" s="10">
        <v>1</v>
      </c>
      <c r="J919" s="4" t="s">
        <v>23</v>
      </c>
      <c r="K919" s="4" t="s">
        <v>23</v>
      </c>
      <c r="L919" s="4" t="s">
        <v>23</v>
      </c>
      <c r="M919" s="6" t="s">
        <v>2467</v>
      </c>
      <c r="N919" s="25" t="s">
        <v>23</v>
      </c>
      <c r="O919" s="6" t="s">
        <v>33</v>
      </c>
      <c r="P919" s="6">
        <v>8</v>
      </c>
      <c r="Q919" s="32" t="s">
        <v>2468</v>
      </c>
      <c r="R919" s="56" t="s">
        <v>2469</v>
      </c>
      <c r="S919" s="34" t="s">
        <v>2470</v>
      </c>
    </row>
    <row r="920" spans="1:19" ht="15.75" customHeight="1">
      <c r="A920" s="10">
        <v>110</v>
      </c>
      <c r="B920" s="10">
        <v>2022</v>
      </c>
      <c r="C920" s="6" t="s">
        <v>19</v>
      </c>
      <c r="D920" s="48">
        <v>44777</v>
      </c>
      <c r="E920" s="6" t="s">
        <v>20</v>
      </c>
      <c r="F920" s="6" t="s">
        <v>41</v>
      </c>
      <c r="G920" s="10">
        <v>1</v>
      </c>
      <c r="H920" s="10">
        <v>1</v>
      </c>
      <c r="I920" s="10">
        <v>1</v>
      </c>
      <c r="J920" s="4" t="s">
        <v>23</v>
      </c>
      <c r="K920" s="4" t="s">
        <v>23</v>
      </c>
      <c r="L920" s="4" t="s">
        <v>23</v>
      </c>
      <c r="M920" s="6" t="s">
        <v>2471</v>
      </c>
      <c r="N920" s="25" t="s">
        <v>23</v>
      </c>
      <c r="O920" s="6" t="s">
        <v>20</v>
      </c>
      <c r="P920" s="6">
        <v>0</v>
      </c>
      <c r="Q920" s="9" t="s">
        <v>23</v>
      </c>
      <c r="R920" s="54" t="s">
        <v>23</v>
      </c>
      <c r="S920" s="17" t="s">
        <v>2472</v>
      </c>
    </row>
    <row r="921" spans="1:19" ht="15.75" customHeight="1">
      <c r="A921" s="10">
        <v>111</v>
      </c>
      <c r="B921" s="10">
        <v>2022</v>
      </c>
      <c r="C921" s="6" t="s">
        <v>1824</v>
      </c>
      <c r="D921" s="48">
        <v>44777</v>
      </c>
      <c r="E921" s="6" t="s">
        <v>20</v>
      </c>
      <c r="F921" s="6" t="s">
        <v>55</v>
      </c>
      <c r="G921" s="10">
        <v>1</v>
      </c>
      <c r="H921" s="10">
        <v>1</v>
      </c>
      <c r="I921" s="10">
        <v>1</v>
      </c>
      <c r="J921" s="4" t="s">
        <v>30</v>
      </c>
      <c r="K921" s="4">
        <v>35388</v>
      </c>
      <c r="L921" s="4" t="s">
        <v>31</v>
      </c>
      <c r="M921" s="6" t="s">
        <v>2473</v>
      </c>
      <c r="N921" s="25" t="s">
        <v>20</v>
      </c>
      <c r="O921" s="6" t="s">
        <v>33</v>
      </c>
      <c r="P921" s="6">
        <v>8</v>
      </c>
      <c r="Q921" s="32" t="s">
        <v>2474</v>
      </c>
      <c r="R921" s="56" t="s">
        <v>2475</v>
      </c>
      <c r="S921" s="17" t="s">
        <v>2476</v>
      </c>
    </row>
    <row r="922" spans="1:19" ht="15.75" customHeight="1">
      <c r="A922" s="10">
        <v>112</v>
      </c>
      <c r="B922" s="10">
        <v>2022</v>
      </c>
      <c r="C922" s="6" t="s">
        <v>102</v>
      </c>
      <c r="D922" s="48">
        <v>44777</v>
      </c>
      <c r="E922" s="6" t="s">
        <v>20</v>
      </c>
      <c r="F922" s="6" t="s">
        <v>47</v>
      </c>
      <c r="G922" s="10">
        <v>1</v>
      </c>
      <c r="H922" s="10">
        <v>1</v>
      </c>
      <c r="I922" s="10">
        <v>1</v>
      </c>
      <c r="J922" s="4" t="s">
        <v>30</v>
      </c>
      <c r="K922" s="4">
        <v>35476</v>
      </c>
      <c r="L922" s="4" t="s">
        <v>31</v>
      </c>
      <c r="M922" s="6" t="s">
        <v>2477</v>
      </c>
      <c r="N922" s="25" t="s">
        <v>33</v>
      </c>
      <c r="O922" s="6" t="s">
        <v>20</v>
      </c>
      <c r="P922" s="6">
        <v>0</v>
      </c>
      <c r="Q922" s="32" t="s">
        <v>2478</v>
      </c>
      <c r="R922" s="56" t="s">
        <v>2479</v>
      </c>
      <c r="S922" s="17" t="s">
        <v>2480</v>
      </c>
    </row>
    <row r="923" spans="1:19" ht="15.75" customHeight="1">
      <c r="A923" s="10">
        <v>113</v>
      </c>
      <c r="B923" s="10">
        <v>2022</v>
      </c>
      <c r="C923" s="6" t="s">
        <v>102</v>
      </c>
      <c r="D923" s="48">
        <v>44782</v>
      </c>
      <c r="E923" s="6" t="s">
        <v>20</v>
      </c>
      <c r="F923" s="6" t="s">
        <v>53</v>
      </c>
      <c r="G923" s="10">
        <v>1</v>
      </c>
      <c r="H923" s="10">
        <v>1</v>
      </c>
      <c r="I923" s="10">
        <v>1</v>
      </c>
      <c r="J923" s="4" t="s">
        <v>30</v>
      </c>
      <c r="K923" s="4">
        <v>35476</v>
      </c>
      <c r="L923" s="4" t="s">
        <v>31</v>
      </c>
      <c r="M923" s="6" t="s">
        <v>2477</v>
      </c>
      <c r="N923" s="25" t="s">
        <v>20</v>
      </c>
      <c r="O923" s="6" t="s">
        <v>20</v>
      </c>
      <c r="P923" s="6">
        <v>0</v>
      </c>
      <c r="Q923" s="32" t="s">
        <v>2481</v>
      </c>
      <c r="R923" s="56" t="s">
        <v>2482</v>
      </c>
      <c r="S923" s="17" t="s">
        <v>2483</v>
      </c>
    </row>
    <row r="924" spans="1:19" ht="15.75" customHeight="1">
      <c r="A924" s="10">
        <v>114</v>
      </c>
      <c r="B924" s="10">
        <v>2022</v>
      </c>
      <c r="C924" s="6" t="s">
        <v>1824</v>
      </c>
      <c r="D924" s="48">
        <v>44782</v>
      </c>
      <c r="E924" s="6" t="s">
        <v>33</v>
      </c>
      <c r="F924" s="6" t="s">
        <v>2064</v>
      </c>
      <c r="G924" s="10">
        <v>2</v>
      </c>
      <c r="H924" s="10">
        <v>1</v>
      </c>
      <c r="I924" s="10">
        <v>1</v>
      </c>
      <c r="J924" s="4" t="s">
        <v>23</v>
      </c>
      <c r="K924" s="4" t="s">
        <v>23</v>
      </c>
      <c r="L924" s="4" t="s">
        <v>23</v>
      </c>
      <c r="M924" s="6" t="s">
        <v>2484</v>
      </c>
      <c r="N924" s="25" t="s">
        <v>23</v>
      </c>
      <c r="O924" s="6" t="s">
        <v>33</v>
      </c>
      <c r="P924" s="6">
        <v>2</v>
      </c>
      <c r="Q924" s="32" t="s">
        <v>2485</v>
      </c>
      <c r="R924" s="56" t="s">
        <v>2486</v>
      </c>
      <c r="S924" s="34" t="s">
        <v>2487</v>
      </c>
    </row>
    <row r="925" spans="1:19" ht="15.75" customHeight="1">
      <c r="A925" s="10">
        <v>115</v>
      </c>
      <c r="B925" s="10">
        <v>2022</v>
      </c>
      <c r="C925" s="6" t="s">
        <v>102</v>
      </c>
      <c r="D925" s="48">
        <v>44782</v>
      </c>
      <c r="E925" s="6" t="s">
        <v>20</v>
      </c>
      <c r="F925" s="6" t="s">
        <v>28</v>
      </c>
      <c r="G925" s="10">
        <v>1</v>
      </c>
      <c r="H925" s="10">
        <v>4</v>
      </c>
      <c r="I925" s="10">
        <v>1</v>
      </c>
      <c r="J925" s="4" t="s">
        <v>71</v>
      </c>
      <c r="K925" s="4">
        <v>33611</v>
      </c>
      <c r="L925" s="4" t="s">
        <v>61</v>
      </c>
      <c r="M925" s="6" t="s">
        <v>2488</v>
      </c>
      <c r="N925" s="25" t="s">
        <v>20</v>
      </c>
      <c r="O925" s="6" t="s">
        <v>20</v>
      </c>
      <c r="P925" s="6">
        <v>0</v>
      </c>
      <c r="Q925" s="32" t="s">
        <v>2489</v>
      </c>
      <c r="R925" s="56" t="s">
        <v>2490</v>
      </c>
      <c r="S925" s="17" t="s">
        <v>2491</v>
      </c>
    </row>
    <row r="926" spans="1:19" ht="15.75" customHeight="1">
      <c r="A926" s="10">
        <v>115</v>
      </c>
      <c r="B926" s="10">
        <v>2022</v>
      </c>
      <c r="C926" s="6" t="s">
        <v>102</v>
      </c>
      <c r="D926" s="48">
        <v>44782</v>
      </c>
      <c r="E926" s="6" t="s">
        <v>20</v>
      </c>
      <c r="F926" s="6" t="s">
        <v>28</v>
      </c>
      <c r="G926" s="10">
        <v>1</v>
      </c>
      <c r="H926" s="10">
        <v>4</v>
      </c>
      <c r="I926" s="10">
        <v>2</v>
      </c>
      <c r="J926" s="4" t="s">
        <v>71</v>
      </c>
      <c r="K926" s="4">
        <v>34643</v>
      </c>
      <c r="L926" s="4" t="s">
        <v>61</v>
      </c>
      <c r="M926" s="6" t="s">
        <v>2492</v>
      </c>
      <c r="N926" s="25" t="s">
        <v>20</v>
      </c>
      <c r="O926" s="6" t="s">
        <v>23</v>
      </c>
      <c r="P926" s="6" t="s">
        <v>23</v>
      </c>
      <c r="Q926" s="9" t="s">
        <v>23</v>
      </c>
      <c r="R926" s="54" t="s">
        <v>23</v>
      </c>
      <c r="S926" s="9" t="s">
        <v>23</v>
      </c>
    </row>
    <row r="927" spans="1:19" ht="15.75" customHeight="1">
      <c r="A927" s="10">
        <v>115</v>
      </c>
      <c r="B927" s="10">
        <v>2022</v>
      </c>
      <c r="C927" s="6" t="s">
        <v>102</v>
      </c>
      <c r="D927" s="48">
        <v>44782</v>
      </c>
      <c r="E927" s="6" t="s">
        <v>20</v>
      </c>
      <c r="F927" s="6" t="s">
        <v>28</v>
      </c>
      <c r="G927" s="10">
        <v>1</v>
      </c>
      <c r="H927" s="10">
        <v>4</v>
      </c>
      <c r="I927" s="10">
        <v>3</v>
      </c>
      <c r="J927" s="4" t="s">
        <v>71</v>
      </c>
      <c r="K927" s="4">
        <v>34824</v>
      </c>
      <c r="L927" s="4" t="s">
        <v>61</v>
      </c>
      <c r="M927" s="6" t="s">
        <v>2493</v>
      </c>
      <c r="N927" s="25" t="s">
        <v>20</v>
      </c>
      <c r="O927" s="6" t="s">
        <v>23</v>
      </c>
      <c r="P927" s="6" t="s">
        <v>23</v>
      </c>
      <c r="Q927" s="9" t="s">
        <v>23</v>
      </c>
      <c r="R927" s="54" t="s">
        <v>23</v>
      </c>
      <c r="S927" s="9" t="s">
        <v>23</v>
      </c>
    </row>
    <row r="928" spans="1:19" ht="15.75" customHeight="1">
      <c r="A928" s="10">
        <v>115</v>
      </c>
      <c r="B928" s="10">
        <v>2022</v>
      </c>
      <c r="C928" s="6" t="s">
        <v>102</v>
      </c>
      <c r="D928" s="48">
        <v>44782</v>
      </c>
      <c r="E928" s="6" t="s">
        <v>20</v>
      </c>
      <c r="F928" s="6" t="s">
        <v>28</v>
      </c>
      <c r="G928" s="10">
        <v>1</v>
      </c>
      <c r="H928" s="10">
        <v>4</v>
      </c>
      <c r="I928" s="10">
        <v>4</v>
      </c>
      <c r="J928" s="4" t="s">
        <v>71</v>
      </c>
      <c r="K928" s="4">
        <v>34936</v>
      </c>
      <c r="L928" s="4" t="s">
        <v>61</v>
      </c>
      <c r="M928" s="6" t="s">
        <v>2494</v>
      </c>
      <c r="N928" s="25" t="s">
        <v>33</v>
      </c>
      <c r="O928" s="6" t="s">
        <v>23</v>
      </c>
      <c r="P928" s="6" t="s">
        <v>23</v>
      </c>
      <c r="Q928" s="9" t="s">
        <v>23</v>
      </c>
      <c r="R928" s="54" t="s">
        <v>23</v>
      </c>
      <c r="S928" s="9" t="s">
        <v>23</v>
      </c>
    </row>
    <row r="929" spans="1:19" ht="15.75" customHeight="1">
      <c r="A929" s="10">
        <v>116</v>
      </c>
      <c r="B929" s="10">
        <v>2022</v>
      </c>
      <c r="C929" s="6" t="s">
        <v>1824</v>
      </c>
      <c r="D929" s="48">
        <v>44783</v>
      </c>
      <c r="E929" s="6" t="s">
        <v>20</v>
      </c>
      <c r="F929" s="6" t="s">
        <v>45</v>
      </c>
      <c r="G929" s="10">
        <v>1</v>
      </c>
      <c r="H929" s="10">
        <v>1</v>
      </c>
      <c r="I929" s="10">
        <v>1</v>
      </c>
      <c r="J929" s="4" t="s">
        <v>23</v>
      </c>
      <c r="K929" s="4" t="s">
        <v>23</v>
      </c>
      <c r="L929" s="4" t="s">
        <v>23</v>
      </c>
      <c r="M929" s="6" t="s">
        <v>2495</v>
      </c>
      <c r="N929" s="25" t="s">
        <v>23</v>
      </c>
      <c r="O929" s="6" t="s">
        <v>33</v>
      </c>
      <c r="P929" s="6">
        <v>1</v>
      </c>
      <c r="Q929" s="32" t="s">
        <v>2496</v>
      </c>
      <c r="R929" s="56" t="s">
        <v>2497</v>
      </c>
      <c r="S929" s="17" t="s">
        <v>2498</v>
      </c>
    </row>
    <row r="930" spans="1:19" ht="15.75" customHeight="1">
      <c r="A930" s="10">
        <v>117</v>
      </c>
      <c r="B930" s="10">
        <v>2022</v>
      </c>
      <c r="C930" s="6" t="s">
        <v>102</v>
      </c>
      <c r="D930" s="48">
        <v>44784</v>
      </c>
      <c r="E930" s="6" t="s">
        <v>33</v>
      </c>
      <c r="F930" s="6" t="s">
        <v>2499</v>
      </c>
      <c r="G930" s="10">
        <v>2</v>
      </c>
      <c r="H930" s="10">
        <v>1</v>
      </c>
      <c r="I930" s="10">
        <v>1</v>
      </c>
      <c r="J930" s="4" t="s">
        <v>30</v>
      </c>
      <c r="K930" s="4">
        <v>35388</v>
      </c>
      <c r="L930" s="4" t="s">
        <v>31</v>
      </c>
      <c r="M930" s="6" t="s">
        <v>2500</v>
      </c>
      <c r="N930" s="25" t="s">
        <v>20</v>
      </c>
      <c r="O930" s="6" t="s">
        <v>20</v>
      </c>
      <c r="P930" s="6">
        <v>0</v>
      </c>
      <c r="Q930" s="17" t="s">
        <v>2501</v>
      </c>
      <c r="R930" s="56" t="s">
        <v>2502</v>
      </c>
      <c r="S930" s="17" t="s">
        <v>2503</v>
      </c>
    </row>
    <row r="931" spans="1:19" ht="15.75" customHeight="1">
      <c r="A931" s="10">
        <v>118</v>
      </c>
      <c r="B931" s="10">
        <v>2022</v>
      </c>
      <c r="C931" s="6" t="s">
        <v>102</v>
      </c>
      <c r="D931" s="48">
        <v>44784</v>
      </c>
      <c r="E931" s="6" t="s">
        <v>20</v>
      </c>
      <c r="F931" s="6" t="s">
        <v>370</v>
      </c>
      <c r="G931" s="10">
        <v>1</v>
      </c>
      <c r="H931" s="10">
        <v>1</v>
      </c>
      <c r="I931" s="10">
        <v>1</v>
      </c>
      <c r="J931" s="4" t="s">
        <v>30</v>
      </c>
      <c r="K931" s="4">
        <v>35497</v>
      </c>
      <c r="L931" s="4" t="s">
        <v>31</v>
      </c>
      <c r="M931" s="6" t="s">
        <v>2504</v>
      </c>
      <c r="N931" s="25" t="s">
        <v>20</v>
      </c>
      <c r="O931" s="6" t="s">
        <v>33</v>
      </c>
      <c r="P931" s="6">
        <v>2</v>
      </c>
      <c r="Q931" s="17" t="s">
        <v>2505</v>
      </c>
      <c r="R931" s="56" t="s">
        <v>2506</v>
      </c>
      <c r="S931" s="17" t="s">
        <v>2507</v>
      </c>
    </row>
    <row r="932" spans="1:19" ht="15.75" customHeight="1">
      <c r="A932" s="10">
        <v>119</v>
      </c>
      <c r="B932" s="10">
        <v>2022</v>
      </c>
      <c r="C932" s="6" t="s">
        <v>102</v>
      </c>
      <c r="D932" s="48">
        <v>44784</v>
      </c>
      <c r="E932" s="6" t="s">
        <v>33</v>
      </c>
      <c r="F932" s="6" t="s">
        <v>2508</v>
      </c>
      <c r="G932" s="10">
        <v>2</v>
      </c>
      <c r="H932" s="10">
        <v>6</v>
      </c>
      <c r="I932" s="10">
        <v>1</v>
      </c>
      <c r="J932" s="4" t="s">
        <v>30</v>
      </c>
      <c r="K932" s="4">
        <v>23709</v>
      </c>
      <c r="L932" s="4" t="s">
        <v>61</v>
      </c>
      <c r="M932" s="6" t="s">
        <v>2447</v>
      </c>
      <c r="N932" s="25" t="s">
        <v>20</v>
      </c>
      <c r="O932" s="6" t="s">
        <v>20</v>
      </c>
      <c r="P932" s="6">
        <v>0</v>
      </c>
      <c r="Q932" s="17" t="s">
        <v>2509</v>
      </c>
      <c r="R932" s="54" t="s">
        <v>2510</v>
      </c>
      <c r="S932" s="17" t="s">
        <v>2511</v>
      </c>
    </row>
    <row r="933" spans="1:19" ht="15.75" customHeight="1">
      <c r="A933" s="10">
        <v>119</v>
      </c>
      <c r="B933" s="10">
        <v>2022</v>
      </c>
      <c r="C933" s="6" t="s">
        <v>102</v>
      </c>
      <c r="D933" s="48">
        <v>44784</v>
      </c>
      <c r="E933" s="6" t="s">
        <v>33</v>
      </c>
      <c r="F933" s="6" t="s">
        <v>2508</v>
      </c>
      <c r="G933" s="10">
        <v>2</v>
      </c>
      <c r="H933" s="10">
        <v>6</v>
      </c>
      <c r="I933" s="10">
        <v>2</v>
      </c>
      <c r="J933" s="4" t="s">
        <v>30</v>
      </c>
      <c r="K933" s="4">
        <v>34119</v>
      </c>
      <c r="L933" s="4" t="s">
        <v>61</v>
      </c>
      <c r="M933" s="6" t="s">
        <v>2512</v>
      </c>
      <c r="N933" s="25" t="s">
        <v>20</v>
      </c>
      <c r="O933" s="6" t="s">
        <v>23</v>
      </c>
      <c r="P933" s="6" t="s">
        <v>23</v>
      </c>
      <c r="Q933" s="9" t="s">
        <v>23</v>
      </c>
      <c r="R933" s="54" t="s">
        <v>23</v>
      </c>
      <c r="S933" s="9" t="s">
        <v>23</v>
      </c>
    </row>
    <row r="934" spans="1:19" ht="15.75" customHeight="1">
      <c r="A934" s="10">
        <v>119</v>
      </c>
      <c r="B934" s="10">
        <v>2022</v>
      </c>
      <c r="C934" s="6" t="s">
        <v>102</v>
      </c>
      <c r="D934" s="48">
        <v>44784</v>
      </c>
      <c r="E934" s="6" t="s">
        <v>33</v>
      </c>
      <c r="F934" s="6" t="s">
        <v>2508</v>
      </c>
      <c r="G934" s="10">
        <v>2</v>
      </c>
      <c r="H934" s="10">
        <v>6</v>
      </c>
      <c r="I934" s="10">
        <v>3</v>
      </c>
      <c r="J934" s="4" t="s">
        <v>30</v>
      </c>
      <c r="K934" s="4">
        <v>34220</v>
      </c>
      <c r="L934" s="4" t="s">
        <v>61</v>
      </c>
      <c r="M934" s="6" t="s">
        <v>2513</v>
      </c>
      <c r="N934" s="25" t="s">
        <v>20</v>
      </c>
      <c r="O934" s="6" t="s">
        <v>23</v>
      </c>
      <c r="P934" s="6" t="s">
        <v>23</v>
      </c>
      <c r="Q934" s="9" t="s">
        <v>23</v>
      </c>
      <c r="R934" s="54" t="s">
        <v>23</v>
      </c>
      <c r="S934" s="9" t="s">
        <v>23</v>
      </c>
    </row>
    <row r="935" spans="1:19" ht="15.75" customHeight="1">
      <c r="A935" s="10">
        <v>119</v>
      </c>
      <c r="B935" s="10">
        <v>2022</v>
      </c>
      <c r="C935" s="6" t="s">
        <v>102</v>
      </c>
      <c r="D935" s="48">
        <v>44784</v>
      </c>
      <c r="E935" s="6" t="s">
        <v>33</v>
      </c>
      <c r="F935" s="6" t="s">
        <v>2508</v>
      </c>
      <c r="G935" s="10">
        <v>2</v>
      </c>
      <c r="H935" s="10">
        <v>6</v>
      </c>
      <c r="I935" s="10">
        <v>4</v>
      </c>
      <c r="J935" s="4" t="s">
        <v>30</v>
      </c>
      <c r="K935" s="4">
        <v>34708</v>
      </c>
      <c r="L935" s="4" t="s">
        <v>61</v>
      </c>
      <c r="M935" s="6" t="s">
        <v>2514</v>
      </c>
      <c r="N935" s="25" t="s">
        <v>20</v>
      </c>
      <c r="O935" s="6" t="s">
        <v>23</v>
      </c>
      <c r="P935" s="6" t="s">
        <v>23</v>
      </c>
      <c r="Q935" s="9" t="s">
        <v>23</v>
      </c>
      <c r="R935" s="54" t="s">
        <v>23</v>
      </c>
      <c r="S935" s="9" t="s">
        <v>23</v>
      </c>
    </row>
    <row r="936" spans="1:19" ht="15.75" customHeight="1">
      <c r="A936" s="10">
        <v>119</v>
      </c>
      <c r="B936" s="10">
        <v>2022</v>
      </c>
      <c r="C936" s="6" t="s">
        <v>102</v>
      </c>
      <c r="D936" s="48">
        <v>44784</v>
      </c>
      <c r="E936" s="6" t="s">
        <v>33</v>
      </c>
      <c r="F936" s="6" t="s">
        <v>2508</v>
      </c>
      <c r="G936" s="10">
        <v>2</v>
      </c>
      <c r="H936" s="10">
        <v>6</v>
      </c>
      <c r="I936" s="10">
        <v>5</v>
      </c>
      <c r="J936" s="4" t="s">
        <v>30</v>
      </c>
      <c r="K936" s="4">
        <v>34833</v>
      </c>
      <c r="L936" s="4" t="s">
        <v>61</v>
      </c>
      <c r="M936" s="6" t="s">
        <v>2515</v>
      </c>
      <c r="N936" s="25" t="s">
        <v>20</v>
      </c>
      <c r="O936" s="6" t="s">
        <v>23</v>
      </c>
      <c r="P936" s="6" t="s">
        <v>23</v>
      </c>
      <c r="Q936" s="9" t="s">
        <v>23</v>
      </c>
      <c r="R936" s="54" t="s">
        <v>23</v>
      </c>
      <c r="S936" s="9" t="s">
        <v>23</v>
      </c>
    </row>
    <row r="937" spans="1:19" ht="15.75" customHeight="1">
      <c r="A937" s="10">
        <v>119</v>
      </c>
      <c r="B937" s="10">
        <v>2022</v>
      </c>
      <c r="C937" s="6" t="s">
        <v>102</v>
      </c>
      <c r="D937" s="48">
        <v>44784</v>
      </c>
      <c r="E937" s="6" t="s">
        <v>33</v>
      </c>
      <c r="F937" s="6" t="s">
        <v>2508</v>
      </c>
      <c r="G937" s="10">
        <v>2</v>
      </c>
      <c r="H937" s="10">
        <v>6</v>
      </c>
      <c r="I937" s="10">
        <v>6</v>
      </c>
      <c r="J937" s="4" t="s">
        <v>30</v>
      </c>
      <c r="K937" s="4">
        <v>35543</v>
      </c>
      <c r="L937" s="4" t="s">
        <v>61</v>
      </c>
      <c r="M937" s="6" t="s">
        <v>2516</v>
      </c>
      <c r="N937" s="25" t="s">
        <v>20</v>
      </c>
      <c r="O937" s="6" t="s">
        <v>23</v>
      </c>
      <c r="P937" s="6" t="s">
        <v>23</v>
      </c>
      <c r="Q937" s="9" t="s">
        <v>23</v>
      </c>
      <c r="R937" s="54" t="s">
        <v>23</v>
      </c>
      <c r="S937" s="9" t="s">
        <v>23</v>
      </c>
    </row>
    <row r="938" spans="1:19" ht="15.75" customHeight="1">
      <c r="A938" s="10">
        <v>120</v>
      </c>
      <c r="B938" s="10">
        <v>2022</v>
      </c>
      <c r="C938" s="6" t="s">
        <v>102</v>
      </c>
      <c r="D938" s="48">
        <v>44789</v>
      </c>
      <c r="E938" s="6" t="s">
        <v>20</v>
      </c>
      <c r="F938" s="6" t="s">
        <v>47</v>
      </c>
      <c r="G938" s="10">
        <v>1</v>
      </c>
      <c r="H938" s="10">
        <v>1</v>
      </c>
      <c r="I938" s="10">
        <v>1</v>
      </c>
      <c r="J938" s="4" t="s">
        <v>30</v>
      </c>
      <c r="K938" s="4">
        <v>35473</v>
      </c>
      <c r="L938" s="4" t="s">
        <v>31</v>
      </c>
      <c r="M938" s="6" t="s">
        <v>2517</v>
      </c>
      <c r="N938" s="25" t="s">
        <v>20</v>
      </c>
      <c r="O938" s="6" t="s">
        <v>20</v>
      </c>
      <c r="P938" s="6">
        <v>0</v>
      </c>
      <c r="Q938" s="32" t="s">
        <v>2518</v>
      </c>
      <c r="R938" s="56" t="s">
        <v>2519</v>
      </c>
      <c r="S938" s="17" t="s">
        <v>2520</v>
      </c>
    </row>
    <row r="939" spans="1:19" ht="15.75" customHeight="1">
      <c r="A939" s="10">
        <v>121</v>
      </c>
      <c r="B939" s="10">
        <v>2022</v>
      </c>
      <c r="C939" s="6" t="s">
        <v>102</v>
      </c>
      <c r="D939" s="48">
        <v>44789</v>
      </c>
      <c r="E939" s="6" t="s">
        <v>20</v>
      </c>
      <c r="F939" s="6" t="s">
        <v>51</v>
      </c>
      <c r="G939" s="10">
        <v>1</v>
      </c>
      <c r="H939" s="10">
        <v>5</v>
      </c>
      <c r="I939" s="10">
        <v>1</v>
      </c>
      <c r="J939" s="4" t="s">
        <v>71</v>
      </c>
      <c r="K939" s="4">
        <v>33702</v>
      </c>
      <c r="L939" s="4" t="s">
        <v>61</v>
      </c>
      <c r="M939" s="6" t="s">
        <v>2521</v>
      </c>
      <c r="N939" s="25" t="s">
        <v>33</v>
      </c>
      <c r="O939" s="6" t="s">
        <v>20</v>
      </c>
      <c r="P939" s="6">
        <v>0</v>
      </c>
      <c r="Q939" s="17" t="s">
        <v>2518</v>
      </c>
      <c r="R939" s="56" t="s">
        <v>2522</v>
      </c>
      <c r="S939" s="17" t="s">
        <v>2520</v>
      </c>
    </row>
    <row r="940" spans="1:19" ht="15.75" customHeight="1">
      <c r="A940" s="10">
        <v>121</v>
      </c>
      <c r="B940" s="10">
        <v>2022</v>
      </c>
      <c r="C940" s="6" t="s">
        <v>102</v>
      </c>
      <c r="D940" s="48">
        <v>44789</v>
      </c>
      <c r="E940" s="6" t="s">
        <v>20</v>
      </c>
      <c r="F940" s="6" t="s">
        <v>51</v>
      </c>
      <c r="G940" s="10">
        <v>1</v>
      </c>
      <c r="H940" s="10">
        <v>5</v>
      </c>
      <c r="I940" s="10">
        <v>2</v>
      </c>
      <c r="J940" s="4" t="s">
        <v>71</v>
      </c>
      <c r="K940" s="4">
        <v>34743</v>
      </c>
      <c r="L940" s="4" t="s">
        <v>61</v>
      </c>
      <c r="M940" s="6" t="s">
        <v>2523</v>
      </c>
      <c r="N940" s="25" t="s">
        <v>33</v>
      </c>
      <c r="O940" s="6" t="s">
        <v>23</v>
      </c>
      <c r="P940" s="6" t="s">
        <v>23</v>
      </c>
      <c r="Q940" s="9" t="s">
        <v>23</v>
      </c>
      <c r="R940" s="54" t="s">
        <v>23</v>
      </c>
      <c r="S940" s="9" t="s">
        <v>23</v>
      </c>
    </row>
    <row r="941" spans="1:19" ht="15.75" customHeight="1">
      <c r="A941" s="10">
        <v>121</v>
      </c>
      <c r="B941" s="10">
        <v>2022</v>
      </c>
      <c r="C941" s="6" t="s">
        <v>102</v>
      </c>
      <c r="D941" s="48">
        <v>44789</v>
      </c>
      <c r="E941" s="6" t="s">
        <v>20</v>
      </c>
      <c r="F941" s="6" t="s">
        <v>51</v>
      </c>
      <c r="G941" s="10">
        <v>1</v>
      </c>
      <c r="H941" s="10">
        <v>5</v>
      </c>
      <c r="I941" s="10">
        <v>3</v>
      </c>
      <c r="J941" s="4" t="s">
        <v>71</v>
      </c>
      <c r="K941" s="4">
        <v>34893</v>
      </c>
      <c r="L941" s="4" t="s">
        <v>61</v>
      </c>
      <c r="M941" s="6" t="s">
        <v>2524</v>
      </c>
      <c r="N941" s="25" t="s">
        <v>33</v>
      </c>
      <c r="O941" s="6" t="s">
        <v>23</v>
      </c>
      <c r="P941" s="6" t="s">
        <v>23</v>
      </c>
      <c r="Q941" s="9" t="s">
        <v>23</v>
      </c>
      <c r="R941" s="54" t="s">
        <v>23</v>
      </c>
      <c r="S941" s="9" t="s">
        <v>23</v>
      </c>
    </row>
    <row r="942" spans="1:19" ht="15.75" customHeight="1">
      <c r="A942" s="10">
        <v>121</v>
      </c>
      <c r="B942" s="10">
        <v>2022</v>
      </c>
      <c r="C942" s="6" t="s">
        <v>102</v>
      </c>
      <c r="D942" s="48">
        <v>44789</v>
      </c>
      <c r="E942" s="6" t="s">
        <v>20</v>
      </c>
      <c r="F942" s="6" t="s">
        <v>51</v>
      </c>
      <c r="G942" s="10">
        <v>1</v>
      </c>
      <c r="H942" s="10">
        <v>5</v>
      </c>
      <c r="I942" s="10">
        <v>4</v>
      </c>
      <c r="J942" s="4" t="s">
        <v>71</v>
      </c>
      <c r="K942" s="4">
        <v>34997</v>
      </c>
      <c r="L942" s="4" t="s">
        <v>61</v>
      </c>
      <c r="M942" s="6" t="s">
        <v>2525</v>
      </c>
      <c r="N942" s="25" t="s">
        <v>33</v>
      </c>
      <c r="O942" s="6" t="s">
        <v>23</v>
      </c>
      <c r="P942" s="6" t="s">
        <v>23</v>
      </c>
      <c r="Q942" s="9" t="s">
        <v>23</v>
      </c>
      <c r="R942" s="54" t="s">
        <v>23</v>
      </c>
      <c r="S942" s="9" t="s">
        <v>23</v>
      </c>
    </row>
    <row r="943" spans="1:19" ht="15.75" customHeight="1">
      <c r="A943" s="10">
        <v>121</v>
      </c>
      <c r="B943" s="10">
        <v>2022</v>
      </c>
      <c r="C943" s="6" t="s">
        <v>102</v>
      </c>
      <c r="D943" s="48">
        <v>44789</v>
      </c>
      <c r="E943" s="6" t="s">
        <v>20</v>
      </c>
      <c r="F943" s="6" t="s">
        <v>51</v>
      </c>
      <c r="G943" s="10">
        <v>1</v>
      </c>
      <c r="H943" s="10">
        <v>5</v>
      </c>
      <c r="I943" s="10">
        <v>5</v>
      </c>
      <c r="J943" s="4" t="s">
        <v>71</v>
      </c>
      <c r="K943" s="4">
        <v>35119</v>
      </c>
      <c r="L943" s="4" t="s">
        <v>61</v>
      </c>
      <c r="M943" s="6" t="s">
        <v>2526</v>
      </c>
      <c r="N943" s="25" t="s">
        <v>33</v>
      </c>
      <c r="O943" s="6" t="s">
        <v>23</v>
      </c>
      <c r="P943" s="6" t="s">
        <v>23</v>
      </c>
      <c r="Q943" s="9" t="s">
        <v>23</v>
      </c>
      <c r="R943" s="54" t="s">
        <v>23</v>
      </c>
      <c r="S943" s="9" t="s">
        <v>23</v>
      </c>
    </row>
    <row r="944" spans="1:19" ht="15.75" customHeight="1">
      <c r="A944" s="10">
        <v>122</v>
      </c>
      <c r="B944" s="10">
        <v>2022</v>
      </c>
      <c r="C944" s="6" t="s">
        <v>102</v>
      </c>
      <c r="D944" s="48">
        <v>44789</v>
      </c>
      <c r="E944" s="6" t="s">
        <v>33</v>
      </c>
      <c r="F944" s="6" t="s">
        <v>2054</v>
      </c>
      <c r="G944" s="10">
        <v>2</v>
      </c>
      <c r="H944" s="10">
        <v>1</v>
      </c>
      <c r="I944" s="10">
        <v>1</v>
      </c>
      <c r="J944" s="4" t="s">
        <v>30</v>
      </c>
      <c r="K944" s="4">
        <v>35497</v>
      </c>
      <c r="L944" s="4" t="s">
        <v>31</v>
      </c>
      <c r="M944" s="6" t="s">
        <v>2504</v>
      </c>
      <c r="N944" s="25" t="s">
        <v>33</v>
      </c>
      <c r="O944" s="6" t="s">
        <v>20</v>
      </c>
      <c r="P944" s="6">
        <v>0</v>
      </c>
      <c r="Q944" s="17" t="s">
        <v>2527</v>
      </c>
      <c r="R944" s="56" t="s">
        <v>2528</v>
      </c>
      <c r="S944" s="34" t="s">
        <v>2529</v>
      </c>
    </row>
    <row r="945" spans="1:19" ht="15.75" customHeight="1">
      <c r="A945" s="10">
        <v>123</v>
      </c>
      <c r="B945" s="10">
        <v>2022</v>
      </c>
      <c r="C945" s="6" t="s">
        <v>102</v>
      </c>
      <c r="D945" s="48">
        <v>44791</v>
      </c>
      <c r="E945" s="6" t="s">
        <v>33</v>
      </c>
      <c r="F945" s="6" t="s">
        <v>2499</v>
      </c>
      <c r="G945" s="10">
        <v>2</v>
      </c>
      <c r="H945" s="10">
        <v>1</v>
      </c>
      <c r="I945" s="10">
        <v>1</v>
      </c>
      <c r="J945" s="4" t="s">
        <v>30</v>
      </c>
      <c r="K945" s="4">
        <v>35388</v>
      </c>
      <c r="L945" s="4" t="s">
        <v>31</v>
      </c>
      <c r="M945" s="6" t="s">
        <v>2500</v>
      </c>
      <c r="N945" s="25" t="s">
        <v>20</v>
      </c>
      <c r="O945" s="6" t="s">
        <v>20</v>
      </c>
      <c r="P945" s="6">
        <v>0</v>
      </c>
      <c r="Q945" s="17" t="s">
        <v>2530</v>
      </c>
      <c r="R945" s="56" t="s">
        <v>2531</v>
      </c>
      <c r="S945" s="17" t="s">
        <v>2532</v>
      </c>
    </row>
    <row r="946" spans="1:19" ht="15.75" customHeight="1">
      <c r="A946" s="10">
        <v>124</v>
      </c>
      <c r="B946" s="10">
        <v>2022</v>
      </c>
      <c r="C946" s="6" t="s">
        <v>102</v>
      </c>
      <c r="D946" s="48">
        <v>44796</v>
      </c>
      <c r="E946" s="6" t="s">
        <v>33</v>
      </c>
      <c r="F946" s="6" t="s">
        <v>2074</v>
      </c>
      <c r="G946" s="10">
        <v>2</v>
      </c>
      <c r="H946" s="10">
        <v>2</v>
      </c>
      <c r="I946" s="10">
        <v>1</v>
      </c>
      <c r="J946" s="4" t="s">
        <v>30</v>
      </c>
      <c r="K946" s="4">
        <v>35448</v>
      </c>
      <c r="L946" s="4" t="s">
        <v>31</v>
      </c>
      <c r="M946" s="6" t="s">
        <v>2533</v>
      </c>
      <c r="N946" s="25" t="s">
        <v>33</v>
      </c>
      <c r="O946" s="6" t="s">
        <v>20</v>
      </c>
      <c r="P946" s="6">
        <v>0</v>
      </c>
      <c r="Q946" s="17" t="s">
        <v>2534</v>
      </c>
      <c r="R946" s="56" t="s">
        <v>2535</v>
      </c>
      <c r="S946" s="17" t="s">
        <v>2536</v>
      </c>
    </row>
    <row r="947" spans="1:19" ht="15.75" customHeight="1">
      <c r="A947" s="10">
        <v>124</v>
      </c>
      <c r="B947" s="10">
        <v>2022</v>
      </c>
      <c r="C947" s="6" t="s">
        <v>102</v>
      </c>
      <c r="D947" s="48">
        <v>44796</v>
      </c>
      <c r="E947" s="6" t="s">
        <v>33</v>
      </c>
      <c r="F947" s="6" t="s">
        <v>2074</v>
      </c>
      <c r="G947" s="10">
        <v>2</v>
      </c>
      <c r="H947" s="10">
        <v>2</v>
      </c>
      <c r="I947" s="18">
        <v>2</v>
      </c>
      <c r="J947" s="4" t="s">
        <v>30</v>
      </c>
      <c r="K947" s="4">
        <v>35473</v>
      </c>
      <c r="L947" s="4" t="s">
        <v>31</v>
      </c>
      <c r="M947" s="6" t="s">
        <v>2517</v>
      </c>
      <c r="N947" s="25" t="s">
        <v>33</v>
      </c>
      <c r="O947" s="6" t="s">
        <v>23</v>
      </c>
      <c r="P947" s="6" t="s">
        <v>23</v>
      </c>
      <c r="Q947" s="9" t="s">
        <v>23</v>
      </c>
      <c r="R947" s="54" t="s">
        <v>23</v>
      </c>
      <c r="S947" s="9" t="s">
        <v>23</v>
      </c>
    </row>
    <row r="948" spans="1:19" ht="15.75" customHeight="1">
      <c r="A948" s="10">
        <v>125</v>
      </c>
      <c r="B948" s="10">
        <v>2022</v>
      </c>
      <c r="C948" s="6" t="s">
        <v>102</v>
      </c>
      <c r="D948" s="48">
        <v>44796</v>
      </c>
      <c r="E948" s="6" t="s">
        <v>20</v>
      </c>
      <c r="F948" s="6" t="s">
        <v>47</v>
      </c>
      <c r="G948" s="10">
        <v>1</v>
      </c>
      <c r="H948" s="10">
        <v>1</v>
      </c>
      <c r="I948" s="10">
        <v>1</v>
      </c>
      <c r="J948" s="4" t="s">
        <v>30</v>
      </c>
      <c r="K948" s="4">
        <v>35474</v>
      </c>
      <c r="L948" s="4" t="s">
        <v>31</v>
      </c>
      <c r="M948" s="6" t="s">
        <v>2537</v>
      </c>
      <c r="N948" s="25" t="s">
        <v>20</v>
      </c>
      <c r="O948" s="6" t="s">
        <v>20</v>
      </c>
      <c r="P948" s="6">
        <v>0</v>
      </c>
      <c r="Q948" s="17" t="s">
        <v>2538</v>
      </c>
      <c r="R948" s="56" t="s">
        <v>2539</v>
      </c>
      <c r="S948" s="17" t="s">
        <v>2540</v>
      </c>
    </row>
    <row r="949" spans="1:19" ht="15.75" customHeight="1">
      <c r="A949" s="10">
        <v>126</v>
      </c>
      <c r="B949" s="10">
        <v>2022</v>
      </c>
      <c r="C949" s="6" t="s">
        <v>102</v>
      </c>
      <c r="D949" s="48">
        <v>44798</v>
      </c>
      <c r="E949" s="6" t="s">
        <v>33</v>
      </c>
      <c r="F949" s="6" t="s">
        <v>2499</v>
      </c>
      <c r="G949" s="10">
        <v>2</v>
      </c>
      <c r="H949" s="10">
        <v>1</v>
      </c>
      <c r="I949" s="10">
        <v>1</v>
      </c>
      <c r="J949" s="4" t="s">
        <v>30</v>
      </c>
      <c r="K949" s="4">
        <v>35388</v>
      </c>
      <c r="L949" s="4" t="s">
        <v>31</v>
      </c>
      <c r="M949" s="6" t="s">
        <v>2500</v>
      </c>
      <c r="N949" s="25" t="s">
        <v>20</v>
      </c>
      <c r="O949" s="6" t="s">
        <v>20</v>
      </c>
      <c r="P949" s="6">
        <v>0</v>
      </c>
      <c r="Q949" s="17" t="s">
        <v>2541</v>
      </c>
      <c r="R949" s="56" t="s">
        <v>2542</v>
      </c>
      <c r="S949" s="17" t="s">
        <v>2543</v>
      </c>
    </row>
    <row r="950" spans="1:19" ht="15.75" customHeight="1">
      <c r="A950" s="10">
        <v>127</v>
      </c>
      <c r="B950" s="10">
        <v>2022</v>
      </c>
      <c r="C950" s="6" t="s">
        <v>102</v>
      </c>
      <c r="D950" s="48">
        <v>44798</v>
      </c>
      <c r="E950" s="6" t="s">
        <v>20</v>
      </c>
      <c r="F950" s="6" t="s">
        <v>28</v>
      </c>
      <c r="G950" s="10">
        <v>1</v>
      </c>
      <c r="H950" s="10">
        <v>1</v>
      </c>
      <c r="I950" s="10">
        <v>1</v>
      </c>
      <c r="J950" s="4" t="s">
        <v>30</v>
      </c>
      <c r="K950" s="4">
        <v>35665</v>
      </c>
      <c r="L950" s="4" t="s">
        <v>31</v>
      </c>
      <c r="M950" s="6" t="s">
        <v>2544</v>
      </c>
      <c r="N950" s="25" t="s">
        <v>33</v>
      </c>
      <c r="O950" s="6" t="s">
        <v>33</v>
      </c>
      <c r="P950" s="6">
        <v>1</v>
      </c>
      <c r="Q950" s="17" t="s">
        <v>2545</v>
      </c>
      <c r="R950" s="56" t="s">
        <v>2546</v>
      </c>
      <c r="S950" s="17" t="s">
        <v>2547</v>
      </c>
    </row>
    <row r="951" spans="1:19" ht="15.75" customHeight="1">
      <c r="A951" s="10">
        <v>128</v>
      </c>
      <c r="B951" s="10">
        <v>2022</v>
      </c>
      <c r="C951" s="6" t="s">
        <v>1824</v>
      </c>
      <c r="D951" s="48">
        <v>44803</v>
      </c>
      <c r="E951" s="6" t="s">
        <v>33</v>
      </c>
      <c r="F951" s="6" t="s">
        <v>2074</v>
      </c>
      <c r="G951" s="10">
        <v>2</v>
      </c>
      <c r="H951" s="10">
        <v>1</v>
      </c>
      <c r="I951" s="10">
        <v>1</v>
      </c>
      <c r="J951" s="4" t="s">
        <v>30</v>
      </c>
      <c r="K951" s="4">
        <v>35041</v>
      </c>
      <c r="L951" s="4" t="s">
        <v>61</v>
      </c>
      <c r="M951" s="6" t="s">
        <v>2548</v>
      </c>
      <c r="N951" s="25" t="s">
        <v>20</v>
      </c>
      <c r="O951" s="6" t="s">
        <v>33</v>
      </c>
      <c r="P951" s="6">
        <v>2</v>
      </c>
      <c r="Q951" s="17" t="s">
        <v>2549</v>
      </c>
      <c r="R951" s="56" t="s">
        <v>2550</v>
      </c>
      <c r="S951" s="17" t="s">
        <v>2551</v>
      </c>
    </row>
    <row r="952" spans="1:19" ht="15.75" customHeight="1">
      <c r="A952" s="10">
        <v>129</v>
      </c>
      <c r="B952" s="10">
        <v>2022</v>
      </c>
      <c r="C952" s="6" t="s">
        <v>102</v>
      </c>
      <c r="D952" s="48">
        <v>44803</v>
      </c>
      <c r="E952" s="6" t="s">
        <v>20</v>
      </c>
      <c r="F952" s="6" t="s">
        <v>53</v>
      </c>
      <c r="G952" s="10">
        <v>1</v>
      </c>
      <c r="H952" s="10">
        <v>1</v>
      </c>
      <c r="I952" s="10">
        <v>1</v>
      </c>
      <c r="J952" s="4" t="s">
        <v>30</v>
      </c>
      <c r="K952" s="4">
        <v>35474</v>
      </c>
      <c r="L952" s="4" t="s">
        <v>31</v>
      </c>
      <c r="M952" s="6" t="s">
        <v>2537</v>
      </c>
      <c r="N952" s="25" t="s">
        <v>33</v>
      </c>
      <c r="O952" s="6" t="s">
        <v>20</v>
      </c>
      <c r="P952" s="6">
        <v>0</v>
      </c>
      <c r="Q952" s="32" t="s">
        <v>2552</v>
      </c>
      <c r="R952" s="56" t="s">
        <v>2553</v>
      </c>
      <c r="S952" s="34" t="s">
        <v>2554</v>
      </c>
    </row>
    <row r="953" spans="1:19" ht="15.75" customHeight="1">
      <c r="A953" s="10">
        <v>130</v>
      </c>
      <c r="B953" s="10">
        <v>2022</v>
      </c>
      <c r="C953" s="6" t="s">
        <v>102</v>
      </c>
      <c r="D953" s="48">
        <v>44803</v>
      </c>
      <c r="E953" s="6" t="s">
        <v>33</v>
      </c>
      <c r="F953" s="6" t="s">
        <v>1039</v>
      </c>
      <c r="G953" s="10">
        <v>2</v>
      </c>
      <c r="H953" s="10">
        <v>1</v>
      </c>
      <c r="I953" s="10">
        <v>1</v>
      </c>
      <c r="J953" s="4" t="s">
        <v>30</v>
      </c>
      <c r="K953" s="4">
        <v>35665</v>
      </c>
      <c r="L953" s="4" t="s">
        <v>31</v>
      </c>
      <c r="M953" s="6" t="s">
        <v>2544</v>
      </c>
      <c r="N953" s="25" t="s">
        <v>33</v>
      </c>
      <c r="O953" s="6" t="s">
        <v>20</v>
      </c>
      <c r="P953" s="6">
        <v>0</v>
      </c>
      <c r="Q953" s="32" t="s">
        <v>2555</v>
      </c>
      <c r="R953" s="56" t="s">
        <v>2556</v>
      </c>
      <c r="S953" s="32" t="s">
        <v>2557</v>
      </c>
    </row>
    <row r="954" spans="1:19" ht="15.75" customHeight="1">
      <c r="A954" s="10">
        <v>131</v>
      </c>
      <c r="B954" s="10">
        <v>2022</v>
      </c>
      <c r="C954" s="6" t="s">
        <v>1824</v>
      </c>
      <c r="D954" s="48">
        <v>44803</v>
      </c>
      <c r="E954" s="6" t="s">
        <v>20</v>
      </c>
      <c r="F954" s="6" t="s">
        <v>39</v>
      </c>
      <c r="G954" s="10">
        <v>1</v>
      </c>
      <c r="H954" s="10">
        <v>1</v>
      </c>
      <c r="I954" s="10">
        <v>1</v>
      </c>
      <c r="J954" s="4" t="s">
        <v>71</v>
      </c>
      <c r="K954" s="4">
        <v>35727</v>
      </c>
      <c r="L954" s="4" t="s">
        <v>61</v>
      </c>
      <c r="M954" s="6" t="s">
        <v>2558</v>
      </c>
      <c r="N954" s="25" t="s">
        <v>33</v>
      </c>
      <c r="O954" s="6" t="s">
        <v>33</v>
      </c>
      <c r="P954" s="6">
        <v>4</v>
      </c>
      <c r="Q954" s="32" t="s">
        <v>2559</v>
      </c>
      <c r="R954" s="56" t="s">
        <v>2560</v>
      </c>
      <c r="S954" s="17" t="s">
        <v>2561</v>
      </c>
    </row>
    <row r="955" spans="1:19" ht="15.75" customHeight="1">
      <c r="A955" s="10">
        <v>132</v>
      </c>
      <c r="B955" s="10">
        <v>2022</v>
      </c>
      <c r="C955" s="6" t="s">
        <v>102</v>
      </c>
      <c r="D955" s="48">
        <v>44805</v>
      </c>
      <c r="E955" s="6" t="s">
        <v>33</v>
      </c>
      <c r="F955" s="6" t="s">
        <v>2499</v>
      </c>
      <c r="G955" s="10">
        <v>2</v>
      </c>
      <c r="H955" s="10">
        <v>1</v>
      </c>
      <c r="I955" s="10">
        <v>1</v>
      </c>
      <c r="J955" s="4" t="s">
        <v>30</v>
      </c>
      <c r="K955" s="4">
        <v>35388</v>
      </c>
      <c r="L955" s="4" t="s">
        <v>31</v>
      </c>
      <c r="M955" s="6" t="s">
        <v>2500</v>
      </c>
      <c r="N955" s="25" t="s">
        <v>33</v>
      </c>
      <c r="O955" s="6" t="s">
        <v>20</v>
      </c>
      <c r="P955" s="6">
        <v>0</v>
      </c>
      <c r="Q955" s="32" t="s">
        <v>2562</v>
      </c>
      <c r="R955" s="56" t="s">
        <v>2563</v>
      </c>
      <c r="S955" s="34" t="s">
        <v>2564</v>
      </c>
    </row>
    <row r="956" spans="1:19" ht="15.75" customHeight="1">
      <c r="A956" s="10">
        <v>133</v>
      </c>
      <c r="B956" s="10">
        <v>2022</v>
      </c>
      <c r="C956" s="6" t="s">
        <v>102</v>
      </c>
      <c r="D956" s="48">
        <v>44805</v>
      </c>
      <c r="E956" s="6" t="s">
        <v>20</v>
      </c>
      <c r="F956" s="6" t="s">
        <v>41</v>
      </c>
      <c r="G956" s="10">
        <v>1</v>
      </c>
      <c r="H956" s="10">
        <v>1</v>
      </c>
      <c r="I956" s="10">
        <v>1</v>
      </c>
      <c r="J956" s="4" t="s">
        <v>30</v>
      </c>
      <c r="K956" s="4">
        <v>34846</v>
      </c>
      <c r="L956" s="4" t="s">
        <v>61</v>
      </c>
      <c r="M956" s="6" t="s">
        <v>2565</v>
      </c>
      <c r="N956" s="25" t="s">
        <v>20</v>
      </c>
      <c r="O956" s="6" t="s">
        <v>20</v>
      </c>
      <c r="P956" s="6">
        <v>0</v>
      </c>
      <c r="Q956" s="32" t="s">
        <v>2566</v>
      </c>
      <c r="R956" s="56" t="s">
        <v>2567</v>
      </c>
      <c r="S956" s="17" t="s">
        <v>2568</v>
      </c>
    </row>
    <row r="957" spans="1:19" ht="15.75" customHeight="1">
      <c r="A957" s="10">
        <v>134</v>
      </c>
      <c r="B957" s="10">
        <v>2022</v>
      </c>
      <c r="C957" s="6" t="s">
        <v>102</v>
      </c>
      <c r="D957" s="48">
        <v>44805</v>
      </c>
      <c r="E957" s="6" t="s">
        <v>20</v>
      </c>
      <c r="F957" s="6" t="s">
        <v>47</v>
      </c>
      <c r="G957" s="10">
        <v>1</v>
      </c>
      <c r="H957" s="10">
        <v>1</v>
      </c>
      <c r="I957" s="10">
        <v>1</v>
      </c>
      <c r="J957" s="4" t="s">
        <v>30</v>
      </c>
      <c r="K957" s="4">
        <v>35475</v>
      </c>
      <c r="L957" s="4" t="s">
        <v>31</v>
      </c>
      <c r="M957" s="6" t="s">
        <v>2569</v>
      </c>
      <c r="N957" s="25" t="s">
        <v>33</v>
      </c>
      <c r="O957" s="6" t="s">
        <v>20</v>
      </c>
      <c r="P957" s="6">
        <v>0</v>
      </c>
      <c r="Q957" s="32" t="s">
        <v>2570</v>
      </c>
      <c r="R957" s="56" t="s">
        <v>2571</v>
      </c>
      <c r="S957" s="17" t="s">
        <v>2572</v>
      </c>
    </row>
    <row r="958" spans="1:19" ht="15.75" customHeight="1">
      <c r="A958" s="10">
        <v>135</v>
      </c>
      <c r="B958" s="10">
        <v>2022</v>
      </c>
      <c r="C958" s="6" t="s">
        <v>102</v>
      </c>
      <c r="D958" s="48">
        <v>44810</v>
      </c>
      <c r="E958" s="6" t="s">
        <v>20</v>
      </c>
      <c r="F958" s="6" t="s">
        <v>26</v>
      </c>
      <c r="G958" s="10">
        <v>1</v>
      </c>
      <c r="H958" s="10">
        <v>3</v>
      </c>
      <c r="I958" s="10">
        <v>1</v>
      </c>
      <c r="J958" s="4" t="s">
        <v>30</v>
      </c>
      <c r="K958" s="4">
        <v>33946</v>
      </c>
      <c r="L958" s="4" t="s">
        <v>61</v>
      </c>
      <c r="M958" s="6" t="s">
        <v>2573</v>
      </c>
      <c r="N958" s="25" t="s">
        <v>20</v>
      </c>
      <c r="O958" s="6" t="s">
        <v>20</v>
      </c>
      <c r="P958" s="6">
        <v>0</v>
      </c>
      <c r="Q958" s="32" t="s">
        <v>2574</v>
      </c>
      <c r="R958" s="56" t="s">
        <v>2575</v>
      </c>
      <c r="S958" s="17" t="s">
        <v>2576</v>
      </c>
    </row>
    <row r="959" spans="1:19" ht="15.75" customHeight="1">
      <c r="A959" s="10">
        <v>135</v>
      </c>
      <c r="B959" s="10">
        <v>2022</v>
      </c>
      <c r="C959" s="6" t="s">
        <v>102</v>
      </c>
      <c r="D959" s="48">
        <v>44810</v>
      </c>
      <c r="E959" s="6" t="s">
        <v>20</v>
      </c>
      <c r="F959" s="6" t="s">
        <v>26</v>
      </c>
      <c r="G959" s="10">
        <v>1</v>
      </c>
      <c r="H959" s="10">
        <v>3</v>
      </c>
      <c r="I959" s="10">
        <v>2</v>
      </c>
      <c r="J959" s="4" t="s">
        <v>30</v>
      </c>
      <c r="K959" s="4">
        <v>31745</v>
      </c>
      <c r="L959" s="4" t="s">
        <v>61</v>
      </c>
      <c r="M959" s="6" t="s">
        <v>2577</v>
      </c>
      <c r="N959" s="25" t="s">
        <v>20</v>
      </c>
      <c r="O959" s="6" t="s">
        <v>23</v>
      </c>
      <c r="P959" s="6" t="s">
        <v>23</v>
      </c>
      <c r="Q959" s="9" t="s">
        <v>23</v>
      </c>
      <c r="R959" s="54" t="s">
        <v>23</v>
      </c>
      <c r="S959" s="9" t="s">
        <v>23</v>
      </c>
    </row>
    <row r="960" spans="1:19" ht="15.75" customHeight="1">
      <c r="A960" s="10">
        <v>135</v>
      </c>
      <c r="B960" s="10">
        <v>2022</v>
      </c>
      <c r="C960" s="6" t="s">
        <v>102</v>
      </c>
      <c r="D960" s="48">
        <v>44810</v>
      </c>
      <c r="E960" s="6" t="s">
        <v>20</v>
      </c>
      <c r="F960" s="6" t="s">
        <v>26</v>
      </c>
      <c r="G960" s="10">
        <v>1</v>
      </c>
      <c r="H960" s="10">
        <v>3</v>
      </c>
      <c r="I960" s="10">
        <v>3</v>
      </c>
      <c r="J960" s="4" t="s">
        <v>30</v>
      </c>
      <c r="K960" s="4">
        <v>34120</v>
      </c>
      <c r="L960" s="4" t="s">
        <v>61</v>
      </c>
      <c r="M960" s="6" t="s">
        <v>2578</v>
      </c>
      <c r="N960" s="25" t="s">
        <v>20</v>
      </c>
      <c r="O960" s="6" t="s">
        <v>23</v>
      </c>
      <c r="P960" s="6" t="s">
        <v>23</v>
      </c>
      <c r="Q960" s="9" t="s">
        <v>23</v>
      </c>
      <c r="R960" s="54" t="s">
        <v>23</v>
      </c>
      <c r="S960" s="9" t="s">
        <v>23</v>
      </c>
    </row>
    <row r="961" spans="1:19" ht="15.75" customHeight="1">
      <c r="A961" s="10">
        <v>136</v>
      </c>
      <c r="B961" s="10">
        <v>2022</v>
      </c>
      <c r="C961" s="6" t="s">
        <v>1824</v>
      </c>
      <c r="D961" s="48">
        <v>44810</v>
      </c>
      <c r="E961" s="6" t="s">
        <v>33</v>
      </c>
      <c r="F961" s="6" t="s">
        <v>2579</v>
      </c>
      <c r="G961" s="10">
        <v>2</v>
      </c>
      <c r="H961" s="10">
        <v>1</v>
      </c>
      <c r="I961" s="10">
        <v>1</v>
      </c>
      <c r="J961" s="4" t="s">
        <v>30</v>
      </c>
      <c r="K961" s="4">
        <v>35730</v>
      </c>
      <c r="L961" s="4" t="s">
        <v>31</v>
      </c>
      <c r="M961" s="6" t="s">
        <v>2580</v>
      </c>
      <c r="N961" s="25" t="s">
        <v>20</v>
      </c>
      <c r="O961" s="6" t="s">
        <v>33</v>
      </c>
      <c r="P961" s="6">
        <v>1</v>
      </c>
      <c r="Q961" s="32" t="s">
        <v>2581</v>
      </c>
      <c r="R961" s="56" t="s">
        <v>2582</v>
      </c>
      <c r="S961" s="32" t="s">
        <v>2583</v>
      </c>
    </row>
    <row r="962" spans="1:19" ht="15.75" customHeight="1">
      <c r="A962" s="10">
        <v>137</v>
      </c>
      <c r="B962" s="10">
        <v>2022</v>
      </c>
      <c r="C962" s="6" t="s">
        <v>102</v>
      </c>
      <c r="D962" s="48">
        <v>44810</v>
      </c>
      <c r="E962" s="6" t="s">
        <v>20</v>
      </c>
      <c r="F962" s="6" t="s">
        <v>39</v>
      </c>
      <c r="G962" s="10">
        <v>1</v>
      </c>
      <c r="H962" s="10">
        <v>5</v>
      </c>
      <c r="I962" s="10">
        <v>1</v>
      </c>
      <c r="J962" s="4" t="s">
        <v>71</v>
      </c>
      <c r="K962" s="4">
        <v>33822</v>
      </c>
      <c r="L962" s="4" t="s">
        <v>61</v>
      </c>
      <c r="M962" s="6" t="s">
        <v>2584</v>
      </c>
      <c r="N962" s="25" t="s">
        <v>33</v>
      </c>
      <c r="O962" s="6" t="s">
        <v>20</v>
      </c>
      <c r="P962" s="6">
        <v>0</v>
      </c>
      <c r="Q962" s="32" t="s">
        <v>2585</v>
      </c>
      <c r="R962" s="54" t="s">
        <v>23</v>
      </c>
      <c r="S962" s="17" t="s">
        <v>2586</v>
      </c>
    </row>
    <row r="963" spans="1:19" ht="15.75" customHeight="1">
      <c r="A963" s="10">
        <v>137</v>
      </c>
      <c r="B963" s="10">
        <v>2022</v>
      </c>
      <c r="C963" s="6" t="s">
        <v>102</v>
      </c>
      <c r="D963" s="48">
        <v>44810</v>
      </c>
      <c r="E963" s="6" t="s">
        <v>20</v>
      </c>
      <c r="F963" s="6" t="s">
        <v>39</v>
      </c>
      <c r="G963" s="10">
        <v>1</v>
      </c>
      <c r="H963" s="10">
        <v>5</v>
      </c>
      <c r="I963" s="10">
        <v>2</v>
      </c>
      <c r="J963" s="4" t="s">
        <v>71</v>
      </c>
      <c r="K963" s="4">
        <v>33974</v>
      </c>
      <c r="L963" s="4" t="s">
        <v>61</v>
      </c>
      <c r="M963" s="6" t="s">
        <v>2587</v>
      </c>
      <c r="N963" s="25" t="s">
        <v>33</v>
      </c>
      <c r="O963" s="6" t="s">
        <v>23</v>
      </c>
      <c r="P963" s="6" t="s">
        <v>23</v>
      </c>
      <c r="Q963" s="9" t="s">
        <v>23</v>
      </c>
      <c r="R963" s="54" t="s">
        <v>23</v>
      </c>
      <c r="S963" s="9" t="s">
        <v>23</v>
      </c>
    </row>
    <row r="964" spans="1:19" ht="15.75" customHeight="1">
      <c r="A964" s="10">
        <v>137</v>
      </c>
      <c r="B964" s="10">
        <v>2022</v>
      </c>
      <c r="C964" s="6" t="s">
        <v>102</v>
      </c>
      <c r="D964" s="48">
        <v>44810</v>
      </c>
      <c r="E964" s="6" t="s">
        <v>20</v>
      </c>
      <c r="F964" s="6" t="s">
        <v>39</v>
      </c>
      <c r="G964" s="10">
        <v>1</v>
      </c>
      <c r="H964" s="10">
        <v>5</v>
      </c>
      <c r="I964" s="10">
        <v>3</v>
      </c>
      <c r="J964" s="4" t="s">
        <v>71</v>
      </c>
      <c r="K964" s="4">
        <v>34763</v>
      </c>
      <c r="L964" s="4" t="s">
        <v>61</v>
      </c>
      <c r="M964" s="6" t="s">
        <v>2588</v>
      </c>
      <c r="N964" s="25" t="s">
        <v>33</v>
      </c>
      <c r="O964" s="6" t="s">
        <v>23</v>
      </c>
      <c r="P964" s="6" t="s">
        <v>23</v>
      </c>
      <c r="Q964" s="9" t="s">
        <v>23</v>
      </c>
      <c r="R964" s="54" t="s">
        <v>23</v>
      </c>
      <c r="S964" s="9" t="s">
        <v>23</v>
      </c>
    </row>
    <row r="965" spans="1:19" ht="15.75" customHeight="1">
      <c r="A965" s="10">
        <v>137</v>
      </c>
      <c r="B965" s="10">
        <v>2022</v>
      </c>
      <c r="C965" s="6" t="s">
        <v>102</v>
      </c>
      <c r="D965" s="48">
        <v>44810</v>
      </c>
      <c r="E965" s="6" t="s">
        <v>20</v>
      </c>
      <c r="F965" s="6" t="s">
        <v>39</v>
      </c>
      <c r="G965" s="10">
        <v>1</v>
      </c>
      <c r="H965" s="10">
        <v>5</v>
      </c>
      <c r="I965" s="10">
        <v>4</v>
      </c>
      <c r="J965" s="4" t="s">
        <v>71</v>
      </c>
      <c r="K965" s="4">
        <v>35502</v>
      </c>
      <c r="L965" s="4" t="s">
        <v>61</v>
      </c>
      <c r="M965" s="6" t="s">
        <v>2589</v>
      </c>
      <c r="N965" s="25" t="s">
        <v>33</v>
      </c>
      <c r="O965" s="6" t="s">
        <v>23</v>
      </c>
      <c r="P965" s="6" t="s">
        <v>23</v>
      </c>
      <c r="Q965" s="9" t="s">
        <v>23</v>
      </c>
      <c r="R965" s="54" t="s">
        <v>23</v>
      </c>
      <c r="S965" s="9" t="s">
        <v>23</v>
      </c>
    </row>
    <row r="966" spans="1:19" ht="15.75" customHeight="1">
      <c r="A966" s="10">
        <v>137</v>
      </c>
      <c r="B966" s="10">
        <v>2022</v>
      </c>
      <c r="C966" s="6" t="s">
        <v>102</v>
      </c>
      <c r="D966" s="48">
        <v>44810</v>
      </c>
      <c r="E966" s="6" t="s">
        <v>20</v>
      </c>
      <c r="F966" s="6" t="s">
        <v>39</v>
      </c>
      <c r="G966" s="10">
        <v>1</v>
      </c>
      <c r="H966" s="10">
        <v>5</v>
      </c>
      <c r="I966" s="10">
        <v>5</v>
      </c>
      <c r="J966" s="4" t="s">
        <v>71</v>
      </c>
      <c r="K966" s="4">
        <v>35566</v>
      </c>
      <c r="L966" s="4" t="s">
        <v>61</v>
      </c>
      <c r="M966" s="6" t="s">
        <v>2590</v>
      </c>
      <c r="N966" s="25" t="s">
        <v>33</v>
      </c>
      <c r="O966" s="6" t="s">
        <v>23</v>
      </c>
      <c r="P966" s="6" t="s">
        <v>23</v>
      </c>
      <c r="Q966" s="9" t="s">
        <v>23</v>
      </c>
      <c r="R966" s="54" t="s">
        <v>23</v>
      </c>
      <c r="S966" s="9" t="s">
        <v>23</v>
      </c>
    </row>
    <row r="967" spans="1:19" ht="15.75" customHeight="1">
      <c r="A967" s="10">
        <v>138</v>
      </c>
      <c r="B967" s="10">
        <v>2022</v>
      </c>
      <c r="C967" s="6" t="s">
        <v>1824</v>
      </c>
      <c r="D967" s="48">
        <v>44811</v>
      </c>
      <c r="E967" s="6" t="s">
        <v>33</v>
      </c>
      <c r="F967" s="6" t="s">
        <v>2074</v>
      </c>
      <c r="G967" s="10">
        <v>2</v>
      </c>
      <c r="H967" s="10">
        <v>1</v>
      </c>
      <c r="I967" s="10">
        <v>1</v>
      </c>
      <c r="J967" s="4" t="s">
        <v>30</v>
      </c>
      <c r="K967" s="4">
        <v>35041</v>
      </c>
      <c r="L967" s="4" t="s">
        <v>61</v>
      </c>
      <c r="M967" s="6" t="s">
        <v>2591</v>
      </c>
      <c r="N967" s="25" t="s">
        <v>20</v>
      </c>
      <c r="O967" s="6" t="s">
        <v>33</v>
      </c>
      <c r="P967" s="6">
        <v>5</v>
      </c>
      <c r="Q967" s="32" t="s">
        <v>2592</v>
      </c>
      <c r="R967" s="56" t="s">
        <v>2593</v>
      </c>
      <c r="S967" s="17" t="s">
        <v>2594</v>
      </c>
    </row>
    <row r="968" spans="1:19" ht="15.75" customHeight="1">
      <c r="A968" s="10">
        <v>139</v>
      </c>
      <c r="B968" s="10">
        <v>2022</v>
      </c>
      <c r="C968" s="6" t="s">
        <v>102</v>
      </c>
      <c r="D968" s="48">
        <v>44811</v>
      </c>
      <c r="E968" s="6" t="s">
        <v>20</v>
      </c>
      <c r="F968" s="6" t="s">
        <v>471</v>
      </c>
      <c r="G968" s="10">
        <v>1</v>
      </c>
      <c r="H968" s="10">
        <v>1</v>
      </c>
      <c r="I968" s="10">
        <v>1</v>
      </c>
      <c r="J968" s="4" t="s">
        <v>71</v>
      </c>
      <c r="K968" s="4">
        <v>35408</v>
      </c>
      <c r="L968" s="4" t="s">
        <v>61</v>
      </c>
      <c r="M968" s="6" t="s">
        <v>2595</v>
      </c>
      <c r="N968" s="25" t="s">
        <v>20</v>
      </c>
      <c r="O968" s="6" t="s">
        <v>20</v>
      </c>
      <c r="P968" s="6">
        <v>0</v>
      </c>
      <c r="Q968" s="32" t="s">
        <v>2596</v>
      </c>
      <c r="R968" s="56" t="s">
        <v>2597</v>
      </c>
      <c r="S968" s="17" t="s">
        <v>2598</v>
      </c>
    </row>
    <row r="969" spans="1:19" ht="15.75" customHeight="1">
      <c r="A969" s="10">
        <v>140</v>
      </c>
      <c r="B969" s="10">
        <v>2022</v>
      </c>
      <c r="C969" s="6" t="s">
        <v>19</v>
      </c>
      <c r="D969" s="48">
        <v>44812</v>
      </c>
      <c r="E969" s="6" t="s">
        <v>33</v>
      </c>
      <c r="F969" s="6" t="s">
        <v>2599</v>
      </c>
      <c r="G969" s="10">
        <v>6</v>
      </c>
      <c r="H969" s="10">
        <v>3</v>
      </c>
      <c r="I969" s="10">
        <v>1</v>
      </c>
      <c r="J969" s="4" t="s">
        <v>23</v>
      </c>
      <c r="K969" s="4" t="s">
        <v>23</v>
      </c>
      <c r="L969" s="4" t="s">
        <v>23</v>
      </c>
      <c r="M969" s="6" t="s">
        <v>2600</v>
      </c>
      <c r="N969" s="25" t="s">
        <v>23</v>
      </c>
      <c r="O969" s="6" t="s">
        <v>20</v>
      </c>
      <c r="P969" s="6">
        <v>0</v>
      </c>
      <c r="Q969" s="9" t="s">
        <v>23</v>
      </c>
      <c r="R969" s="54" t="s">
        <v>23</v>
      </c>
      <c r="S969" s="32" t="s">
        <v>2601</v>
      </c>
    </row>
    <row r="970" spans="1:19" ht="15.75" customHeight="1">
      <c r="A970" s="10">
        <v>140</v>
      </c>
      <c r="B970" s="10">
        <v>2022</v>
      </c>
      <c r="C970" s="6" t="s">
        <v>19</v>
      </c>
      <c r="D970" s="48">
        <v>44812</v>
      </c>
      <c r="E970" s="6" t="s">
        <v>33</v>
      </c>
      <c r="F970" s="6" t="s">
        <v>2599</v>
      </c>
      <c r="G970" s="10">
        <v>6</v>
      </c>
      <c r="H970" s="10">
        <v>3</v>
      </c>
      <c r="I970" s="10">
        <v>2</v>
      </c>
      <c r="J970" s="4" t="s">
        <v>71</v>
      </c>
      <c r="K970" s="4">
        <v>35188</v>
      </c>
      <c r="L970" s="4" t="s">
        <v>61</v>
      </c>
      <c r="M970" s="6" t="s">
        <v>2602</v>
      </c>
      <c r="N970" s="25" t="s">
        <v>33</v>
      </c>
      <c r="O970" s="6" t="s">
        <v>23</v>
      </c>
      <c r="P970" s="6" t="s">
        <v>23</v>
      </c>
      <c r="Q970" s="9" t="s">
        <v>23</v>
      </c>
      <c r="R970" s="54" t="s">
        <v>23</v>
      </c>
      <c r="S970" s="9" t="s">
        <v>23</v>
      </c>
    </row>
    <row r="971" spans="1:19" ht="15.75" customHeight="1">
      <c r="A971" s="10">
        <v>140</v>
      </c>
      <c r="B971" s="10">
        <v>2022</v>
      </c>
      <c r="C971" s="6" t="s">
        <v>19</v>
      </c>
      <c r="D971" s="48">
        <v>44812</v>
      </c>
      <c r="E971" s="6" t="s">
        <v>33</v>
      </c>
      <c r="F971" s="6" t="s">
        <v>2599</v>
      </c>
      <c r="G971" s="10">
        <v>6</v>
      </c>
      <c r="H971" s="10">
        <v>3</v>
      </c>
      <c r="I971" s="10">
        <v>3</v>
      </c>
      <c r="J971" s="4" t="s">
        <v>71</v>
      </c>
      <c r="K971" s="4">
        <v>35312</v>
      </c>
      <c r="L971" s="4" t="s">
        <v>61</v>
      </c>
      <c r="M971" s="6" t="s">
        <v>2603</v>
      </c>
      <c r="N971" s="25" t="s">
        <v>33</v>
      </c>
      <c r="O971" s="6" t="s">
        <v>23</v>
      </c>
      <c r="P971" s="6" t="s">
        <v>23</v>
      </c>
      <c r="Q971" s="9" t="s">
        <v>23</v>
      </c>
      <c r="R971" s="54" t="s">
        <v>23</v>
      </c>
      <c r="S971" s="9" t="s">
        <v>23</v>
      </c>
    </row>
    <row r="972" spans="1:19" ht="15.75" customHeight="1">
      <c r="A972" s="10">
        <v>141</v>
      </c>
      <c r="B972" s="10">
        <v>2022</v>
      </c>
      <c r="C972" s="6" t="s">
        <v>102</v>
      </c>
      <c r="D972" s="48">
        <v>44812</v>
      </c>
      <c r="E972" s="6" t="s">
        <v>33</v>
      </c>
      <c r="F972" s="6" t="s">
        <v>1980</v>
      </c>
      <c r="G972" s="10">
        <v>2</v>
      </c>
      <c r="H972" s="10">
        <v>1</v>
      </c>
      <c r="I972" s="10">
        <v>1</v>
      </c>
      <c r="J972" s="4" t="s">
        <v>30</v>
      </c>
      <c r="K972" s="4">
        <v>35729</v>
      </c>
      <c r="L972" s="4" t="s">
        <v>31</v>
      </c>
      <c r="M972" s="6" t="s">
        <v>2604</v>
      </c>
      <c r="N972" s="25" t="s">
        <v>33</v>
      </c>
      <c r="O972" s="6" t="s">
        <v>33</v>
      </c>
      <c r="P972" s="6">
        <v>2</v>
      </c>
      <c r="Q972" s="32" t="s">
        <v>2605</v>
      </c>
      <c r="R972" s="56" t="s">
        <v>2606</v>
      </c>
      <c r="S972" s="17" t="s">
        <v>2607</v>
      </c>
    </row>
    <row r="973" spans="1:19" ht="15.75" customHeight="1">
      <c r="A973" s="10">
        <v>142</v>
      </c>
      <c r="B973" s="10">
        <v>2022</v>
      </c>
      <c r="C973" s="6" t="s">
        <v>1824</v>
      </c>
      <c r="D973" s="48">
        <v>44817</v>
      </c>
      <c r="E973" s="6" t="s">
        <v>20</v>
      </c>
      <c r="F973" s="6" t="s">
        <v>39</v>
      </c>
      <c r="G973" s="10">
        <v>1</v>
      </c>
      <c r="H973" s="10">
        <v>2</v>
      </c>
      <c r="I973" s="10">
        <v>1</v>
      </c>
      <c r="J973" s="4" t="s">
        <v>71</v>
      </c>
      <c r="K973" s="4">
        <v>35447</v>
      </c>
      <c r="L973" s="4" t="s">
        <v>61</v>
      </c>
      <c r="M973" s="6" t="s">
        <v>2608</v>
      </c>
      <c r="N973" s="25" t="s">
        <v>33</v>
      </c>
      <c r="O973" s="6" t="s">
        <v>33</v>
      </c>
      <c r="P973" s="6">
        <v>5</v>
      </c>
      <c r="Q973" s="32" t="s">
        <v>2609</v>
      </c>
      <c r="R973" s="56" t="s">
        <v>2610</v>
      </c>
      <c r="S973" s="17" t="s">
        <v>2611</v>
      </c>
    </row>
    <row r="974" spans="1:19" ht="15.75" customHeight="1">
      <c r="A974" s="10">
        <v>142</v>
      </c>
      <c r="B974" s="10">
        <v>2022</v>
      </c>
      <c r="C974" s="6" t="s">
        <v>1824</v>
      </c>
      <c r="D974" s="48">
        <v>44817</v>
      </c>
      <c r="E974" s="6" t="s">
        <v>20</v>
      </c>
      <c r="F974" s="6" t="s">
        <v>39</v>
      </c>
      <c r="G974" s="10">
        <v>1</v>
      </c>
      <c r="H974" s="10">
        <v>2</v>
      </c>
      <c r="I974" s="10">
        <v>2</v>
      </c>
      <c r="J974" s="4" t="s">
        <v>71</v>
      </c>
      <c r="K974" s="4">
        <v>35547</v>
      </c>
      <c r="L974" s="4" t="s">
        <v>61</v>
      </c>
      <c r="M974" s="6" t="s">
        <v>2612</v>
      </c>
      <c r="N974" s="25" t="s">
        <v>33</v>
      </c>
      <c r="O974" s="6" t="s">
        <v>23</v>
      </c>
      <c r="P974" s="6" t="s">
        <v>23</v>
      </c>
      <c r="Q974" s="9" t="s">
        <v>23</v>
      </c>
      <c r="R974" s="54" t="s">
        <v>23</v>
      </c>
      <c r="S974" s="9" t="s">
        <v>23</v>
      </c>
    </row>
    <row r="975" spans="1:19" ht="15.75" customHeight="1">
      <c r="A975" s="10">
        <v>143</v>
      </c>
      <c r="B975" s="10">
        <v>2022</v>
      </c>
      <c r="C975" s="6" t="s">
        <v>102</v>
      </c>
      <c r="D975" s="48">
        <v>44817</v>
      </c>
      <c r="E975" s="6" t="s">
        <v>20</v>
      </c>
      <c r="F975" s="6" t="s">
        <v>53</v>
      </c>
      <c r="G975" s="10">
        <v>1</v>
      </c>
      <c r="H975" s="10">
        <v>1</v>
      </c>
      <c r="I975" s="10">
        <v>1</v>
      </c>
      <c r="J975" s="4" t="s">
        <v>30</v>
      </c>
      <c r="K975" s="4">
        <v>35475</v>
      </c>
      <c r="L975" s="4" t="s">
        <v>31</v>
      </c>
      <c r="M975" s="6" t="s">
        <v>2613</v>
      </c>
      <c r="N975" s="25" t="s">
        <v>20</v>
      </c>
      <c r="O975" s="6" t="s">
        <v>20</v>
      </c>
      <c r="P975" s="6">
        <v>0</v>
      </c>
      <c r="Q975" s="32" t="s">
        <v>2614</v>
      </c>
      <c r="R975" s="54" t="s">
        <v>23</v>
      </c>
      <c r="S975" s="17" t="s">
        <v>2615</v>
      </c>
    </row>
    <row r="976" spans="1:19" ht="15.75" customHeight="1">
      <c r="A976" s="10">
        <v>144</v>
      </c>
      <c r="B976" s="10">
        <v>2022</v>
      </c>
      <c r="C976" s="6" t="s">
        <v>102</v>
      </c>
      <c r="D976" s="48">
        <v>44817</v>
      </c>
      <c r="E976" s="6" t="s">
        <v>33</v>
      </c>
      <c r="F976" s="6" t="s">
        <v>2616</v>
      </c>
      <c r="G976" s="10">
        <v>3</v>
      </c>
      <c r="H976" s="10">
        <v>1</v>
      </c>
      <c r="I976" s="10">
        <v>1</v>
      </c>
      <c r="J976" s="4" t="s">
        <v>30</v>
      </c>
      <c r="K976" s="4">
        <v>35730</v>
      </c>
      <c r="L976" s="4" t="s">
        <v>31</v>
      </c>
      <c r="M976" s="6" t="s">
        <v>2617</v>
      </c>
      <c r="N976" s="25" t="s">
        <v>33</v>
      </c>
      <c r="O976" s="6" t="s">
        <v>20</v>
      </c>
      <c r="P976" s="6">
        <v>0</v>
      </c>
      <c r="Q976" s="32" t="s">
        <v>2618</v>
      </c>
      <c r="R976" s="56" t="s">
        <v>2619</v>
      </c>
      <c r="S976" s="34" t="s">
        <v>2620</v>
      </c>
    </row>
    <row r="977" spans="1:19" ht="15.75" customHeight="1">
      <c r="A977" s="10">
        <v>145</v>
      </c>
      <c r="B977" s="10">
        <v>2022</v>
      </c>
      <c r="C977" s="6" t="s">
        <v>102</v>
      </c>
      <c r="D977" s="48">
        <v>44819</v>
      </c>
      <c r="E977" s="6" t="s">
        <v>33</v>
      </c>
      <c r="F977" s="6" t="s">
        <v>2621</v>
      </c>
      <c r="G977" s="10">
        <v>3</v>
      </c>
      <c r="H977" s="10">
        <v>1</v>
      </c>
      <c r="I977" s="10">
        <v>1</v>
      </c>
      <c r="J977" s="4" t="s">
        <v>30</v>
      </c>
      <c r="K977" s="4">
        <v>34398</v>
      </c>
      <c r="L977" s="4" t="s">
        <v>61</v>
      </c>
      <c r="M977" s="6" t="s">
        <v>2622</v>
      </c>
      <c r="N977" s="25" t="s">
        <v>20</v>
      </c>
      <c r="O977" s="6" t="s">
        <v>20</v>
      </c>
      <c r="P977" s="6">
        <v>0</v>
      </c>
      <c r="Q977" s="32" t="s">
        <v>2623</v>
      </c>
      <c r="R977" s="56" t="s">
        <v>2624</v>
      </c>
      <c r="S977" s="34" t="s">
        <v>2625</v>
      </c>
    </row>
    <row r="978" spans="1:19" ht="15.75" customHeight="1">
      <c r="A978" s="10">
        <v>146</v>
      </c>
      <c r="B978" s="10">
        <v>2022</v>
      </c>
      <c r="C978" s="6" t="s">
        <v>19</v>
      </c>
      <c r="D978" s="48">
        <v>44824</v>
      </c>
      <c r="E978" s="6" t="s">
        <v>33</v>
      </c>
      <c r="F978" s="6" t="s">
        <v>2466</v>
      </c>
      <c r="G978" s="10">
        <v>3</v>
      </c>
      <c r="H978" s="10">
        <v>1</v>
      </c>
      <c r="I978" s="10">
        <v>1</v>
      </c>
      <c r="J978" s="4" t="s">
        <v>23</v>
      </c>
      <c r="K978" s="4" t="s">
        <v>23</v>
      </c>
      <c r="L978" s="4" t="s">
        <v>23</v>
      </c>
      <c r="M978" s="6" t="s">
        <v>2626</v>
      </c>
      <c r="N978" s="25" t="s">
        <v>23</v>
      </c>
      <c r="O978" s="6" t="s">
        <v>20</v>
      </c>
      <c r="P978" s="6">
        <v>0</v>
      </c>
      <c r="Q978" s="9" t="s">
        <v>23</v>
      </c>
      <c r="R978" s="56" t="s">
        <v>2627</v>
      </c>
      <c r="S978" s="17" t="s">
        <v>2628</v>
      </c>
    </row>
    <row r="979" spans="1:19" ht="15.75" customHeight="1">
      <c r="A979" s="10">
        <v>147</v>
      </c>
      <c r="B979" s="10">
        <v>2022</v>
      </c>
      <c r="C979" s="6" t="s">
        <v>102</v>
      </c>
      <c r="D979" s="48">
        <v>44824</v>
      </c>
      <c r="E979" s="6" t="s">
        <v>20</v>
      </c>
      <c r="F979" s="6" t="s">
        <v>51</v>
      </c>
      <c r="G979" s="10">
        <v>1</v>
      </c>
      <c r="H979" s="10">
        <v>1</v>
      </c>
      <c r="I979" s="10">
        <v>1</v>
      </c>
      <c r="J979" s="4" t="s">
        <v>30</v>
      </c>
      <c r="K979" s="4">
        <v>35813</v>
      </c>
      <c r="L979" s="4" t="s">
        <v>61</v>
      </c>
      <c r="M979" s="6" t="s">
        <v>2629</v>
      </c>
      <c r="N979" s="25" t="s">
        <v>20</v>
      </c>
      <c r="O979" s="6" t="s">
        <v>20</v>
      </c>
      <c r="P979" s="6">
        <v>0</v>
      </c>
      <c r="Q979" s="32" t="s">
        <v>2630</v>
      </c>
      <c r="R979" s="56" t="s">
        <v>2631</v>
      </c>
      <c r="S979" s="17" t="s">
        <v>2632</v>
      </c>
    </row>
    <row r="980" spans="1:19" ht="15.75" customHeight="1">
      <c r="A980" s="10">
        <v>148</v>
      </c>
      <c r="B980" s="10">
        <v>2022</v>
      </c>
      <c r="C980" s="6" t="s">
        <v>102</v>
      </c>
      <c r="D980" s="48">
        <v>44824</v>
      </c>
      <c r="E980" s="6" t="s">
        <v>20</v>
      </c>
      <c r="F980" s="6" t="s">
        <v>41</v>
      </c>
      <c r="G980" s="10">
        <v>1</v>
      </c>
      <c r="H980" s="10">
        <v>1</v>
      </c>
      <c r="I980" s="10">
        <v>1</v>
      </c>
      <c r="J980" s="4" t="s">
        <v>30</v>
      </c>
      <c r="K980" s="4">
        <v>34846</v>
      </c>
      <c r="L980" s="4" t="s">
        <v>61</v>
      </c>
      <c r="M980" s="6" t="s">
        <v>2565</v>
      </c>
      <c r="N980" s="25" t="s">
        <v>20</v>
      </c>
      <c r="O980" s="6" t="s">
        <v>33</v>
      </c>
      <c r="P980" s="6">
        <v>3</v>
      </c>
      <c r="Q980" s="32" t="s">
        <v>2633</v>
      </c>
      <c r="R980" s="56" t="s">
        <v>2634</v>
      </c>
      <c r="S980" s="17" t="s">
        <v>2635</v>
      </c>
    </row>
    <row r="981" spans="1:19" ht="15.75" customHeight="1">
      <c r="A981" s="10">
        <v>149</v>
      </c>
      <c r="B981" s="10">
        <v>2022</v>
      </c>
      <c r="C981" s="6" t="s">
        <v>102</v>
      </c>
      <c r="D981" s="48">
        <v>44825</v>
      </c>
      <c r="E981" s="6" t="s">
        <v>20</v>
      </c>
      <c r="F981" s="6" t="s">
        <v>37</v>
      </c>
      <c r="G981" s="10">
        <v>1</v>
      </c>
      <c r="H981" s="10">
        <v>3</v>
      </c>
      <c r="I981" s="10">
        <v>1</v>
      </c>
      <c r="J981" s="4" t="s">
        <v>64</v>
      </c>
      <c r="K981" s="4">
        <v>35927</v>
      </c>
      <c r="L981" s="4" t="s">
        <v>31</v>
      </c>
      <c r="M981" s="6" t="s">
        <v>2636</v>
      </c>
      <c r="N981" s="25" t="s">
        <v>33</v>
      </c>
      <c r="O981" s="6" t="s">
        <v>33</v>
      </c>
      <c r="P981" s="6">
        <v>1</v>
      </c>
      <c r="Q981" s="32" t="s">
        <v>2637</v>
      </c>
      <c r="R981" s="54" t="s">
        <v>23</v>
      </c>
      <c r="S981" s="17" t="s">
        <v>2638</v>
      </c>
    </row>
    <row r="982" spans="1:19" ht="15.75" customHeight="1">
      <c r="A982" s="10">
        <v>149</v>
      </c>
      <c r="B982" s="10">
        <v>2022</v>
      </c>
      <c r="C982" s="6" t="s">
        <v>102</v>
      </c>
      <c r="D982" s="48">
        <v>44825</v>
      </c>
      <c r="E982" s="6" t="s">
        <v>20</v>
      </c>
      <c r="F982" s="6" t="s">
        <v>37</v>
      </c>
      <c r="G982" s="10">
        <v>1</v>
      </c>
      <c r="H982" s="10">
        <v>3</v>
      </c>
      <c r="I982" s="10">
        <v>2</v>
      </c>
      <c r="J982" s="4" t="s">
        <v>71</v>
      </c>
      <c r="K982" s="4">
        <v>35719</v>
      </c>
      <c r="L982" s="4" t="s">
        <v>61</v>
      </c>
      <c r="M982" s="6" t="s">
        <v>2639</v>
      </c>
      <c r="N982" s="25" t="s">
        <v>33</v>
      </c>
      <c r="O982" s="6" t="s">
        <v>23</v>
      </c>
      <c r="P982" s="6" t="s">
        <v>23</v>
      </c>
      <c r="Q982" s="9" t="s">
        <v>23</v>
      </c>
      <c r="R982" s="54" t="s">
        <v>23</v>
      </c>
      <c r="S982" s="9" t="s">
        <v>23</v>
      </c>
    </row>
    <row r="983" spans="1:19" ht="15.75" customHeight="1">
      <c r="A983" s="10">
        <v>149</v>
      </c>
      <c r="B983" s="10">
        <v>2022</v>
      </c>
      <c r="C983" s="6" t="s">
        <v>102</v>
      </c>
      <c r="D983" s="48">
        <v>44825</v>
      </c>
      <c r="E983" s="6" t="s">
        <v>20</v>
      </c>
      <c r="F983" s="6" t="s">
        <v>37</v>
      </c>
      <c r="G983" s="10">
        <v>1</v>
      </c>
      <c r="H983" s="10">
        <v>3</v>
      </c>
      <c r="I983" s="10">
        <v>3</v>
      </c>
      <c r="J983" s="4" t="s">
        <v>71</v>
      </c>
      <c r="K983" s="4">
        <v>35744</v>
      </c>
      <c r="L983" s="4" t="s">
        <v>61</v>
      </c>
      <c r="M983" s="6" t="s">
        <v>2640</v>
      </c>
      <c r="N983" s="25" t="s">
        <v>33</v>
      </c>
      <c r="O983" s="6" t="s">
        <v>23</v>
      </c>
      <c r="P983" s="6" t="s">
        <v>23</v>
      </c>
      <c r="Q983" s="9" t="s">
        <v>23</v>
      </c>
      <c r="R983" s="54" t="s">
        <v>23</v>
      </c>
      <c r="S983" s="9" t="s">
        <v>23</v>
      </c>
    </row>
    <row r="984" spans="1:19" ht="15.75" customHeight="1">
      <c r="A984" s="10">
        <v>150</v>
      </c>
      <c r="B984" s="10">
        <v>2022</v>
      </c>
      <c r="C984" s="6" t="s">
        <v>1824</v>
      </c>
      <c r="D984" s="48">
        <v>44831</v>
      </c>
      <c r="E984" s="6" t="s">
        <v>20</v>
      </c>
      <c r="F984" s="6" t="s">
        <v>471</v>
      </c>
      <c r="G984" s="10">
        <v>1</v>
      </c>
      <c r="H984" s="10">
        <v>1</v>
      </c>
      <c r="I984" s="10">
        <v>1</v>
      </c>
      <c r="J984" s="4" t="s">
        <v>23</v>
      </c>
      <c r="K984" s="4" t="s">
        <v>23</v>
      </c>
      <c r="L984" s="4" t="s">
        <v>23</v>
      </c>
      <c r="M984" s="6" t="s">
        <v>2641</v>
      </c>
      <c r="N984" s="25" t="s">
        <v>23</v>
      </c>
      <c r="O984" s="6" t="s">
        <v>33</v>
      </c>
      <c r="P984" s="6">
        <v>1</v>
      </c>
      <c r="Q984" s="32" t="s">
        <v>2642</v>
      </c>
      <c r="R984" s="56" t="s">
        <v>2643</v>
      </c>
      <c r="S984" s="17" t="s">
        <v>2644</v>
      </c>
    </row>
    <row r="985" spans="1:19" ht="15.75" customHeight="1">
      <c r="A985" s="10">
        <v>151</v>
      </c>
      <c r="B985" s="10">
        <v>2022</v>
      </c>
      <c r="C985" s="6" t="s">
        <v>1824</v>
      </c>
      <c r="D985" s="48">
        <v>44831</v>
      </c>
      <c r="E985" s="6" t="s">
        <v>33</v>
      </c>
      <c r="F985" s="6" t="s">
        <v>2054</v>
      </c>
      <c r="G985" s="10">
        <v>2</v>
      </c>
      <c r="H985" s="10">
        <v>2</v>
      </c>
      <c r="I985" s="10">
        <v>1</v>
      </c>
      <c r="J985" s="4" t="s">
        <v>23</v>
      </c>
      <c r="K985" s="4">
        <v>35449</v>
      </c>
      <c r="L985" s="4" t="s">
        <v>31</v>
      </c>
      <c r="M985" s="6" t="s">
        <v>2645</v>
      </c>
      <c r="N985" s="25" t="s">
        <v>33</v>
      </c>
      <c r="O985" s="6" t="s">
        <v>33</v>
      </c>
      <c r="P985" s="6">
        <v>1</v>
      </c>
      <c r="Q985" s="32" t="s">
        <v>2646</v>
      </c>
      <c r="R985" s="56" t="s">
        <v>2647</v>
      </c>
      <c r="S985" s="32" t="s">
        <v>2648</v>
      </c>
    </row>
    <row r="986" spans="1:19" ht="15.75" customHeight="1">
      <c r="A986" s="10">
        <v>151</v>
      </c>
      <c r="B986" s="10">
        <v>2022</v>
      </c>
      <c r="C986" s="6" t="s">
        <v>1824</v>
      </c>
      <c r="D986" s="48">
        <v>44831</v>
      </c>
      <c r="E986" s="6" t="s">
        <v>33</v>
      </c>
      <c r="F986" s="6" t="s">
        <v>2054</v>
      </c>
      <c r="G986" s="10">
        <v>2</v>
      </c>
      <c r="H986" s="10">
        <v>2</v>
      </c>
      <c r="I986" s="10">
        <v>2</v>
      </c>
      <c r="J986" s="4" t="s">
        <v>23</v>
      </c>
      <c r="K986" s="4" t="s">
        <v>23</v>
      </c>
      <c r="L986" s="4" t="s">
        <v>23</v>
      </c>
      <c r="M986" s="6" t="s">
        <v>2649</v>
      </c>
      <c r="N986" s="25" t="s">
        <v>23</v>
      </c>
      <c r="O986" s="6" t="s">
        <v>23</v>
      </c>
      <c r="P986" s="6" t="s">
        <v>23</v>
      </c>
      <c r="Q986" s="9" t="s">
        <v>23</v>
      </c>
      <c r="R986" s="54" t="s">
        <v>23</v>
      </c>
      <c r="S986" s="9" t="s">
        <v>23</v>
      </c>
    </row>
    <row r="987" spans="1:19" ht="15.75" customHeight="1">
      <c r="A987" s="10">
        <v>152</v>
      </c>
      <c r="B987" s="10">
        <v>2022</v>
      </c>
      <c r="C987" s="6" t="s">
        <v>102</v>
      </c>
      <c r="D987" s="48">
        <v>44831</v>
      </c>
      <c r="E987" s="6" t="s">
        <v>33</v>
      </c>
      <c r="F987" s="6" t="s">
        <v>2650</v>
      </c>
      <c r="G987" s="10">
        <v>3</v>
      </c>
      <c r="H987" s="10">
        <v>1</v>
      </c>
      <c r="I987" s="10">
        <v>1</v>
      </c>
      <c r="J987" s="4" t="s">
        <v>30</v>
      </c>
      <c r="K987" s="4">
        <v>35728</v>
      </c>
      <c r="L987" s="4" t="s">
        <v>61</v>
      </c>
      <c r="M987" s="6" t="s">
        <v>2651</v>
      </c>
      <c r="N987" s="25" t="s">
        <v>20</v>
      </c>
      <c r="O987" s="6" t="s">
        <v>33</v>
      </c>
      <c r="P987" s="6">
        <v>2</v>
      </c>
      <c r="Q987" s="32" t="s">
        <v>2652</v>
      </c>
      <c r="R987" s="56" t="s">
        <v>2653</v>
      </c>
      <c r="S987" s="34" t="s">
        <v>2654</v>
      </c>
    </row>
    <row r="988" spans="1:19" ht="15.75" customHeight="1">
      <c r="A988" s="10">
        <v>153</v>
      </c>
      <c r="B988" s="10">
        <v>2022</v>
      </c>
      <c r="C988" s="6" t="s">
        <v>1824</v>
      </c>
      <c r="D988" s="48">
        <v>44832</v>
      </c>
      <c r="E988" s="6" t="s">
        <v>20</v>
      </c>
      <c r="F988" s="6" t="s">
        <v>471</v>
      </c>
      <c r="G988" s="10">
        <v>1</v>
      </c>
      <c r="H988" s="10">
        <v>1</v>
      </c>
      <c r="I988" s="10">
        <v>1</v>
      </c>
      <c r="J988" s="4" t="s">
        <v>23</v>
      </c>
      <c r="K988" s="4" t="s">
        <v>23</v>
      </c>
      <c r="L988" s="4" t="s">
        <v>23</v>
      </c>
      <c r="M988" s="6" t="s">
        <v>2655</v>
      </c>
      <c r="N988" s="25" t="s">
        <v>23</v>
      </c>
      <c r="O988" s="6" t="s">
        <v>33</v>
      </c>
      <c r="P988" s="6">
        <v>3</v>
      </c>
      <c r="Q988" s="32" t="s">
        <v>2656</v>
      </c>
      <c r="R988" s="56" t="s">
        <v>2657</v>
      </c>
      <c r="S988" s="17" t="s">
        <v>2658</v>
      </c>
    </row>
    <row r="989" spans="1:19" ht="15.75" customHeight="1">
      <c r="A989" s="10">
        <v>154</v>
      </c>
      <c r="B989" s="10">
        <v>2022</v>
      </c>
      <c r="C989" s="6" t="s">
        <v>102</v>
      </c>
      <c r="D989" s="48">
        <v>44838</v>
      </c>
      <c r="E989" s="6" t="s">
        <v>20</v>
      </c>
      <c r="F989" s="6" t="s">
        <v>190</v>
      </c>
      <c r="G989" s="10">
        <v>1</v>
      </c>
      <c r="H989" s="10">
        <v>4</v>
      </c>
      <c r="I989" s="10">
        <v>1</v>
      </c>
      <c r="J989" s="4" t="s">
        <v>71</v>
      </c>
      <c r="K989" s="4">
        <v>35731</v>
      </c>
      <c r="L989" s="4" t="s">
        <v>61</v>
      </c>
      <c r="M989" s="6" t="s">
        <v>2659</v>
      </c>
      <c r="N989" s="25" t="s">
        <v>33</v>
      </c>
      <c r="O989" s="6" t="s">
        <v>20</v>
      </c>
      <c r="P989" s="6">
        <v>0</v>
      </c>
      <c r="Q989" s="32" t="s">
        <v>2660</v>
      </c>
      <c r="R989" s="56" t="s">
        <v>2661</v>
      </c>
      <c r="S989" s="17" t="s">
        <v>2662</v>
      </c>
    </row>
    <row r="990" spans="1:19" ht="15.75" customHeight="1">
      <c r="A990" s="10">
        <v>154</v>
      </c>
      <c r="B990" s="10">
        <v>2022</v>
      </c>
      <c r="C990" s="6" t="s">
        <v>102</v>
      </c>
      <c r="D990" s="48">
        <v>44838</v>
      </c>
      <c r="E990" s="6" t="s">
        <v>20</v>
      </c>
      <c r="F990" s="6" t="s">
        <v>190</v>
      </c>
      <c r="G990" s="10">
        <v>1</v>
      </c>
      <c r="H990" s="10">
        <v>4</v>
      </c>
      <c r="I990" s="10">
        <v>2</v>
      </c>
      <c r="J990" s="4" t="s">
        <v>71</v>
      </c>
      <c r="K990" s="4">
        <v>35732</v>
      </c>
      <c r="L990" s="4" t="s">
        <v>61</v>
      </c>
      <c r="M990" s="6" t="s">
        <v>2663</v>
      </c>
      <c r="N990" s="25" t="s">
        <v>33</v>
      </c>
      <c r="O990" s="6" t="s">
        <v>23</v>
      </c>
      <c r="P990" s="6" t="s">
        <v>23</v>
      </c>
      <c r="Q990" s="9" t="s">
        <v>23</v>
      </c>
      <c r="R990" s="54" t="s">
        <v>23</v>
      </c>
      <c r="S990" s="9" t="s">
        <v>23</v>
      </c>
    </row>
    <row r="991" spans="1:19" ht="15.75" customHeight="1">
      <c r="A991" s="10">
        <v>154</v>
      </c>
      <c r="B991" s="10">
        <v>2022</v>
      </c>
      <c r="C991" s="6" t="s">
        <v>102</v>
      </c>
      <c r="D991" s="48">
        <v>44838</v>
      </c>
      <c r="E991" s="6" t="s">
        <v>20</v>
      </c>
      <c r="F991" s="6" t="s">
        <v>190</v>
      </c>
      <c r="G991" s="10">
        <v>1</v>
      </c>
      <c r="H991" s="10">
        <v>4</v>
      </c>
      <c r="I991" s="10">
        <v>3</v>
      </c>
      <c r="J991" s="4" t="s">
        <v>71</v>
      </c>
      <c r="K991" s="4">
        <v>35733</v>
      </c>
      <c r="L991" s="4" t="s">
        <v>61</v>
      </c>
      <c r="M991" s="6" t="s">
        <v>2664</v>
      </c>
      <c r="N991" s="25" t="s">
        <v>33</v>
      </c>
      <c r="O991" s="6" t="s">
        <v>23</v>
      </c>
      <c r="P991" s="6" t="s">
        <v>23</v>
      </c>
      <c r="Q991" s="9" t="s">
        <v>23</v>
      </c>
      <c r="R991" s="54" t="s">
        <v>23</v>
      </c>
      <c r="S991" s="9" t="s">
        <v>23</v>
      </c>
    </row>
    <row r="992" spans="1:19" ht="15.75" customHeight="1">
      <c r="A992" s="10">
        <v>154</v>
      </c>
      <c r="B992" s="10">
        <v>2022</v>
      </c>
      <c r="C992" s="6" t="s">
        <v>102</v>
      </c>
      <c r="D992" s="48">
        <v>44838</v>
      </c>
      <c r="E992" s="6" t="s">
        <v>20</v>
      </c>
      <c r="F992" s="6" t="s">
        <v>190</v>
      </c>
      <c r="G992" s="10">
        <v>1</v>
      </c>
      <c r="H992" s="10">
        <v>4</v>
      </c>
      <c r="I992" s="10">
        <v>4</v>
      </c>
      <c r="J992" s="4" t="s">
        <v>71</v>
      </c>
      <c r="K992" s="4">
        <v>35796</v>
      </c>
      <c r="L992" s="4" t="s">
        <v>61</v>
      </c>
      <c r="M992" s="6" t="s">
        <v>2665</v>
      </c>
      <c r="N992" s="25" t="s">
        <v>33</v>
      </c>
      <c r="O992" s="6" t="s">
        <v>23</v>
      </c>
      <c r="P992" s="6" t="s">
        <v>23</v>
      </c>
      <c r="Q992" s="9" t="s">
        <v>23</v>
      </c>
      <c r="R992" s="54" t="s">
        <v>23</v>
      </c>
      <c r="S992" s="9" t="s">
        <v>23</v>
      </c>
    </row>
    <row r="993" spans="1:19" ht="15.75" customHeight="1">
      <c r="A993" s="10">
        <v>155</v>
      </c>
      <c r="B993" s="10">
        <v>2022</v>
      </c>
      <c r="C993" s="6" t="s">
        <v>102</v>
      </c>
      <c r="D993" s="48">
        <v>44838</v>
      </c>
      <c r="E993" s="6" t="s">
        <v>20</v>
      </c>
      <c r="F993" s="6" t="s">
        <v>51</v>
      </c>
      <c r="G993" s="10">
        <v>1</v>
      </c>
      <c r="H993" s="10">
        <v>7</v>
      </c>
      <c r="I993" s="10">
        <v>1</v>
      </c>
      <c r="J993" s="4" t="s">
        <v>30</v>
      </c>
      <c r="K993" s="4">
        <v>23709</v>
      </c>
      <c r="L993" s="4" t="s">
        <v>61</v>
      </c>
      <c r="M993" s="6" t="s">
        <v>2447</v>
      </c>
      <c r="N993" s="25" t="s">
        <v>20</v>
      </c>
      <c r="O993" s="6" t="s">
        <v>20</v>
      </c>
      <c r="P993" s="6">
        <v>0</v>
      </c>
      <c r="Q993" s="32" t="s">
        <v>2666</v>
      </c>
      <c r="R993" s="56" t="s">
        <v>2667</v>
      </c>
      <c r="S993" s="17" t="s">
        <v>2668</v>
      </c>
    </row>
    <row r="994" spans="1:19" ht="15.75" customHeight="1">
      <c r="A994" s="10">
        <v>155</v>
      </c>
      <c r="B994" s="10">
        <v>2022</v>
      </c>
      <c r="C994" s="6" t="s">
        <v>102</v>
      </c>
      <c r="D994" s="48">
        <v>44838</v>
      </c>
      <c r="E994" s="6" t="s">
        <v>20</v>
      </c>
      <c r="F994" s="6" t="s">
        <v>51</v>
      </c>
      <c r="G994" s="10">
        <v>1</v>
      </c>
      <c r="H994" s="10">
        <v>7</v>
      </c>
      <c r="I994" s="10">
        <v>2</v>
      </c>
      <c r="J994" s="4" t="s">
        <v>30</v>
      </c>
      <c r="K994" s="4">
        <v>34119</v>
      </c>
      <c r="L994" s="4" t="s">
        <v>61</v>
      </c>
      <c r="M994" s="6" t="s">
        <v>2512</v>
      </c>
      <c r="N994" s="25" t="s">
        <v>20</v>
      </c>
      <c r="O994" s="6" t="s">
        <v>23</v>
      </c>
      <c r="P994" s="6" t="s">
        <v>23</v>
      </c>
      <c r="Q994" s="9" t="s">
        <v>23</v>
      </c>
      <c r="R994" s="54" t="s">
        <v>23</v>
      </c>
      <c r="S994" s="9" t="s">
        <v>23</v>
      </c>
    </row>
    <row r="995" spans="1:19" ht="15.75" customHeight="1">
      <c r="A995" s="10">
        <v>155</v>
      </c>
      <c r="B995" s="10">
        <v>2022</v>
      </c>
      <c r="C995" s="6" t="s">
        <v>102</v>
      </c>
      <c r="D995" s="48">
        <v>44838</v>
      </c>
      <c r="E995" s="6" t="s">
        <v>20</v>
      </c>
      <c r="F995" s="6" t="s">
        <v>51</v>
      </c>
      <c r="G995" s="10">
        <v>1</v>
      </c>
      <c r="H995" s="10">
        <v>7</v>
      </c>
      <c r="I995" s="10">
        <v>3</v>
      </c>
      <c r="J995" s="4" t="s">
        <v>30</v>
      </c>
      <c r="K995" s="4">
        <v>34220</v>
      </c>
      <c r="L995" s="4" t="s">
        <v>61</v>
      </c>
      <c r="M995" s="6" t="s">
        <v>2513</v>
      </c>
      <c r="N995" s="25" t="s">
        <v>20</v>
      </c>
      <c r="O995" s="6" t="s">
        <v>23</v>
      </c>
      <c r="P995" s="6" t="s">
        <v>23</v>
      </c>
      <c r="Q995" s="9" t="s">
        <v>23</v>
      </c>
      <c r="R995" s="54" t="s">
        <v>23</v>
      </c>
      <c r="S995" s="9" t="s">
        <v>23</v>
      </c>
    </row>
    <row r="996" spans="1:19" ht="15.75" customHeight="1">
      <c r="A996" s="10">
        <v>155</v>
      </c>
      <c r="B996" s="10">
        <v>2022</v>
      </c>
      <c r="C996" s="6" t="s">
        <v>102</v>
      </c>
      <c r="D996" s="48">
        <v>44838</v>
      </c>
      <c r="E996" s="6" t="s">
        <v>20</v>
      </c>
      <c r="F996" s="6" t="s">
        <v>51</v>
      </c>
      <c r="G996" s="10">
        <v>1</v>
      </c>
      <c r="H996" s="10">
        <v>7</v>
      </c>
      <c r="I996" s="10">
        <v>4</v>
      </c>
      <c r="J996" s="4" t="s">
        <v>30</v>
      </c>
      <c r="K996" s="4">
        <v>34708</v>
      </c>
      <c r="L996" s="4" t="s">
        <v>61</v>
      </c>
      <c r="M996" s="6" t="s">
        <v>2514</v>
      </c>
      <c r="N996" s="25" t="s">
        <v>20</v>
      </c>
      <c r="O996" s="6" t="s">
        <v>23</v>
      </c>
      <c r="P996" s="6" t="s">
        <v>23</v>
      </c>
      <c r="Q996" s="9" t="s">
        <v>23</v>
      </c>
      <c r="R996" s="54" t="s">
        <v>23</v>
      </c>
      <c r="S996" s="9" t="s">
        <v>23</v>
      </c>
    </row>
    <row r="997" spans="1:19" ht="15.75" customHeight="1">
      <c r="A997" s="10">
        <v>155</v>
      </c>
      <c r="B997" s="10">
        <v>2022</v>
      </c>
      <c r="C997" s="6" t="s">
        <v>102</v>
      </c>
      <c r="D997" s="48">
        <v>44838</v>
      </c>
      <c r="E997" s="6" t="s">
        <v>20</v>
      </c>
      <c r="F997" s="6" t="s">
        <v>51</v>
      </c>
      <c r="G997" s="10">
        <v>1</v>
      </c>
      <c r="H997" s="10">
        <v>7</v>
      </c>
      <c r="I997" s="10">
        <v>5</v>
      </c>
      <c r="J997" s="4" t="s">
        <v>30</v>
      </c>
      <c r="K997" s="4">
        <v>34833</v>
      </c>
      <c r="L997" s="4" t="s">
        <v>61</v>
      </c>
      <c r="M997" s="6" t="s">
        <v>2515</v>
      </c>
      <c r="N997" s="25" t="s">
        <v>20</v>
      </c>
      <c r="O997" s="6" t="s">
        <v>23</v>
      </c>
      <c r="P997" s="6" t="s">
        <v>23</v>
      </c>
      <c r="Q997" s="9" t="s">
        <v>23</v>
      </c>
      <c r="R997" s="54" t="s">
        <v>23</v>
      </c>
      <c r="S997" s="9" t="s">
        <v>23</v>
      </c>
    </row>
    <row r="998" spans="1:19" ht="15.75" customHeight="1">
      <c r="A998" s="10">
        <v>155</v>
      </c>
      <c r="B998" s="10">
        <v>2022</v>
      </c>
      <c r="C998" s="6" t="s">
        <v>102</v>
      </c>
      <c r="D998" s="48">
        <v>44838</v>
      </c>
      <c r="E998" s="6" t="s">
        <v>20</v>
      </c>
      <c r="F998" s="6" t="s">
        <v>51</v>
      </c>
      <c r="G998" s="10">
        <v>1</v>
      </c>
      <c r="H998" s="10">
        <v>7</v>
      </c>
      <c r="I998" s="10">
        <v>6</v>
      </c>
      <c r="J998" s="4" t="s">
        <v>30</v>
      </c>
      <c r="K998" s="4">
        <v>35543</v>
      </c>
      <c r="L998" s="4" t="s">
        <v>61</v>
      </c>
      <c r="M998" s="6" t="s">
        <v>2669</v>
      </c>
      <c r="N998" s="25" t="s">
        <v>20</v>
      </c>
      <c r="O998" s="6" t="s">
        <v>23</v>
      </c>
      <c r="P998" s="6" t="s">
        <v>23</v>
      </c>
      <c r="Q998" s="9" t="s">
        <v>23</v>
      </c>
      <c r="R998" s="54" t="s">
        <v>23</v>
      </c>
      <c r="S998" s="9" t="s">
        <v>23</v>
      </c>
    </row>
    <row r="999" spans="1:19" ht="15.75" customHeight="1">
      <c r="A999" s="10">
        <v>155</v>
      </c>
      <c r="B999" s="10">
        <v>2022</v>
      </c>
      <c r="C999" s="6" t="s">
        <v>102</v>
      </c>
      <c r="D999" s="48">
        <v>44838</v>
      </c>
      <c r="E999" s="6" t="s">
        <v>20</v>
      </c>
      <c r="F999" s="6" t="s">
        <v>51</v>
      </c>
      <c r="G999" s="10">
        <v>1</v>
      </c>
      <c r="H999" s="10">
        <v>7</v>
      </c>
      <c r="I999" s="10">
        <v>7</v>
      </c>
      <c r="J999" s="4" t="s">
        <v>30</v>
      </c>
      <c r="K999" s="4">
        <v>30705</v>
      </c>
      <c r="L999" s="4" t="s">
        <v>61</v>
      </c>
      <c r="M999" s="6" t="s">
        <v>2670</v>
      </c>
      <c r="N999" s="25" t="s">
        <v>20</v>
      </c>
      <c r="O999" s="6" t="s">
        <v>23</v>
      </c>
      <c r="P999" s="6" t="s">
        <v>23</v>
      </c>
      <c r="Q999" s="9" t="s">
        <v>23</v>
      </c>
      <c r="R999" s="54" t="s">
        <v>23</v>
      </c>
      <c r="S999" s="9" t="s">
        <v>23</v>
      </c>
    </row>
    <row r="1000" spans="1:19" ht="15.75" customHeight="1">
      <c r="A1000" s="10">
        <v>156</v>
      </c>
      <c r="B1000" s="10">
        <v>2022</v>
      </c>
      <c r="C1000" s="6" t="s">
        <v>102</v>
      </c>
      <c r="D1000" s="48">
        <v>44838</v>
      </c>
      <c r="E1000" s="6" t="s">
        <v>20</v>
      </c>
      <c r="F1000" s="6" t="s">
        <v>39</v>
      </c>
      <c r="G1000" s="10">
        <v>1</v>
      </c>
      <c r="H1000" s="10">
        <v>3</v>
      </c>
      <c r="I1000" s="10">
        <v>1</v>
      </c>
      <c r="J1000" s="4" t="s">
        <v>71</v>
      </c>
      <c r="K1000" s="4">
        <v>35829</v>
      </c>
      <c r="L1000" s="4" t="s">
        <v>61</v>
      </c>
      <c r="M1000" s="6" t="s">
        <v>2671</v>
      </c>
      <c r="N1000" s="25" t="s">
        <v>33</v>
      </c>
      <c r="O1000" s="6" t="s">
        <v>33</v>
      </c>
      <c r="P1000" s="6">
        <v>7</v>
      </c>
      <c r="Q1000" s="32" t="s">
        <v>2672</v>
      </c>
      <c r="R1000" s="54" t="s">
        <v>23</v>
      </c>
      <c r="S1000" s="17" t="s">
        <v>2673</v>
      </c>
    </row>
    <row r="1001" spans="1:19" ht="15.75" customHeight="1">
      <c r="A1001" s="10">
        <v>156</v>
      </c>
      <c r="B1001" s="10">
        <v>2022</v>
      </c>
      <c r="C1001" s="6" t="s">
        <v>102</v>
      </c>
      <c r="D1001" s="48">
        <v>44838</v>
      </c>
      <c r="E1001" s="6" t="s">
        <v>20</v>
      </c>
      <c r="F1001" s="6" t="s">
        <v>39</v>
      </c>
      <c r="G1001" s="10">
        <v>1</v>
      </c>
      <c r="H1001" s="10">
        <v>3</v>
      </c>
      <c r="I1001" s="10">
        <v>2</v>
      </c>
      <c r="J1001" s="4" t="s">
        <v>71</v>
      </c>
      <c r="K1001" s="4">
        <v>35871</v>
      </c>
      <c r="L1001" s="4" t="s">
        <v>61</v>
      </c>
      <c r="M1001" s="6" t="s">
        <v>2674</v>
      </c>
      <c r="N1001" s="25" t="s">
        <v>33</v>
      </c>
      <c r="O1001" s="6" t="s">
        <v>23</v>
      </c>
      <c r="P1001" s="6" t="s">
        <v>23</v>
      </c>
      <c r="Q1001" s="9" t="s">
        <v>23</v>
      </c>
      <c r="R1001" s="54" t="s">
        <v>23</v>
      </c>
      <c r="S1001" s="9" t="s">
        <v>23</v>
      </c>
    </row>
    <row r="1002" spans="1:19" ht="15.75" customHeight="1">
      <c r="A1002" s="10">
        <v>156</v>
      </c>
      <c r="B1002" s="10">
        <v>2022</v>
      </c>
      <c r="C1002" s="6" t="s">
        <v>102</v>
      </c>
      <c r="D1002" s="48">
        <v>44838</v>
      </c>
      <c r="E1002" s="6" t="s">
        <v>20</v>
      </c>
      <c r="F1002" s="6" t="s">
        <v>39</v>
      </c>
      <c r="G1002" s="10">
        <v>1</v>
      </c>
      <c r="H1002" s="10">
        <v>3</v>
      </c>
      <c r="I1002" s="10">
        <v>3</v>
      </c>
      <c r="J1002" s="4" t="s">
        <v>71</v>
      </c>
      <c r="K1002" s="4">
        <v>35880</v>
      </c>
      <c r="L1002" s="4" t="s">
        <v>61</v>
      </c>
      <c r="M1002" s="6" t="s">
        <v>2675</v>
      </c>
      <c r="N1002" s="25" t="s">
        <v>33</v>
      </c>
      <c r="O1002" s="6" t="s">
        <v>23</v>
      </c>
      <c r="P1002" s="6" t="s">
        <v>23</v>
      </c>
      <c r="Q1002" s="9" t="s">
        <v>23</v>
      </c>
      <c r="R1002" s="54" t="s">
        <v>23</v>
      </c>
      <c r="S1002" s="9" t="s">
        <v>23</v>
      </c>
    </row>
    <row r="1003" spans="1:19" ht="15.75" customHeight="1">
      <c r="A1003" s="10">
        <v>157</v>
      </c>
      <c r="B1003" s="10">
        <v>2022</v>
      </c>
      <c r="C1003" s="6" t="s">
        <v>102</v>
      </c>
      <c r="D1003" s="48">
        <v>44839</v>
      </c>
      <c r="E1003" s="6" t="s">
        <v>33</v>
      </c>
      <c r="F1003" s="6" t="s">
        <v>2676</v>
      </c>
      <c r="G1003" s="10">
        <v>2</v>
      </c>
      <c r="H1003" s="10">
        <v>1</v>
      </c>
      <c r="I1003" s="10">
        <v>1</v>
      </c>
      <c r="J1003" s="4" t="s">
        <v>23</v>
      </c>
      <c r="K1003" s="4" t="s">
        <v>23</v>
      </c>
      <c r="L1003" s="4" t="s">
        <v>23</v>
      </c>
      <c r="M1003" s="6" t="s">
        <v>2677</v>
      </c>
      <c r="N1003" s="25" t="s">
        <v>23</v>
      </c>
      <c r="O1003" s="6" t="s">
        <v>33</v>
      </c>
      <c r="P1003" s="6">
        <v>7</v>
      </c>
      <c r="Q1003" s="32" t="s">
        <v>2678</v>
      </c>
      <c r="R1003" s="56" t="s">
        <v>2679</v>
      </c>
      <c r="S1003" s="34" t="s">
        <v>2680</v>
      </c>
    </row>
    <row r="1004" spans="1:19" ht="15.75" customHeight="1">
      <c r="A1004" s="10">
        <v>158</v>
      </c>
      <c r="B1004" s="10">
        <v>2022</v>
      </c>
      <c r="C1004" s="6" t="s">
        <v>1824</v>
      </c>
      <c r="D1004" s="48">
        <v>44840</v>
      </c>
      <c r="E1004" s="6" t="s">
        <v>33</v>
      </c>
      <c r="F1004" s="6" t="s">
        <v>2681</v>
      </c>
      <c r="G1004" s="10">
        <v>3</v>
      </c>
      <c r="H1004" s="10">
        <v>1</v>
      </c>
      <c r="I1004" s="10">
        <v>1</v>
      </c>
      <c r="J1004" s="4" t="s">
        <v>30</v>
      </c>
      <c r="K1004" s="4">
        <v>34846</v>
      </c>
      <c r="L1004" s="4" t="s">
        <v>61</v>
      </c>
      <c r="M1004" s="6" t="s">
        <v>2682</v>
      </c>
      <c r="N1004" s="25" t="s">
        <v>20</v>
      </c>
      <c r="O1004" s="6" t="s">
        <v>33</v>
      </c>
      <c r="P1004" s="6">
        <v>1</v>
      </c>
      <c r="Q1004" s="32" t="s">
        <v>2683</v>
      </c>
      <c r="R1004" s="56" t="s">
        <v>2684</v>
      </c>
      <c r="S1004" s="32" t="s">
        <v>2685</v>
      </c>
    </row>
    <row r="1005" spans="1:19" ht="15.75" customHeight="1">
      <c r="A1005" s="10">
        <v>159</v>
      </c>
      <c r="B1005" s="10">
        <v>2022</v>
      </c>
      <c r="C1005" s="6" t="s">
        <v>1824</v>
      </c>
      <c r="D1005" s="48">
        <v>44840</v>
      </c>
      <c r="E1005" s="6" t="s">
        <v>20</v>
      </c>
      <c r="F1005" s="6" t="s">
        <v>148</v>
      </c>
      <c r="G1005" s="10">
        <v>1</v>
      </c>
      <c r="H1005" s="10">
        <v>7</v>
      </c>
      <c r="I1005" s="10">
        <v>1</v>
      </c>
      <c r="J1005" s="4" t="s">
        <v>71</v>
      </c>
      <c r="K1005" s="4">
        <v>34065</v>
      </c>
      <c r="L1005" s="4" t="s">
        <v>61</v>
      </c>
      <c r="M1005" s="6" t="s">
        <v>2686</v>
      </c>
      <c r="N1005" s="25" t="s">
        <v>33</v>
      </c>
      <c r="O1005" s="6" t="s">
        <v>33</v>
      </c>
      <c r="P1005" s="6">
        <v>4</v>
      </c>
      <c r="Q1005" s="32" t="s">
        <v>2687</v>
      </c>
      <c r="R1005" s="54" t="s">
        <v>23</v>
      </c>
      <c r="S1005" s="32" t="s">
        <v>2688</v>
      </c>
    </row>
    <row r="1006" spans="1:19" ht="15.75" customHeight="1">
      <c r="A1006" s="10">
        <v>159</v>
      </c>
      <c r="B1006" s="10">
        <v>2022</v>
      </c>
      <c r="C1006" s="6" t="s">
        <v>1824</v>
      </c>
      <c r="D1006" s="48">
        <v>44840</v>
      </c>
      <c r="E1006" s="6" t="s">
        <v>20</v>
      </c>
      <c r="F1006" s="6" t="s">
        <v>148</v>
      </c>
      <c r="G1006" s="10">
        <v>1</v>
      </c>
      <c r="H1006" s="10">
        <v>7</v>
      </c>
      <c r="I1006" s="10">
        <v>2</v>
      </c>
      <c r="J1006" s="4" t="s">
        <v>71</v>
      </c>
      <c r="K1006" s="4">
        <v>34415</v>
      </c>
      <c r="L1006" s="4" t="s">
        <v>61</v>
      </c>
      <c r="M1006" s="6" t="s">
        <v>2689</v>
      </c>
      <c r="N1006" s="25" t="s">
        <v>33</v>
      </c>
      <c r="O1006" s="6" t="s">
        <v>23</v>
      </c>
      <c r="P1006" s="6" t="s">
        <v>23</v>
      </c>
      <c r="Q1006" s="9" t="s">
        <v>23</v>
      </c>
      <c r="R1006" s="54" t="s">
        <v>23</v>
      </c>
      <c r="S1006" s="9" t="s">
        <v>23</v>
      </c>
    </row>
    <row r="1007" spans="1:19" ht="15.75" customHeight="1">
      <c r="A1007" s="10">
        <v>159</v>
      </c>
      <c r="B1007" s="10">
        <v>2022</v>
      </c>
      <c r="C1007" s="6" t="s">
        <v>1824</v>
      </c>
      <c r="D1007" s="48">
        <v>44840</v>
      </c>
      <c r="E1007" s="6" t="s">
        <v>20</v>
      </c>
      <c r="F1007" s="6" t="s">
        <v>148</v>
      </c>
      <c r="G1007" s="10">
        <v>1</v>
      </c>
      <c r="H1007" s="10">
        <v>7</v>
      </c>
      <c r="I1007" s="10">
        <v>3</v>
      </c>
      <c r="J1007" s="4" t="s">
        <v>71</v>
      </c>
      <c r="K1007" s="4">
        <v>34501</v>
      </c>
      <c r="L1007" s="4" t="s">
        <v>61</v>
      </c>
      <c r="M1007" s="6" t="s">
        <v>2690</v>
      </c>
      <c r="N1007" s="25" t="s">
        <v>33</v>
      </c>
      <c r="O1007" s="6" t="s">
        <v>23</v>
      </c>
      <c r="P1007" s="6" t="s">
        <v>23</v>
      </c>
      <c r="Q1007" s="9" t="s">
        <v>23</v>
      </c>
      <c r="R1007" s="54" t="s">
        <v>23</v>
      </c>
      <c r="S1007" s="9" t="s">
        <v>23</v>
      </c>
    </row>
    <row r="1008" spans="1:19" ht="15.75" customHeight="1">
      <c r="A1008" s="10">
        <v>159</v>
      </c>
      <c r="B1008" s="10">
        <v>2022</v>
      </c>
      <c r="C1008" s="6" t="s">
        <v>1824</v>
      </c>
      <c r="D1008" s="48">
        <v>44840</v>
      </c>
      <c r="E1008" s="6" t="s">
        <v>20</v>
      </c>
      <c r="F1008" s="6" t="s">
        <v>148</v>
      </c>
      <c r="G1008" s="10">
        <v>1</v>
      </c>
      <c r="H1008" s="10">
        <v>7</v>
      </c>
      <c r="I1008" s="10">
        <v>4</v>
      </c>
      <c r="J1008" s="4" t="s">
        <v>71</v>
      </c>
      <c r="K1008" s="4">
        <v>34520</v>
      </c>
      <c r="L1008" s="4" t="s">
        <v>61</v>
      </c>
      <c r="M1008" s="6" t="s">
        <v>2691</v>
      </c>
      <c r="N1008" s="25" t="s">
        <v>33</v>
      </c>
      <c r="O1008" s="6" t="s">
        <v>23</v>
      </c>
      <c r="P1008" s="6" t="s">
        <v>23</v>
      </c>
      <c r="Q1008" s="9" t="s">
        <v>23</v>
      </c>
      <c r="R1008" s="54" t="s">
        <v>23</v>
      </c>
      <c r="S1008" s="9" t="s">
        <v>23</v>
      </c>
    </row>
    <row r="1009" spans="1:19" ht="15.75" customHeight="1">
      <c r="A1009" s="10">
        <v>159</v>
      </c>
      <c r="B1009" s="10">
        <v>2022</v>
      </c>
      <c r="C1009" s="6" t="s">
        <v>1824</v>
      </c>
      <c r="D1009" s="48">
        <v>44840</v>
      </c>
      <c r="E1009" s="6" t="s">
        <v>20</v>
      </c>
      <c r="F1009" s="6" t="s">
        <v>148</v>
      </c>
      <c r="G1009" s="10">
        <v>1</v>
      </c>
      <c r="H1009" s="10">
        <v>7</v>
      </c>
      <c r="I1009" s="10">
        <v>5</v>
      </c>
      <c r="J1009" s="4" t="s">
        <v>71</v>
      </c>
      <c r="K1009" s="4">
        <v>34612</v>
      </c>
      <c r="L1009" s="4" t="s">
        <v>61</v>
      </c>
      <c r="M1009" s="6" t="s">
        <v>2692</v>
      </c>
      <c r="N1009" s="25" t="s">
        <v>33</v>
      </c>
      <c r="O1009" s="6" t="s">
        <v>23</v>
      </c>
      <c r="P1009" s="6" t="s">
        <v>23</v>
      </c>
      <c r="Q1009" s="9" t="s">
        <v>23</v>
      </c>
      <c r="R1009" s="54" t="s">
        <v>23</v>
      </c>
      <c r="S1009" s="9" t="s">
        <v>23</v>
      </c>
    </row>
    <row r="1010" spans="1:19" ht="15.75" customHeight="1">
      <c r="A1010" s="10">
        <v>159</v>
      </c>
      <c r="B1010" s="10">
        <v>2022</v>
      </c>
      <c r="C1010" s="6" t="s">
        <v>1824</v>
      </c>
      <c r="D1010" s="48">
        <v>44840</v>
      </c>
      <c r="E1010" s="6" t="s">
        <v>20</v>
      </c>
      <c r="F1010" s="6" t="s">
        <v>148</v>
      </c>
      <c r="G1010" s="10">
        <v>1</v>
      </c>
      <c r="H1010" s="10">
        <v>7</v>
      </c>
      <c r="I1010" s="10">
        <v>6</v>
      </c>
      <c r="J1010" s="4" t="s">
        <v>71</v>
      </c>
      <c r="K1010" s="4">
        <v>34785</v>
      </c>
      <c r="L1010" s="4" t="s">
        <v>61</v>
      </c>
      <c r="M1010" s="6" t="s">
        <v>2693</v>
      </c>
      <c r="N1010" s="25" t="s">
        <v>33</v>
      </c>
      <c r="O1010" s="6" t="s">
        <v>23</v>
      </c>
      <c r="P1010" s="6" t="s">
        <v>23</v>
      </c>
      <c r="Q1010" s="9" t="s">
        <v>23</v>
      </c>
      <c r="R1010" s="54" t="s">
        <v>23</v>
      </c>
      <c r="S1010" s="9" t="s">
        <v>23</v>
      </c>
    </row>
    <row r="1011" spans="1:19" ht="15.75" customHeight="1">
      <c r="A1011" s="10">
        <v>159</v>
      </c>
      <c r="B1011" s="10">
        <v>2022</v>
      </c>
      <c r="C1011" s="6" t="s">
        <v>1824</v>
      </c>
      <c r="D1011" s="48">
        <v>44840</v>
      </c>
      <c r="E1011" s="6" t="s">
        <v>20</v>
      </c>
      <c r="F1011" s="6" t="s">
        <v>148</v>
      </c>
      <c r="G1011" s="10">
        <v>1</v>
      </c>
      <c r="H1011" s="10">
        <v>7</v>
      </c>
      <c r="I1011" s="10">
        <v>7</v>
      </c>
      <c r="J1011" s="4" t="s">
        <v>71</v>
      </c>
      <c r="K1011" s="4">
        <v>34844</v>
      </c>
      <c r="L1011" s="4" t="s">
        <v>61</v>
      </c>
      <c r="M1011" s="6" t="s">
        <v>2694</v>
      </c>
      <c r="N1011" s="25" t="s">
        <v>33</v>
      </c>
      <c r="O1011" s="6" t="s">
        <v>23</v>
      </c>
      <c r="P1011" s="6" t="s">
        <v>23</v>
      </c>
      <c r="Q1011" s="9" t="s">
        <v>23</v>
      </c>
      <c r="R1011" s="54" t="s">
        <v>23</v>
      </c>
      <c r="S1011" s="9" t="s">
        <v>23</v>
      </c>
    </row>
    <row r="1012" spans="1:19" ht="15.75" customHeight="1">
      <c r="A1012" s="10">
        <v>160</v>
      </c>
      <c r="B1012" s="10">
        <v>2022</v>
      </c>
      <c r="C1012" s="6" t="s">
        <v>102</v>
      </c>
      <c r="D1012" s="59">
        <v>44845</v>
      </c>
      <c r="E1012" s="6" t="s">
        <v>20</v>
      </c>
      <c r="F1012" s="6" t="s">
        <v>47</v>
      </c>
      <c r="G1012" s="10">
        <v>1</v>
      </c>
      <c r="H1012" s="10">
        <v>1</v>
      </c>
      <c r="I1012" s="10">
        <v>1</v>
      </c>
      <c r="J1012" s="4" t="s">
        <v>30</v>
      </c>
      <c r="K1012" s="4">
        <v>36206</v>
      </c>
      <c r="L1012" s="4" t="s">
        <v>31</v>
      </c>
      <c r="M1012" s="6" t="s">
        <v>2695</v>
      </c>
      <c r="N1012" s="25" t="s">
        <v>33</v>
      </c>
      <c r="O1012" s="6" t="s">
        <v>33</v>
      </c>
      <c r="P1012" s="6">
        <v>1</v>
      </c>
      <c r="Q1012" s="32" t="s">
        <v>2696</v>
      </c>
      <c r="R1012" s="56" t="s">
        <v>2697</v>
      </c>
      <c r="S1012" s="17" t="s">
        <v>2698</v>
      </c>
    </row>
    <row r="1013" spans="1:19" ht="15.75" customHeight="1">
      <c r="A1013" s="10">
        <v>161</v>
      </c>
      <c r="B1013" s="10">
        <v>2022</v>
      </c>
      <c r="C1013" s="6" t="s">
        <v>102</v>
      </c>
      <c r="D1013" s="59">
        <v>44845</v>
      </c>
      <c r="E1013" s="6" t="s">
        <v>20</v>
      </c>
      <c r="F1013" s="6" t="s">
        <v>51</v>
      </c>
      <c r="G1013" s="10">
        <v>1</v>
      </c>
      <c r="H1013" s="10">
        <v>1</v>
      </c>
      <c r="I1013" s="10">
        <v>1</v>
      </c>
      <c r="J1013" s="4" t="s">
        <v>30</v>
      </c>
      <c r="K1013" s="4">
        <v>30705</v>
      </c>
      <c r="L1013" s="4" t="s">
        <v>61</v>
      </c>
      <c r="M1013" s="6" t="s">
        <v>2670</v>
      </c>
      <c r="N1013" s="25" t="s">
        <v>33</v>
      </c>
      <c r="O1013" s="6" t="s">
        <v>20</v>
      </c>
      <c r="P1013" s="6">
        <v>0</v>
      </c>
      <c r="Q1013" s="32" t="s">
        <v>2699</v>
      </c>
      <c r="R1013" s="56" t="s">
        <v>2700</v>
      </c>
      <c r="S1013" s="17" t="s">
        <v>2701</v>
      </c>
    </row>
    <row r="1014" spans="1:19" ht="15.75" customHeight="1">
      <c r="A1014" s="10">
        <v>162</v>
      </c>
      <c r="B1014" s="10">
        <v>2022</v>
      </c>
      <c r="C1014" s="6" t="s">
        <v>102</v>
      </c>
      <c r="D1014" s="59">
        <v>44845</v>
      </c>
      <c r="E1014" s="6" t="s">
        <v>20</v>
      </c>
      <c r="F1014" s="6" t="s">
        <v>148</v>
      </c>
      <c r="G1014" s="10">
        <v>1</v>
      </c>
      <c r="H1014" s="10">
        <v>1</v>
      </c>
      <c r="I1014" s="10">
        <v>1</v>
      </c>
      <c r="J1014" s="4" t="s">
        <v>30</v>
      </c>
      <c r="K1014" s="4">
        <v>36212</v>
      </c>
      <c r="L1014" s="4" t="s">
        <v>31</v>
      </c>
      <c r="M1014" s="6" t="s">
        <v>2702</v>
      </c>
      <c r="N1014" s="25" t="s">
        <v>33</v>
      </c>
      <c r="O1014" s="6" t="s">
        <v>20</v>
      </c>
      <c r="P1014" s="6">
        <v>0</v>
      </c>
      <c r="Q1014" s="32" t="s">
        <v>2703</v>
      </c>
      <c r="R1014" s="56" t="s">
        <v>2704</v>
      </c>
      <c r="S1014" s="32" t="s">
        <v>2705</v>
      </c>
    </row>
    <row r="1015" spans="1:19" ht="15.75" customHeight="1">
      <c r="A1015" s="10">
        <v>163</v>
      </c>
      <c r="B1015" s="10">
        <v>2022</v>
      </c>
      <c r="C1015" s="6" t="s">
        <v>102</v>
      </c>
      <c r="D1015" s="59">
        <v>44846</v>
      </c>
      <c r="E1015" s="6" t="s">
        <v>20</v>
      </c>
      <c r="F1015" s="6" t="s">
        <v>53</v>
      </c>
      <c r="G1015" s="10">
        <v>1</v>
      </c>
      <c r="H1015" s="10">
        <v>3</v>
      </c>
      <c r="I1015" s="10">
        <v>1</v>
      </c>
      <c r="J1015" s="4" t="s">
        <v>30</v>
      </c>
      <c r="K1015" s="4">
        <v>36206</v>
      </c>
      <c r="L1015" s="4" t="s">
        <v>31</v>
      </c>
      <c r="M1015" s="6" t="s">
        <v>2695</v>
      </c>
      <c r="N1015" s="25" t="s">
        <v>20</v>
      </c>
      <c r="O1015" s="6" t="s">
        <v>20</v>
      </c>
      <c r="P1015" s="6">
        <v>0</v>
      </c>
      <c r="Q1015" s="32" t="s">
        <v>2706</v>
      </c>
      <c r="R1015" s="56" t="s">
        <v>2707</v>
      </c>
      <c r="S1015" s="32" t="s">
        <v>2708</v>
      </c>
    </row>
    <row r="1016" spans="1:19" ht="15.75" customHeight="1">
      <c r="A1016" s="10">
        <v>163</v>
      </c>
      <c r="B1016" s="10">
        <v>2022</v>
      </c>
      <c r="C1016" s="6" t="s">
        <v>102</v>
      </c>
      <c r="D1016" s="59">
        <v>44846</v>
      </c>
      <c r="E1016" s="6" t="s">
        <v>20</v>
      </c>
      <c r="F1016" s="6" t="s">
        <v>53</v>
      </c>
      <c r="G1016" s="10">
        <v>1</v>
      </c>
      <c r="H1016" s="10">
        <v>3</v>
      </c>
      <c r="I1016" s="10">
        <v>2</v>
      </c>
      <c r="J1016" s="4" t="s">
        <v>30</v>
      </c>
      <c r="K1016" s="4">
        <v>30705</v>
      </c>
      <c r="L1016" s="4" t="s">
        <v>61</v>
      </c>
      <c r="M1016" s="6" t="s">
        <v>2670</v>
      </c>
      <c r="N1016" s="25" t="s">
        <v>20</v>
      </c>
      <c r="O1016" s="6" t="s">
        <v>23</v>
      </c>
      <c r="P1016" s="6" t="s">
        <v>23</v>
      </c>
      <c r="Q1016" s="9" t="s">
        <v>23</v>
      </c>
      <c r="R1016" s="54" t="s">
        <v>23</v>
      </c>
      <c r="S1016" s="9" t="s">
        <v>23</v>
      </c>
    </row>
    <row r="1017" spans="1:19" ht="15.75" customHeight="1">
      <c r="A1017" s="10">
        <v>163</v>
      </c>
      <c r="B1017" s="10">
        <v>2022</v>
      </c>
      <c r="C1017" s="6" t="s">
        <v>102</v>
      </c>
      <c r="D1017" s="59">
        <v>44846</v>
      </c>
      <c r="E1017" s="6" t="s">
        <v>20</v>
      </c>
      <c r="F1017" s="6" t="s">
        <v>53</v>
      </c>
      <c r="G1017" s="10">
        <v>1</v>
      </c>
      <c r="H1017" s="10">
        <v>3</v>
      </c>
      <c r="I1017" s="10">
        <v>3</v>
      </c>
      <c r="J1017" s="4" t="s">
        <v>30</v>
      </c>
      <c r="K1017" s="4">
        <v>36212</v>
      </c>
      <c r="L1017" s="4" t="s">
        <v>31</v>
      </c>
      <c r="M1017" s="6" t="s">
        <v>2702</v>
      </c>
      <c r="N1017" s="25" t="s">
        <v>20</v>
      </c>
      <c r="O1017" s="6" t="s">
        <v>23</v>
      </c>
      <c r="P1017" s="6" t="s">
        <v>23</v>
      </c>
      <c r="Q1017" s="9" t="s">
        <v>23</v>
      </c>
      <c r="R1017" s="54" t="s">
        <v>23</v>
      </c>
      <c r="S1017" s="9" t="s">
        <v>23</v>
      </c>
    </row>
    <row r="1018" spans="1:19" ht="15.75" customHeight="1">
      <c r="A1018" s="10">
        <v>164</v>
      </c>
      <c r="B1018" s="10">
        <v>2022</v>
      </c>
      <c r="C1018" s="6" t="s">
        <v>1824</v>
      </c>
      <c r="D1018" s="59">
        <v>44847</v>
      </c>
      <c r="E1018" s="6" t="s">
        <v>20</v>
      </c>
      <c r="F1018" s="6" t="s">
        <v>37</v>
      </c>
      <c r="G1018" s="10">
        <v>1</v>
      </c>
      <c r="H1018" s="10">
        <v>2</v>
      </c>
      <c r="I1018" s="10">
        <v>1</v>
      </c>
      <c r="J1018" s="4" t="s">
        <v>30</v>
      </c>
      <c r="K1018" s="4">
        <v>35604</v>
      </c>
      <c r="L1018" s="4" t="s">
        <v>61</v>
      </c>
      <c r="M1018" s="6" t="s">
        <v>2709</v>
      </c>
      <c r="N1018" s="25" t="s">
        <v>20</v>
      </c>
      <c r="O1018" s="6" t="s">
        <v>33</v>
      </c>
      <c r="P1018" s="6">
        <v>6</v>
      </c>
      <c r="Q1018" s="32" t="s">
        <v>2710</v>
      </c>
      <c r="R1018" s="56" t="s">
        <v>2711</v>
      </c>
      <c r="S1018" s="32" t="s">
        <v>2712</v>
      </c>
    </row>
    <row r="1019" spans="1:19" ht="15.75" customHeight="1">
      <c r="A1019" s="10">
        <v>164</v>
      </c>
      <c r="B1019" s="10">
        <v>2022</v>
      </c>
      <c r="C1019" s="6" t="s">
        <v>1824</v>
      </c>
      <c r="D1019" s="59">
        <v>44847</v>
      </c>
      <c r="E1019" s="6" t="s">
        <v>20</v>
      </c>
      <c r="F1019" s="6" t="s">
        <v>37</v>
      </c>
      <c r="G1019" s="10">
        <v>1</v>
      </c>
      <c r="H1019" s="10">
        <v>2</v>
      </c>
      <c r="I1019" s="10">
        <v>2</v>
      </c>
      <c r="J1019" s="4" t="s">
        <v>30</v>
      </c>
      <c r="K1019" s="4">
        <v>36082</v>
      </c>
      <c r="L1019" s="4" t="s">
        <v>61</v>
      </c>
      <c r="M1019" s="6" t="s">
        <v>2713</v>
      </c>
      <c r="N1019" s="25" t="s">
        <v>20</v>
      </c>
      <c r="O1019" s="6" t="s">
        <v>23</v>
      </c>
      <c r="P1019" s="6" t="s">
        <v>23</v>
      </c>
      <c r="Q1019" s="9" t="s">
        <v>23</v>
      </c>
      <c r="R1019" s="54" t="s">
        <v>23</v>
      </c>
      <c r="S1019" s="9" t="s">
        <v>23</v>
      </c>
    </row>
    <row r="1020" spans="1:19" ht="15.75" customHeight="1">
      <c r="A1020" s="10">
        <v>165</v>
      </c>
      <c r="B1020" s="10">
        <v>2022</v>
      </c>
      <c r="C1020" s="6" t="s">
        <v>102</v>
      </c>
      <c r="D1020" s="59">
        <v>44847</v>
      </c>
      <c r="E1020" s="6" t="s">
        <v>33</v>
      </c>
      <c r="F1020" s="6" t="s">
        <v>2676</v>
      </c>
      <c r="G1020" s="10">
        <v>2</v>
      </c>
      <c r="H1020" s="10">
        <v>1</v>
      </c>
      <c r="I1020" s="10">
        <v>1</v>
      </c>
      <c r="J1020" s="4" t="s">
        <v>23</v>
      </c>
      <c r="K1020" s="4" t="s">
        <v>23</v>
      </c>
      <c r="L1020" s="4" t="s">
        <v>23</v>
      </c>
      <c r="M1020" s="6" t="s">
        <v>2714</v>
      </c>
      <c r="N1020" s="25" t="s">
        <v>23</v>
      </c>
      <c r="O1020" s="6" t="s">
        <v>33</v>
      </c>
      <c r="P1020" s="6">
        <v>1</v>
      </c>
      <c r="Q1020" s="32" t="s">
        <v>2715</v>
      </c>
      <c r="R1020" s="56" t="s">
        <v>2716</v>
      </c>
      <c r="S1020" s="57" t="s">
        <v>2717</v>
      </c>
    </row>
    <row r="1021" spans="1:19" ht="15.75" customHeight="1">
      <c r="A1021" s="10">
        <v>166</v>
      </c>
      <c r="B1021" s="10">
        <v>2022</v>
      </c>
      <c r="C1021" s="6" t="s">
        <v>102</v>
      </c>
      <c r="D1021" s="59">
        <v>44852</v>
      </c>
      <c r="E1021" s="6" t="s">
        <v>20</v>
      </c>
      <c r="F1021" s="6" t="s">
        <v>49</v>
      </c>
      <c r="G1021" s="10">
        <v>1</v>
      </c>
      <c r="H1021" s="10">
        <v>1</v>
      </c>
      <c r="I1021" s="10">
        <v>1</v>
      </c>
      <c r="J1021" s="4" t="s">
        <v>30</v>
      </c>
      <c r="K1021" s="4">
        <v>30617</v>
      </c>
      <c r="L1021" s="4" t="s">
        <v>61</v>
      </c>
      <c r="M1021" s="6" t="s">
        <v>2718</v>
      </c>
      <c r="N1021" s="25" t="s">
        <v>20</v>
      </c>
      <c r="O1021" s="6" t="s">
        <v>20</v>
      </c>
      <c r="P1021" s="6">
        <v>0</v>
      </c>
      <c r="Q1021" s="32" t="s">
        <v>2719</v>
      </c>
      <c r="R1021" s="56" t="s">
        <v>2720</v>
      </c>
      <c r="S1021" s="32" t="s">
        <v>2721</v>
      </c>
    </row>
    <row r="1022" spans="1:19" ht="15.75" customHeight="1">
      <c r="A1022" s="10">
        <v>167</v>
      </c>
      <c r="B1022" s="10">
        <v>2022</v>
      </c>
      <c r="C1022" s="6" t="s">
        <v>102</v>
      </c>
      <c r="D1022" s="59">
        <v>44852</v>
      </c>
      <c r="E1022" s="6" t="s">
        <v>20</v>
      </c>
      <c r="F1022" s="6" t="s">
        <v>47</v>
      </c>
      <c r="G1022" s="10">
        <v>1</v>
      </c>
      <c r="H1022" s="10">
        <v>1</v>
      </c>
      <c r="I1022" s="10">
        <v>1</v>
      </c>
      <c r="J1022" s="4" t="s">
        <v>30</v>
      </c>
      <c r="K1022" s="4">
        <v>36208</v>
      </c>
      <c r="L1022" s="4" t="s">
        <v>31</v>
      </c>
      <c r="M1022" s="6" t="s">
        <v>2722</v>
      </c>
      <c r="N1022" s="25" t="s">
        <v>33</v>
      </c>
      <c r="O1022" s="6" t="s">
        <v>20</v>
      </c>
      <c r="P1022" s="6">
        <v>0</v>
      </c>
      <c r="Q1022" s="32" t="s">
        <v>2723</v>
      </c>
      <c r="R1022" s="56" t="s">
        <v>2724</v>
      </c>
      <c r="S1022" s="32" t="s">
        <v>2725</v>
      </c>
    </row>
    <row r="1023" spans="1:19" ht="15.75" customHeight="1">
      <c r="A1023" s="10">
        <v>168</v>
      </c>
      <c r="B1023" s="10">
        <v>2022</v>
      </c>
      <c r="C1023" s="6" t="s">
        <v>102</v>
      </c>
      <c r="D1023" s="59">
        <v>44854</v>
      </c>
      <c r="E1023" s="6" t="s">
        <v>20</v>
      </c>
      <c r="F1023" s="6" t="s">
        <v>148</v>
      </c>
      <c r="G1023" s="10">
        <v>1</v>
      </c>
      <c r="H1023" s="10">
        <v>1</v>
      </c>
      <c r="I1023" s="10">
        <v>1</v>
      </c>
      <c r="J1023" s="4" t="s">
        <v>30</v>
      </c>
      <c r="K1023" s="4">
        <v>36213</v>
      </c>
      <c r="L1023" s="4" t="s">
        <v>31</v>
      </c>
      <c r="M1023" s="6" t="s">
        <v>2726</v>
      </c>
      <c r="N1023" s="25" t="s">
        <v>33</v>
      </c>
      <c r="O1023" s="6" t="s">
        <v>33</v>
      </c>
      <c r="P1023" s="6">
        <v>1</v>
      </c>
      <c r="Q1023" s="32" t="s">
        <v>2727</v>
      </c>
      <c r="R1023" s="56" t="s">
        <v>2728</v>
      </c>
      <c r="S1023" s="32" t="s">
        <v>2729</v>
      </c>
    </row>
    <row r="1024" spans="1:19" ht="15.75" customHeight="1">
      <c r="A1024" s="10">
        <v>169</v>
      </c>
      <c r="B1024" s="10">
        <v>2022</v>
      </c>
      <c r="C1024" s="6" t="s">
        <v>102</v>
      </c>
      <c r="D1024" s="59">
        <v>44859</v>
      </c>
      <c r="E1024" s="6" t="s">
        <v>20</v>
      </c>
      <c r="F1024" s="6" t="s">
        <v>47</v>
      </c>
      <c r="G1024" s="10">
        <v>1</v>
      </c>
      <c r="H1024" s="10">
        <v>1</v>
      </c>
      <c r="I1024" s="10">
        <v>1</v>
      </c>
      <c r="J1024" s="4" t="s">
        <v>30</v>
      </c>
      <c r="K1024" s="4">
        <v>36209</v>
      </c>
      <c r="L1024" s="4" t="s">
        <v>31</v>
      </c>
      <c r="M1024" s="6" t="s">
        <v>2730</v>
      </c>
      <c r="N1024" s="25" t="s">
        <v>33</v>
      </c>
      <c r="O1024" s="6" t="s">
        <v>33</v>
      </c>
      <c r="P1024" s="6">
        <v>1</v>
      </c>
      <c r="Q1024" s="32" t="s">
        <v>2731</v>
      </c>
      <c r="R1024" s="56" t="s">
        <v>2732</v>
      </c>
      <c r="S1024" s="32" t="s">
        <v>2733</v>
      </c>
    </row>
    <row r="1025" spans="1:19" ht="15.75" customHeight="1">
      <c r="A1025" s="10">
        <v>170</v>
      </c>
      <c r="B1025" s="10">
        <v>2022</v>
      </c>
      <c r="C1025" s="6" t="s">
        <v>102</v>
      </c>
      <c r="D1025" s="59">
        <v>44859</v>
      </c>
      <c r="E1025" s="6" t="s">
        <v>20</v>
      </c>
      <c r="F1025" s="6" t="s">
        <v>41</v>
      </c>
      <c r="G1025" s="10">
        <v>1</v>
      </c>
      <c r="H1025" s="10">
        <v>1</v>
      </c>
      <c r="I1025" s="10">
        <v>1</v>
      </c>
      <c r="J1025" s="4" t="s">
        <v>30</v>
      </c>
      <c r="K1025" s="4">
        <v>34846</v>
      </c>
      <c r="L1025" s="4" t="s">
        <v>61</v>
      </c>
      <c r="M1025" s="6" t="s">
        <v>2565</v>
      </c>
      <c r="N1025" s="25" t="s">
        <v>20</v>
      </c>
      <c r="O1025" s="6" t="s">
        <v>20</v>
      </c>
      <c r="P1025" s="6">
        <v>0</v>
      </c>
      <c r="Q1025" s="32" t="s">
        <v>2734</v>
      </c>
      <c r="R1025" s="56" t="s">
        <v>2735</v>
      </c>
      <c r="S1025" s="32" t="s">
        <v>2736</v>
      </c>
    </row>
    <row r="1026" spans="1:19" ht="15.75" customHeight="1">
      <c r="A1026" s="10">
        <v>171</v>
      </c>
      <c r="B1026" s="10">
        <v>2022</v>
      </c>
      <c r="C1026" s="6" t="s">
        <v>102</v>
      </c>
      <c r="D1026" s="59">
        <v>44859</v>
      </c>
      <c r="E1026" s="6" t="s">
        <v>20</v>
      </c>
      <c r="F1026" s="6" t="s">
        <v>39</v>
      </c>
      <c r="G1026" s="10">
        <v>1</v>
      </c>
      <c r="H1026" s="10">
        <v>1</v>
      </c>
      <c r="I1026" s="10">
        <v>1</v>
      </c>
      <c r="J1026" s="4" t="s">
        <v>71</v>
      </c>
      <c r="K1026" s="4">
        <v>36028</v>
      </c>
      <c r="L1026" s="4" t="s">
        <v>61</v>
      </c>
      <c r="M1026" s="6" t="s">
        <v>2737</v>
      </c>
      <c r="N1026" s="25" t="s">
        <v>33</v>
      </c>
      <c r="O1026" s="6" t="s">
        <v>33</v>
      </c>
      <c r="P1026" s="6">
        <v>3</v>
      </c>
      <c r="Q1026" s="32" t="s">
        <v>2738</v>
      </c>
      <c r="R1026" s="56" t="s">
        <v>2739</v>
      </c>
      <c r="S1026" s="32" t="s">
        <v>2740</v>
      </c>
    </row>
    <row r="1027" spans="1:19" ht="15.75" customHeight="1">
      <c r="A1027" s="10">
        <v>172</v>
      </c>
      <c r="B1027" s="10">
        <v>2022</v>
      </c>
      <c r="C1027" s="6" t="s">
        <v>102</v>
      </c>
      <c r="D1027" s="59">
        <v>44859</v>
      </c>
      <c r="E1027" s="6" t="s">
        <v>20</v>
      </c>
      <c r="F1027" s="6" t="s">
        <v>53</v>
      </c>
      <c r="G1027" s="10">
        <v>1</v>
      </c>
      <c r="H1027" s="10">
        <v>3</v>
      </c>
      <c r="I1027" s="10">
        <v>1</v>
      </c>
      <c r="J1027" s="4" t="s">
        <v>30</v>
      </c>
      <c r="K1027" s="4">
        <v>36208</v>
      </c>
      <c r="L1027" s="4" t="s">
        <v>31</v>
      </c>
      <c r="M1027" s="6" t="s">
        <v>2722</v>
      </c>
      <c r="N1027" s="25" t="s">
        <v>20</v>
      </c>
      <c r="O1027" s="6" t="s">
        <v>20</v>
      </c>
      <c r="P1027" s="6">
        <v>0</v>
      </c>
      <c r="Q1027" s="32" t="s">
        <v>2741</v>
      </c>
      <c r="R1027" s="56" t="s">
        <v>2742</v>
      </c>
      <c r="S1027" s="32" t="s">
        <v>2743</v>
      </c>
    </row>
    <row r="1028" spans="1:19" ht="15.75" customHeight="1">
      <c r="A1028" s="10">
        <v>172</v>
      </c>
      <c r="B1028" s="10">
        <v>2022</v>
      </c>
      <c r="C1028" s="6" t="s">
        <v>102</v>
      </c>
      <c r="D1028" s="59">
        <v>44859</v>
      </c>
      <c r="E1028" s="6" t="s">
        <v>20</v>
      </c>
      <c r="F1028" s="6" t="s">
        <v>53</v>
      </c>
      <c r="G1028" s="10">
        <v>1</v>
      </c>
      <c r="H1028" s="10">
        <v>3</v>
      </c>
      <c r="I1028" s="10">
        <v>2</v>
      </c>
      <c r="J1028" s="4" t="s">
        <v>30</v>
      </c>
      <c r="K1028" s="4">
        <v>36209</v>
      </c>
      <c r="L1028" s="4" t="s">
        <v>31</v>
      </c>
      <c r="M1028" s="6" t="s">
        <v>2730</v>
      </c>
      <c r="N1028" s="25" t="s">
        <v>20</v>
      </c>
      <c r="O1028" s="6" t="s">
        <v>23</v>
      </c>
      <c r="P1028" s="6" t="s">
        <v>23</v>
      </c>
      <c r="Q1028" s="9" t="s">
        <v>23</v>
      </c>
      <c r="R1028" s="54" t="s">
        <v>23</v>
      </c>
      <c r="S1028" s="9" t="s">
        <v>23</v>
      </c>
    </row>
    <row r="1029" spans="1:19" ht="15.75" customHeight="1">
      <c r="A1029" s="10">
        <v>172</v>
      </c>
      <c r="B1029" s="10">
        <v>2022</v>
      </c>
      <c r="C1029" s="6" t="s">
        <v>102</v>
      </c>
      <c r="D1029" s="59">
        <v>44859</v>
      </c>
      <c r="E1029" s="6" t="s">
        <v>20</v>
      </c>
      <c r="F1029" s="6" t="s">
        <v>53</v>
      </c>
      <c r="G1029" s="10">
        <v>1</v>
      </c>
      <c r="H1029" s="10">
        <v>3</v>
      </c>
      <c r="I1029" s="10">
        <v>3</v>
      </c>
      <c r="J1029" s="4" t="s">
        <v>30</v>
      </c>
      <c r="K1029" s="4">
        <v>36213</v>
      </c>
      <c r="L1029" s="4" t="s">
        <v>31</v>
      </c>
      <c r="M1029" s="6" t="s">
        <v>2726</v>
      </c>
      <c r="N1029" s="25" t="s">
        <v>20</v>
      </c>
      <c r="O1029" s="6" t="s">
        <v>23</v>
      </c>
      <c r="P1029" s="6" t="s">
        <v>23</v>
      </c>
      <c r="Q1029" s="9" t="s">
        <v>23</v>
      </c>
      <c r="R1029" s="54" t="s">
        <v>23</v>
      </c>
      <c r="S1029" s="9" t="s">
        <v>23</v>
      </c>
    </row>
    <row r="1030" spans="1:19" ht="15.75" customHeight="1">
      <c r="A1030" s="10">
        <v>173</v>
      </c>
      <c r="B1030" s="10">
        <v>2022</v>
      </c>
      <c r="C1030" s="6" t="s">
        <v>19</v>
      </c>
      <c r="D1030" s="59">
        <v>44860</v>
      </c>
      <c r="E1030" s="6" t="s">
        <v>33</v>
      </c>
      <c r="F1030" s="6" t="s">
        <v>2466</v>
      </c>
      <c r="G1030" s="10">
        <v>3</v>
      </c>
      <c r="H1030" s="10">
        <v>1</v>
      </c>
      <c r="I1030" s="10">
        <v>1</v>
      </c>
      <c r="J1030" s="4" t="s">
        <v>23</v>
      </c>
      <c r="K1030" s="4" t="s">
        <v>23</v>
      </c>
      <c r="L1030" s="4" t="s">
        <v>23</v>
      </c>
      <c r="M1030" s="6" t="s">
        <v>2744</v>
      </c>
      <c r="N1030" s="25" t="s">
        <v>23</v>
      </c>
      <c r="O1030" s="6" t="s">
        <v>20</v>
      </c>
      <c r="P1030" s="6">
        <v>0</v>
      </c>
      <c r="Q1030" s="9" t="s">
        <v>23</v>
      </c>
      <c r="R1030" s="54" t="s">
        <v>23</v>
      </c>
      <c r="S1030" s="57" t="s">
        <v>2745</v>
      </c>
    </row>
    <row r="1031" spans="1:19" ht="15.75" customHeight="1">
      <c r="A1031" s="10">
        <v>174</v>
      </c>
      <c r="B1031" s="10">
        <v>2022</v>
      </c>
      <c r="C1031" s="6" t="s">
        <v>102</v>
      </c>
      <c r="D1031" s="59">
        <v>44861</v>
      </c>
      <c r="E1031" s="6" t="s">
        <v>20</v>
      </c>
      <c r="F1031" s="6" t="s">
        <v>37</v>
      </c>
      <c r="G1031" s="10">
        <v>1</v>
      </c>
      <c r="H1031" s="10">
        <v>5</v>
      </c>
      <c r="I1031" s="10">
        <v>1</v>
      </c>
      <c r="J1031" s="4" t="s">
        <v>64</v>
      </c>
      <c r="K1031" s="4">
        <v>36276</v>
      </c>
      <c r="L1031" s="4" t="s">
        <v>31</v>
      </c>
      <c r="M1031" s="6" t="s">
        <v>2746</v>
      </c>
      <c r="N1031" s="25" t="s">
        <v>33</v>
      </c>
      <c r="O1031" s="6" t="s">
        <v>33</v>
      </c>
      <c r="P1031" s="6">
        <v>3</v>
      </c>
      <c r="Q1031" s="32" t="s">
        <v>2747</v>
      </c>
      <c r="R1031" s="56" t="s">
        <v>2748</v>
      </c>
      <c r="S1031" s="32" t="s">
        <v>2749</v>
      </c>
    </row>
    <row r="1032" spans="1:19" ht="15.75" customHeight="1">
      <c r="A1032" s="10">
        <v>174</v>
      </c>
      <c r="B1032" s="10">
        <v>2022</v>
      </c>
      <c r="C1032" s="6" t="s">
        <v>102</v>
      </c>
      <c r="D1032" s="59">
        <v>44861</v>
      </c>
      <c r="E1032" s="6" t="s">
        <v>20</v>
      </c>
      <c r="F1032" s="6" t="s">
        <v>37</v>
      </c>
      <c r="G1032" s="10">
        <v>1</v>
      </c>
      <c r="H1032" s="10">
        <v>5</v>
      </c>
      <c r="I1032" s="10">
        <v>2</v>
      </c>
      <c r="J1032" s="4" t="s">
        <v>64</v>
      </c>
      <c r="K1032" s="4">
        <v>36277</v>
      </c>
      <c r="L1032" s="4" t="s">
        <v>31</v>
      </c>
      <c r="M1032" s="6" t="s">
        <v>2750</v>
      </c>
      <c r="N1032" s="25" t="s">
        <v>33</v>
      </c>
      <c r="O1032" s="6" t="s">
        <v>23</v>
      </c>
      <c r="P1032" s="6" t="s">
        <v>23</v>
      </c>
      <c r="Q1032" s="9" t="s">
        <v>23</v>
      </c>
      <c r="R1032" s="54" t="s">
        <v>23</v>
      </c>
      <c r="S1032" s="9" t="s">
        <v>23</v>
      </c>
    </row>
    <row r="1033" spans="1:19" ht="15.75" customHeight="1">
      <c r="A1033" s="10">
        <v>174</v>
      </c>
      <c r="B1033" s="10">
        <v>2022</v>
      </c>
      <c r="C1033" s="6" t="s">
        <v>102</v>
      </c>
      <c r="D1033" s="59">
        <v>44861</v>
      </c>
      <c r="E1033" s="6" t="s">
        <v>20</v>
      </c>
      <c r="F1033" s="6" t="s">
        <v>37</v>
      </c>
      <c r="G1033" s="10">
        <v>1</v>
      </c>
      <c r="H1033" s="10">
        <v>5</v>
      </c>
      <c r="I1033" s="10">
        <v>3</v>
      </c>
      <c r="J1033" s="4" t="s">
        <v>64</v>
      </c>
      <c r="K1033" s="4">
        <v>36278</v>
      </c>
      <c r="L1033" s="4" t="s">
        <v>31</v>
      </c>
      <c r="M1033" s="6" t="s">
        <v>2751</v>
      </c>
      <c r="N1033" s="25" t="s">
        <v>33</v>
      </c>
      <c r="O1033" s="6" t="s">
        <v>23</v>
      </c>
      <c r="P1033" s="6" t="s">
        <v>23</v>
      </c>
      <c r="Q1033" s="9" t="s">
        <v>23</v>
      </c>
      <c r="R1033" s="54" t="s">
        <v>23</v>
      </c>
      <c r="S1033" s="9" t="s">
        <v>23</v>
      </c>
    </row>
    <row r="1034" spans="1:19" ht="15.75" customHeight="1">
      <c r="A1034" s="10">
        <v>174</v>
      </c>
      <c r="B1034" s="10">
        <v>2022</v>
      </c>
      <c r="C1034" s="6" t="s">
        <v>102</v>
      </c>
      <c r="D1034" s="59">
        <v>44861</v>
      </c>
      <c r="E1034" s="6" t="s">
        <v>20</v>
      </c>
      <c r="F1034" s="6" t="s">
        <v>37</v>
      </c>
      <c r="G1034" s="10">
        <v>1</v>
      </c>
      <c r="H1034" s="10">
        <v>5</v>
      </c>
      <c r="I1034" s="10">
        <v>4</v>
      </c>
      <c r="J1034" s="4" t="s">
        <v>85</v>
      </c>
      <c r="K1034" s="4">
        <v>36017</v>
      </c>
      <c r="L1034" s="4" t="s">
        <v>61</v>
      </c>
      <c r="M1034" s="6" t="s">
        <v>2752</v>
      </c>
      <c r="N1034" s="25" t="s">
        <v>33</v>
      </c>
      <c r="O1034" s="6" t="s">
        <v>23</v>
      </c>
      <c r="P1034" s="6" t="s">
        <v>23</v>
      </c>
      <c r="Q1034" s="9" t="s">
        <v>23</v>
      </c>
      <c r="R1034" s="54" t="s">
        <v>23</v>
      </c>
      <c r="S1034" s="9" t="s">
        <v>23</v>
      </c>
    </row>
    <row r="1035" spans="1:19" ht="15.75" customHeight="1">
      <c r="A1035" s="10">
        <v>174</v>
      </c>
      <c r="B1035" s="10">
        <v>2022</v>
      </c>
      <c r="C1035" s="6" t="s">
        <v>102</v>
      </c>
      <c r="D1035" s="59">
        <v>44861</v>
      </c>
      <c r="E1035" s="6" t="s">
        <v>20</v>
      </c>
      <c r="F1035" s="6" t="s">
        <v>37</v>
      </c>
      <c r="G1035" s="10">
        <v>1</v>
      </c>
      <c r="H1035" s="10">
        <v>5</v>
      </c>
      <c r="I1035" s="10">
        <v>5</v>
      </c>
      <c r="J1035" s="4" t="s">
        <v>85</v>
      </c>
      <c r="K1035" s="4">
        <v>36031</v>
      </c>
      <c r="L1035" s="4" t="s">
        <v>61</v>
      </c>
      <c r="M1035" s="6" t="s">
        <v>2753</v>
      </c>
      <c r="N1035" s="25" t="s">
        <v>33</v>
      </c>
      <c r="O1035" s="6" t="s">
        <v>23</v>
      </c>
      <c r="P1035" s="6" t="s">
        <v>23</v>
      </c>
      <c r="Q1035" s="9" t="s">
        <v>23</v>
      </c>
      <c r="R1035" s="60" t="s">
        <v>23</v>
      </c>
      <c r="S1035" s="61" t="s">
        <v>23</v>
      </c>
    </row>
    <row r="1036" spans="1:19" ht="15.75" customHeight="1">
      <c r="A1036" s="10">
        <v>175</v>
      </c>
      <c r="B1036" s="10">
        <v>2022</v>
      </c>
      <c r="C1036" s="6" t="s">
        <v>102</v>
      </c>
      <c r="D1036" s="59">
        <v>44861</v>
      </c>
      <c r="E1036" s="6" t="s">
        <v>20</v>
      </c>
      <c r="F1036" s="6" t="s">
        <v>55</v>
      </c>
      <c r="G1036" s="10">
        <v>1</v>
      </c>
      <c r="H1036" s="10">
        <v>1</v>
      </c>
      <c r="I1036" s="10">
        <v>1</v>
      </c>
      <c r="J1036" s="4" t="s">
        <v>30</v>
      </c>
      <c r="K1036" s="4">
        <v>36332</v>
      </c>
      <c r="L1036" s="4" t="s">
        <v>31</v>
      </c>
      <c r="M1036" s="6" t="s">
        <v>2754</v>
      </c>
      <c r="N1036" s="25" t="s">
        <v>20</v>
      </c>
      <c r="O1036" s="6" t="s">
        <v>20</v>
      </c>
      <c r="P1036" s="6">
        <v>0</v>
      </c>
      <c r="Q1036" s="32" t="s">
        <v>2755</v>
      </c>
      <c r="R1036" s="56" t="s">
        <v>2756</v>
      </c>
      <c r="S1036" s="32" t="s">
        <v>2757</v>
      </c>
    </row>
    <row r="1037" spans="1:19" ht="15.75" customHeight="1">
      <c r="A1037" s="10">
        <v>176</v>
      </c>
      <c r="B1037" s="10">
        <v>2022</v>
      </c>
      <c r="C1037" s="6" t="s">
        <v>102</v>
      </c>
      <c r="D1037" s="59">
        <v>44861</v>
      </c>
      <c r="E1037" s="6" t="s">
        <v>20</v>
      </c>
      <c r="F1037" s="6" t="s">
        <v>51</v>
      </c>
      <c r="G1037" s="10">
        <v>1</v>
      </c>
      <c r="H1037" s="10">
        <v>1</v>
      </c>
      <c r="I1037" s="10">
        <v>1</v>
      </c>
      <c r="J1037" s="4" t="s">
        <v>30</v>
      </c>
      <c r="K1037" s="4">
        <v>35813</v>
      </c>
      <c r="L1037" s="4" t="s">
        <v>61</v>
      </c>
      <c r="M1037" s="6" t="s">
        <v>2758</v>
      </c>
      <c r="N1037" s="25" t="s">
        <v>20</v>
      </c>
      <c r="O1037" s="6" t="s">
        <v>33</v>
      </c>
      <c r="P1037" s="6">
        <v>3</v>
      </c>
      <c r="Q1037" s="32" t="s">
        <v>2759</v>
      </c>
      <c r="R1037" s="56" t="s">
        <v>2760</v>
      </c>
      <c r="S1037" s="32" t="s">
        <v>2761</v>
      </c>
    </row>
    <row r="1038" spans="1:19" ht="15.75" customHeight="1">
      <c r="A1038" s="10">
        <v>177</v>
      </c>
      <c r="B1038" s="10">
        <v>2022</v>
      </c>
      <c r="C1038" s="6" t="s">
        <v>1824</v>
      </c>
      <c r="D1038" s="48">
        <v>44866</v>
      </c>
      <c r="E1038" s="6" t="s">
        <v>20</v>
      </c>
      <c r="F1038" s="6" t="s">
        <v>37</v>
      </c>
      <c r="G1038" s="10">
        <v>1</v>
      </c>
      <c r="H1038" s="10">
        <v>2</v>
      </c>
      <c r="I1038" s="10">
        <v>1</v>
      </c>
      <c r="J1038" s="4" t="s">
        <v>30</v>
      </c>
      <c r="K1038" s="4">
        <v>35604</v>
      </c>
      <c r="L1038" s="4" t="s">
        <v>61</v>
      </c>
      <c r="M1038" s="6" t="s">
        <v>2709</v>
      </c>
      <c r="N1038" s="25" t="s">
        <v>20</v>
      </c>
      <c r="O1038" s="6" t="s">
        <v>33</v>
      </c>
      <c r="P1038" s="6">
        <v>6</v>
      </c>
      <c r="Q1038" s="32" t="s">
        <v>2762</v>
      </c>
      <c r="R1038" s="56" t="s">
        <v>2763</v>
      </c>
      <c r="S1038" s="32" t="s">
        <v>2764</v>
      </c>
    </row>
    <row r="1039" spans="1:19" ht="15.75" customHeight="1">
      <c r="A1039" s="10">
        <v>177</v>
      </c>
      <c r="B1039" s="10">
        <v>2022</v>
      </c>
      <c r="C1039" s="6" t="s">
        <v>1824</v>
      </c>
      <c r="D1039" s="48">
        <v>44866</v>
      </c>
      <c r="E1039" s="6" t="s">
        <v>20</v>
      </c>
      <c r="F1039" s="6" t="s">
        <v>37</v>
      </c>
      <c r="G1039" s="10">
        <v>1</v>
      </c>
      <c r="H1039" s="10">
        <v>2</v>
      </c>
      <c r="I1039" s="10">
        <v>2</v>
      </c>
      <c r="J1039" s="4" t="s">
        <v>30</v>
      </c>
      <c r="K1039" s="4">
        <v>36082</v>
      </c>
      <c r="L1039" s="4" t="s">
        <v>61</v>
      </c>
      <c r="M1039" s="6" t="s">
        <v>2713</v>
      </c>
      <c r="N1039" s="25" t="s">
        <v>20</v>
      </c>
      <c r="O1039" s="6" t="s">
        <v>23</v>
      </c>
      <c r="P1039" s="6" t="s">
        <v>23</v>
      </c>
      <c r="Q1039" s="61" t="s">
        <v>23</v>
      </c>
      <c r="R1039" s="60" t="s">
        <v>23</v>
      </c>
      <c r="S1039" s="61" t="s">
        <v>23</v>
      </c>
    </row>
    <row r="1040" spans="1:19" ht="15.75" customHeight="1">
      <c r="A1040" s="10">
        <v>178</v>
      </c>
      <c r="B1040" s="10">
        <v>2022</v>
      </c>
      <c r="C1040" s="6" t="s">
        <v>102</v>
      </c>
      <c r="D1040" s="48">
        <v>44866</v>
      </c>
      <c r="E1040" s="6" t="s">
        <v>20</v>
      </c>
      <c r="F1040" s="6" t="s">
        <v>55</v>
      </c>
      <c r="G1040" s="10">
        <v>1</v>
      </c>
      <c r="H1040" s="10">
        <v>1</v>
      </c>
      <c r="I1040" s="10">
        <v>1</v>
      </c>
      <c r="J1040" s="4" t="s">
        <v>30</v>
      </c>
      <c r="K1040" s="4">
        <v>36332</v>
      </c>
      <c r="L1040" s="4" t="s">
        <v>31</v>
      </c>
      <c r="M1040" s="6" t="s">
        <v>2754</v>
      </c>
      <c r="N1040" s="25" t="s">
        <v>33</v>
      </c>
      <c r="O1040" s="6" t="s">
        <v>33</v>
      </c>
      <c r="P1040" s="6">
        <v>1</v>
      </c>
      <c r="Q1040" s="32" t="s">
        <v>2765</v>
      </c>
      <c r="R1040" s="56" t="s">
        <v>2766</v>
      </c>
      <c r="S1040" s="32" t="s">
        <v>2767</v>
      </c>
    </row>
    <row r="1041" spans="1:19" ht="15.75" customHeight="1">
      <c r="A1041" s="10">
        <v>179</v>
      </c>
      <c r="B1041" s="10">
        <v>2022</v>
      </c>
      <c r="C1041" s="6" t="s">
        <v>102</v>
      </c>
      <c r="D1041" s="48">
        <v>44866</v>
      </c>
      <c r="E1041" s="6" t="s">
        <v>20</v>
      </c>
      <c r="F1041" s="6" t="s">
        <v>47</v>
      </c>
      <c r="G1041" s="10">
        <v>1</v>
      </c>
      <c r="H1041" s="10">
        <v>1</v>
      </c>
      <c r="I1041" s="10">
        <v>1</v>
      </c>
      <c r="J1041" s="4" t="s">
        <v>30</v>
      </c>
      <c r="K1041" s="4">
        <v>36205</v>
      </c>
      <c r="L1041" s="4" t="s">
        <v>31</v>
      </c>
      <c r="M1041" s="6" t="s">
        <v>2768</v>
      </c>
      <c r="N1041" s="25" t="s">
        <v>33</v>
      </c>
      <c r="O1041" s="6" t="s">
        <v>33</v>
      </c>
      <c r="P1041" s="6">
        <v>1</v>
      </c>
      <c r="Q1041" s="32" t="s">
        <v>2769</v>
      </c>
      <c r="R1041" s="56" t="s">
        <v>2770</v>
      </c>
      <c r="S1041" s="32" t="s">
        <v>2771</v>
      </c>
    </row>
    <row r="1042" spans="1:19" ht="15.75" customHeight="1">
      <c r="A1042" s="10">
        <v>180</v>
      </c>
      <c r="B1042" s="10">
        <v>2022</v>
      </c>
      <c r="C1042" s="6" t="s">
        <v>102</v>
      </c>
      <c r="D1042" s="48">
        <v>44867</v>
      </c>
      <c r="E1042" s="6" t="s">
        <v>20</v>
      </c>
      <c r="F1042" s="6" t="s">
        <v>53</v>
      </c>
      <c r="G1042" s="10">
        <v>1</v>
      </c>
      <c r="H1042" s="10">
        <v>2</v>
      </c>
      <c r="I1042" s="10">
        <v>1</v>
      </c>
      <c r="J1042" s="4" t="s">
        <v>30</v>
      </c>
      <c r="K1042" s="4">
        <v>36205</v>
      </c>
      <c r="L1042" s="4" t="s">
        <v>31</v>
      </c>
      <c r="M1042" s="6" t="s">
        <v>2768</v>
      </c>
      <c r="N1042" s="25" t="s">
        <v>20</v>
      </c>
      <c r="O1042" s="6" t="s">
        <v>20</v>
      </c>
      <c r="P1042" s="6">
        <v>0</v>
      </c>
      <c r="Q1042" s="32" t="s">
        <v>2772</v>
      </c>
      <c r="R1042" s="56" t="s">
        <v>2773</v>
      </c>
      <c r="S1042" s="32" t="s">
        <v>2774</v>
      </c>
    </row>
    <row r="1043" spans="1:19" ht="15.75" customHeight="1">
      <c r="A1043" s="10">
        <v>180</v>
      </c>
      <c r="B1043" s="10">
        <v>2022</v>
      </c>
      <c r="C1043" s="6" t="s">
        <v>102</v>
      </c>
      <c r="D1043" s="48">
        <v>44867</v>
      </c>
      <c r="E1043" s="6" t="s">
        <v>20</v>
      </c>
      <c r="F1043" s="6" t="s">
        <v>53</v>
      </c>
      <c r="G1043" s="10">
        <v>1</v>
      </c>
      <c r="H1043" s="10">
        <v>2</v>
      </c>
      <c r="I1043" s="10">
        <v>2</v>
      </c>
      <c r="J1043" s="4" t="s">
        <v>30</v>
      </c>
      <c r="K1043" s="4">
        <v>36332</v>
      </c>
      <c r="L1043" s="4" t="s">
        <v>31</v>
      </c>
      <c r="M1043" s="6" t="s">
        <v>2754</v>
      </c>
      <c r="N1043" s="25" t="s">
        <v>20</v>
      </c>
      <c r="O1043" s="6" t="s">
        <v>23</v>
      </c>
      <c r="P1043" s="6" t="s">
        <v>23</v>
      </c>
      <c r="Q1043" s="61" t="s">
        <v>23</v>
      </c>
      <c r="R1043" s="61" t="s">
        <v>23</v>
      </c>
      <c r="S1043" s="61" t="s">
        <v>23</v>
      </c>
    </row>
    <row r="1044" spans="1:19" ht="15.75" customHeight="1">
      <c r="A1044" s="10">
        <v>181</v>
      </c>
      <c r="B1044" s="10">
        <v>2022</v>
      </c>
      <c r="C1044" s="6" t="s">
        <v>102</v>
      </c>
      <c r="D1044" s="48">
        <v>44868</v>
      </c>
      <c r="E1044" s="6" t="s">
        <v>20</v>
      </c>
      <c r="F1044" s="6" t="s">
        <v>55</v>
      </c>
      <c r="G1044" s="10">
        <v>1</v>
      </c>
      <c r="H1044" s="10">
        <v>1</v>
      </c>
      <c r="I1044" s="10">
        <v>1</v>
      </c>
      <c r="J1044" s="4" t="s">
        <v>23</v>
      </c>
      <c r="K1044" s="4" t="s">
        <v>23</v>
      </c>
      <c r="L1044" s="4" t="s">
        <v>23</v>
      </c>
      <c r="M1044" s="6" t="s">
        <v>2775</v>
      </c>
      <c r="N1044" s="25" t="s">
        <v>23</v>
      </c>
      <c r="O1044" s="6" t="s">
        <v>20</v>
      </c>
      <c r="P1044" s="6">
        <v>0</v>
      </c>
      <c r="Q1044" s="32" t="s">
        <v>2776</v>
      </c>
      <c r="R1044" s="56" t="s">
        <v>2777</v>
      </c>
      <c r="S1044" s="32" t="s">
        <v>2778</v>
      </c>
    </row>
    <row r="1045" spans="1:19" ht="15.75" customHeight="1">
      <c r="A1045" s="10">
        <v>182</v>
      </c>
      <c r="B1045" s="10">
        <v>2022</v>
      </c>
      <c r="C1045" s="6" t="s">
        <v>102</v>
      </c>
      <c r="D1045" s="48">
        <v>44873</v>
      </c>
      <c r="E1045" s="6" t="s">
        <v>20</v>
      </c>
      <c r="F1045" s="6" t="s">
        <v>41</v>
      </c>
      <c r="G1045" s="10">
        <v>1</v>
      </c>
      <c r="H1045" s="10">
        <v>1</v>
      </c>
      <c r="I1045" s="10">
        <v>1</v>
      </c>
      <c r="J1045" s="4" t="s">
        <v>85</v>
      </c>
      <c r="K1045" s="4">
        <v>36241</v>
      </c>
      <c r="L1045" s="4" t="s">
        <v>61</v>
      </c>
      <c r="M1045" s="6" t="s">
        <v>2779</v>
      </c>
      <c r="N1045" s="25" t="s">
        <v>20</v>
      </c>
      <c r="O1045" s="6" t="s">
        <v>33</v>
      </c>
      <c r="P1045" s="6">
        <v>4</v>
      </c>
      <c r="Q1045" s="32" t="s">
        <v>2780</v>
      </c>
      <c r="R1045" s="56" t="s">
        <v>2781</v>
      </c>
      <c r="S1045" s="32" t="s">
        <v>2782</v>
      </c>
    </row>
    <row r="1046" spans="1:19" ht="15.75" customHeight="1">
      <c r="A1046" s="10">
        <v>183</v>
      </c>
      <c r="B1046" s="10">
        <v>2022</v>
      </c>
      <c r="C1046" s="6" t="s">
        <v>102</v>
      </c>
      <c r="D1046" s="48">
        <v>44873</v>
      </c>
      <c r="E1046" s="6" t="s">
        <v>20</v>
      </c>
      <c r="F1046" s="6" t="s">
        <v>148</v>
      </c>
      <c r="G1046" s="10">
        <v>1</v>
      </c>
      <c r="H1046" s="10">
        <v>1</v>
      </c>
      <c r="I1046" s="10">
        <v>1</v>
      </c>
      <c r="J1046" s="4" t="s">
        <v>30</v>
      </c>
      <c r="K1046" s="4">
        <v>36214</v>
      </c>
      <c r="L1046" s="4" t="s">
        <v>31</v>
      </c>
      <c r="M1046" s="6" t="s">
        <v>2783</v>
      </c>
      <c r="N1046" s="25" t="s">
        <v>33</v>
      </c>
      <c r="O1046" s="6" t="s">
        <v>33</v>
      </c>
      <c r="P1046" s="6">
        <v>1</v>
      </c>
      <c r="Q1046" s="32" t="s">
        <v>2784</v>
      </c>
      <c r="R1046" s="56" t="s">
        <v>2785</v>
      </c>
      <c r="S1046" s="32" t="s">
        <v>2782</v>
      </c>
    </row>
    <row r="1047" spans="1:19" ht="15.75" customHeight="1">
      <c r="A1047" s="10">
        <v>184</v>
      </c>
      <c r="B1047" s="10">
        <v>2022</v>
      </c>
      <c r="C1047" s="6" t="s">
        <v>102</v>
      </c>
      <c r="D1047" s="48">
        <v>44874</v>
      </c>
      <c r="E1047" s="6" t="s">
        <v>20</v>
      </c>
      <c r="F1047" s="6" t="s">
        <v>53</v>
      </c>
      <c r="G1047" s="10">
        <v>1</v>
      </c>
      <c r="H1047" s="10">
        <v>1</v>
      </c>
      <c r="I1047" s="10">
        <v>1</v>
      </c>
      <c r="J1047" s="4" t="s">
        <v>30</v>
      </c>
      <c r="K1047" s="4">
        <v>36214</v>
      </c>
      <c r="L1047" s="4" t="s">
        <v>31</v>
      </c>
      <c r="M1047" s="6" t="s">
        <v>2783</v>
      </c>
      <c r="N1047" s="25" t="s">
        <v>20</v>
      </c>
      <c r="O1047" s="6" t="s">
        <v>20</v>
      </c>
      <c r="P1047" s="6">
        <v>0</v>
      </c>
      <c r="Q1047" s="9" t="s">
        <v>23</v>
      </c>
      <c r="R1047" s="56" t="s">
        <v>2786</v>
      </c>
      <c r="S1047" s="32" t="s">
        <v>2787</v>
      </c>
    </row>
    <row r="1048" spans="1:19" ht="15.75" customHeight="1">
      <c r="A1048" s="10">
        <v>185</v>
      </c>
      <c r="B1048" s="10">
        <v>2022</v>
      </c>
      <c r="C1048" s="6" t="s">
        <v>102</v>
      </c>
      <c r="D1048" s="59">
        <v>44875</v>
      </c>
      <c r="E1048" s="6" t="s">
        <v>20</v>
      </c>
      <c r="F1048" s="6" t="s">
        <v>28</v>
      </c>
      <c r="G1048" s="10">
        <v>1</v>
      </c>
      <c r="H1048" s="10">
        <v>1</v>
      </c>
      <c r="I1048" s="10">
        <v>1</v>
      </c>
      <c r="J1048" s="4" t="s">
        <v>71</v>
      </c>
      <c r="K1048" s="4">
        <v>36396</v>
      </c>
      <c r="L1048" s="4" t="s">
        <v>61</v>
      </c>
      <c r="M1048" s="6" t="s">
        <v>2788</v>
      </c>
      <c r="N1048" s="25" t="s">
        <v>33</v>
      </c>
      <c r="O1048" s="6" t="s">
        <v>33</v>
      </c>
      <c r="P1048" s="6">
        <v>2</v>
      </c>
      <c r="Q1048" s="57" t="s">
        <v>2789</v>
      </c>
      <c r="R1048" s="56" t="s">
        <v>2790</v>
      </c>
      <c r="S1048" s="32" t="s">
        <v>2791</v>
      </c>
    </row>
    <row r="1049" spans="1:19" ht="15.75" customHeight="1">
      <c r="A1049" s="10">
        <v>186</v>
      </c>
      <c r="B1049" s="10">
        <v>2022</v>
      </c>
      <c r="C1049" s="6" t="s">
        <v>102</v>
      </c>
      <c r="D1049" s="59">
        <v>44875</v>
      </c>
      <c r="E1049" s="6" t="s">
        <v>20</v>
      </c>
      <c r="F1049" s="6" t="s">
        <v>47</v>
      </c>
      <c r="G1049" s="10">
        <v>1</v>
      </c>
      <c r="H1049" s="10">
        <v>1</v>
      </c>
      <c r="I1049" s="10">
        <v>1</v>
      </c>
      <c r="J1049" s="4" t="s">
        <v>30</v>
      </c>
      <c r="K1049" s="4">
        <v>36210</v>
      </c>
      <c r="L1049" s="4" t="s">
        <v>31</v>
      </c>
      <c r="M1049" s="6" t="s">
        <v>2792</v>
      </c>
      <c r="N1049" s="25" t="s">
        <v>33</v>
      </c>
      <c r="O1049" s="6" t="s">
        <v>33</v>
      </c>
      <c r="P1049" s="6">
        <v>1</v>
      </c>
      <c r="Q1049" s="32" t="s">
        <v>2793</v>
      </c>
      <c r="R1049" s="56" t="s">
        <v>2794</v>
      </c>
      <c r="S1049" s="32" t="s">
        <v>2795</v>
      </c>
    </row>
    <row r="1050" spans="1:19" ht="15.75" customHeight="1">
      <c r="A1050" s="10">
        <v>187</v>
      </c>
      <c r="B1050" s="10">
        <v>2022</v>
      </c>
      <c r="C1050" s="6" t="s">
        <v>1824</v>
      </c>
      <c r="D1050" s="59">
        <v>44875</v>
      </c>
      <c r="E1050" s="6" t="s">
        <v>20</v>
      </c>
      <c r="F1050" s="6" t="s">
        <v>148</v>
      </c>
      <c r="G1050" s="10">
        <v>1</v>
      </c>
      <c r="H1050" s="10">
        <v>12</v>
      </c>
      <c r="I1050" s="10">
        <v>1</v>
      </c>
      <c r="J1050" s="4" t="s">
        <v>30</v>
      </c>
      <c r="K1050" s="4">
        <v>36215</v>
      </c>
      <c r="L1050" s="4" t="s">
        <v>31</v>
      </c>
      <c r="M1050" s="6" t="s">
        <v>2796</v>
      </c>
      <c r="N1050" s="25" t="s">
        <v>33</v>
      </c>
      <c r="O1050" s="6" t="s">
        <v>33</v>
      </c>
      <c r="P1050" s="6">
        <v>11</v>
      </c>
      <c r="Q1050" s="32" t="s">
        <v>2797</v>
      </c>
      <c r="R1050" s="56" t="s">
        <v>2798</v>
      </c>
      <c r="S1050" s="57" t="s">
        <v>2799</v>
      </c>
    </row>
    <row r="1051" spans="1:19" ht="15.75" customHeight="1">
      <c r="A1051" s="10">
        <v>187</v>
      </c>
      <c r="B1051" s="10">
        <v>2022</v>
      </c>
      <c r="C1051" s="6" t="s">
        <v>1824</v>
      </c>
      <c r="D1051" s="59">
        <v>44875</v>
      </c>
      <c r="E1051" s="6" t="s">
        <v>20</v>
      </c>
      <c r="F1051" s="6" t="s">
        <v>148</v>
      </c>
      <c r="G1051" s="10">
        <v>1</v>
      </c>
      <c r="H1051" s="10">
        <v>12</v>
      </c>
      <c r="I1051" s="10">
        <v>2</v>
      </c>
      <c r="J1051" s="4" t="s">
        <v>71</v>
      </c>
      <c r="K1051" s="4">
        <v>34413</v>
      </c>
      <c r="L1051" s="4" t="s">
        <v>61</v>
      </c>
      <c r="M1051" s="6" t="s">
        <v>2800</v>
      </c>
      <c r="N1051" s="25" t="s">
        <v>33</v>
      </c>
      <c r="O1051" s="6" t="s">
        <v>23</v>
      </c>
      <c r="P1051" s="6" t="s">
        <v>23</v>
      </c>
      <c r="Q1051" s="9" t="s">
        <v>23</v>
      </c>
      <c r="R1051" s="54" t="s">
        <v>23</v>
      </c>
      <c r="S1051" s="9" t="s">
        <v>23</v>
      </c>
    </row>
    <row r="1052" spans="1:19" ht="15.75" customHeight="1">
      <c r="A1052" s="10">
        <v>187</v>
      </c>
      <c r="B1052" s="10">
        <v>2022</v>
      </c>
      <c r="C1052" s="6" t="s">
        <v>1824</v>
      </c>
      <c r="D1052" s="59">
        <v>44875</v>
      </c>
      <c r="E1052" s="6" t="s">
        <v>20</v>
      </c>
      <c r="F1052" s="6" t="s">
        <v>148</v>
      </c>
      <c r="G1052" s="10">
        <v>1</v>
      </c>
      <c r="H1052" s="10">
        <v>12</v>
      </c>
      <c r="I1052" s="10">
        <v>3</v>
      </c>
      <c r="J1052" s="4" t="s">
        <v>71</v>
      </c>
      <c r="K1052" s="4">
        <v>34451</v>
      </c>
      <c r="L1052" s="4" t="s">
        <v>61</v>
      </c>
      <c r="M1052" s="6" t="s">
        <v>2801</v>
      </c>
      <c r="N1052" s="25" t="s">
        <v>33</v>
      </c>
      <c r="O1052" s="6" t="s">
        <v>23</v>
      </c>
      <c r="P1052" s="6" t="s">
        <v>23</v>
      </c>
      <c r="Q1052" s="9" t="s">
        <v>23</v>
      </c>
      <c r="R1052" s="54" t="s">
        <v>23</v>
      </c>
      <c r="S1052" s="9" t="s">
        <v>23</v>
      </c>
    </row>
    <row r="1053" spans="1:19" ht="15.75" customHeight="1">
      <c r="A1053" s="10">
        <v>187</v>
      </c>
      <c r="B1053" s="10">
        <v>2022</v>
      </c>
      <c r="C1053" s="6" t="s">
        <v>1824</v>
      </c>
      <c r="D1053" s="59">
        <v>44875</v>
      </c>
      <c r="E1053" s="6" t="s">
        <v>20</v>
      </c>
      <c r="F1053" s="6" t="s">
        <v>148</v>
      </c>
      <c r="G1053" s="10">
        <v>1</v>
      </c>
      <c r="H1053" s="10">
        <v>12</v>
      </c>
      <c r="I1053" s="10">
        <v>4</v>
      </c>
      <c r="J1053" s="4" t="s">
        <v>71</v>
      </c>
      <c r="K1053" s="4">
        <v>34635</v>
      </c>
      <c r="L1053" s="4" t="s">
        <v>61</v>
      </c>
      <c r="M1053" s="6" t="s">
        <v>2802</v>
      </c>
      <c r="N1053" s="25" t="s">
        <v>33</v>
      </c>
      <c r="O1053" s="6" t="s">
        <v>23</v>
      </c>
      <c r="P1053" s="6" t="s">
        <v>23</v>
      </c>
      <c r="Q1053" s="9" t="s">
        <v>23</v>
      </c>
      <c r="R1053" s="54" t="s">
        <v>23</v>
      </c>
      <c r="S1053" s="9" t="s">
        <v>23</v>
      </c>
    </row>
    <row r="1054" spans="1:19" ht="15.75" customHeight="1">
      <c r="A1054" s="10">
        <v>187</v>
      </c>
      <c r="B1054" s="10">
        <v>2022</v>
      </c>
      <c r="C1054" s="6" t="s">
        <v>1824</v>
      </c>
      <c r="D1054" s="59">
        <v>44875</v>
      </c>
      <c r="E1054" s="6" t="s">
        <v>20</v>
      </c>
      <c r="F1054" s="6" t="s">
        <v>148</v>
      </c>
      <c r="G1054" s="10">
        <v>1</v>
      </c>
      <c r="H1054" s="10">
        <v>12</v>
      </c>
      <c r="I1054" s="10">
        <v>5</v>
      </c>
      <c r="J1054" s="4" t="s">
        <v>71</v>
      </c>
      <c r="K1054" s="4">
        <v>35443</v>
      </c>
      <c r="L1054" s="4" t="s">
        <v>61</v>
      </c>
      <c r="M1054" s="6" t="s">
        <v>2803</v>
      </c>
      <c r="N1054" s="25" t="s">
        <v>33</v>
      </c>
      <c r="O1054" s="6" t="s">
        <v>23</v>
      </c>
      <c r="P1054" s="6" t="s">
        <v>23</v>
      </c>
      <c r="Q1054" s="9" t="s">
        <v>23</v>
      </c>
      <c r="R1054" s="54" t="s">
        <v>23</v>
      </c>
      <c r="S1054" s="9" t="s">
        <v>23</v>
      </c>
    </row>
    <row r="1055" spans="1:19" ht="15.75" customHeight="1">
      <c r="A1055" s="10">
        <v>187</v>
      </c>
      <c r="B1055" s="10">
        <v>2022</v>
      </c>
      <c r="C1055" s="6" t="s">
        <v>1824</v>
      </c>
      <c r="D1055" s="59">
        <v>44875</v>
      </c>
      <c r="E1055" s="6" t="s">
        <v>20</v>
      </c>
      <c r="F1055" s="6" t="s">
        <v>148</v>
      </c>
      <c r="G1055" s="10">
        <v>1</v>
      </c>
      <c r="H1055" s="10">
        <v>12</v>
      </c>
      <c r="I1055" s="10">
        <v>6</v>
      </c>
      <c r="J1055" s="4" t="s">
        <v>71</v>
      </c>
      <c r="K1055" s="4">
        <v>34570</v>
      </c>
      <c r="L1055" s="4" t="s">
        <v>61</v>
      </c>
      <c r="M1055" s="6" t="s">
        <v>2804</v>
      </c>
      <c r="N1055" s="25" t="s">
        <v>33</v>
      </c>
      <c r="O1055" s="6" t="s">
        <v>23</v>
      </c>
      <c r="P1055" s="6" t="s">
        <v>23</v>
      </c>
      <c r="Q1055" s="9" t="s">
        <v>23</v>
      </c>
      <c r="R1055" s="54" t="s">
        <v>23</v>
      </c>
      <c r="S1055" s="9" t="s">
        <v>23</v>
      </c>
    </row>
    <row r="1056" spans="1:19" ht="15.75" customHeight="1">
      <c r="A1056" s="10">
        <v>187</v>
      </c>
      <c r="B1056" s="10">
        <v>2022</v>
      </c>
      <c r="C1056" s="6" t="s">
        <v>1824</v>
      </c>
      <c r="D1056" s="59">
        <v>44875</v>
      </c>
      <c r="E1056" s="6" t="s">
        <v>20</v>
      </c>
      <c r="F1056" s="6" t="s">
        <v>148</v>
      </c>
      <c r="G1056" s="10">
        <v>1</v>
      </c>
      <c r="H1056" s="10">
        <v>12</v>
      </c>
      <c r="I1056" s="10">
        <v>7</v>
      </c>
      <c r="J1056" s="4" t="s">
        <v>71</v>
      </c>
      <c r="K1056" s="4">
        <v>35571</v>
      </c>
      <c r="L1056" s="4" t="s">
        <v>61</v>
      </c>
      <c r="M1056" s="6" t="s">
        <v>2805</v>
      </c>
      <c r="N1056" s="25" t="s">
        <v>33</v>
      </c>
      <c r="O1056" s="6" t="s">
        <v>23</v>
      </c>
      <c r="P1056" s="6" t="s">
        <v>23</v>
      </c>
      <c r="Q1056" s="9" t="s">
        <v>23</v>
      </c>
      <c r="R1056" s="54" t="s">
        <v>23</v>
      </c>
      <c r="S1056" s="9" t="s">
        <v>23</v>
      </c>
    </row>
    <row r="1057" spans="1:19" ht="15.75" customHeight="1">
      <c r="A1057" s="10">
        <v>187</v>
      </c>
      <c r="B1057" s="10">
        <v>2022</v>
      </c>
      <c r="C1057" s="6" t="s">
        <v>1824</v>
      </c>
      <c r="D1057" s="59">
        <v>44875</v>
      </c>
      <c r="E1057" s="6" t="s">
        <v>20</v>
      </c>
      <c r="F1057" s="6" t="s">
        <v>148</v>
      </c>
      <c r="G1057" s="10">
        <v>1</v>
      </c>
      <c r="H1057" s="10">
        <v>12</v>
      </c>
      <c r="I1057" s="10">
        <v>8</v>
      </c>
      <c r="J1057" s="4" t="s">
        <v>71</v>
      </c>
      <c r="K1057" s="4">
        <v>35742</v>
      </c>
      <c r="L1057" s="4" t="s">
        <v>61</v>
      </c>
      <c r="M1057" s="6" t="s">
        <v>2806</v>
      </c>
      <c r="N1057" s="25" t="s">
        <v>33</v>
      </c>
      <c r="O1057" s="6" t="s">
        <v>23</v>
      </c>
      <c r="P1057" s="6" t="s">
        <v>23</v>
      </c>
      <c r="Q1057" s="9" t="s">
        <v>23</v>
      </c>
      <c r="R1057" s="54" t="s">
        <v>23</v>
      </c>
      <c r="S1057" s="9" t="s">
        <v>23</v>
      </c>
    </row>
    <row r="1058" spans="1:19" ht="15.75" customHeight="1">
      <c r="A1058" s="10">
        <v>187</v>
      </c>
      <c r="B1058" s="10">
        <v>2022</v>
      </c>
      <c r="C1058" s="6" t="s">
        <v>1824</v>
      </c>
      <c r="D1058" s="59">
        <v>44875</v>
      </c>
      <c r="E1058" s="6" t="s">
        <v>20</v>
      </c>
      <c r="F1058" s="6" t="s">
        <v>148</v>
      </c>
      <c r="G1058" s="10">
        <v>1</v>
      </c>
      <c r="H1058" s="10">
        <v>12</v>
      </c>
      <c r="I1058" s="10">
        <v>9</v>
      </c>
      <c r="J1058" s="4" t="s">
        <v>71</v>
      </c>
      <c r="K1058" s="4">
        <v>35900</v>
      </c>
      <c r="L1058" s="4" t="s">
        <v>61</v>
      </c>
      <c r="M1058" s="6" t="s">
        <v>2807</v>
      </c>
      <c r="N1058" s="25" t="s">
        <v>33</v>
      </c>
      <c r="O1058" s="6" t="s">
        <v>23</v>
      </c>
      <c r="P1058" s="6" t="s">
        <v>23</v>
      </c>
      <c r="Q1058" s="9" t="s">
        <v>23</v>
      </c>
      <c r="R1058" s="54" t="s">
        <v>23</v>
      </c>
      <c r="S1058" s="9" t="s">
        <v>23</v>
      </c>
    </row>
    <row r="1059" spans="1:19" ht="15.75" customHeight="1">
      <c r="A1059" s="10">
        <v>187</v>
      </c>
      <c r="B1059" s="10">
        <v>2022</v>
      </c>
      <c r="C1059" s="6" t="s">
        <v>1824</v>
      </c>
      <c r="D1059" s="59">
        <v>44875</v>
      </c>
      <c r="E1059" s="6" t="s">
        <v>20</v>
      </c>
      <c r="F1059" s="6" t="s">
        <v>148</v>
      </c>
      <c r="G1059" s="10">
        <v>1</v>
      </c>
      <c r="H1059" s="10">
        <v>12</v>
      </c>
      <c r="I1059" s="10">
        <v>10</v>
      </c>
      <c r="J1059" s="4" t="s">
        <v>71</v>
      </c>
      <c r="K1059" s="4">
        <v>36062</v>
      </c>
      <c r="L1059" s="4" t="s">
        <v>61</v>
      </c>
      <c r="M1059" s="6" t="s">
        <v>2808</v>
      </c>
      <c r="N1059" s="25" t="s">
        <v>33</v>
      </c>
      <c r="O1059" s="6" t="s">
        <v>23</v>
      </c>
      <c r="P1059" s="6" t="s">
        <v>23</v>
      </c>
      <c r="Q1059" s="9" t="s">
        <v>23</v>
      </c>
      <c r="R1059" s="54" t="s">
        <v>23</v>
      </c>
      <c r="S1059" s="9" t="s">
        <v>23</v>
      </c>
    </row>
    <row r="1060" spans="1:19" ht="15.75" customHeight="1">
      <c r="A1060" s="10">
        <v>187</v>
      </c>
      <c r="B1060" s="10">
        <v>2022</v>
      </c>
      <c r="C1060" s="6" t="s">
        <v>1824</v>
      </c>
      <c r="D1060" s="59">
        <v>44875</v>
      </c>
      <c r="E1060" s="6" t="s">
        <v>20</v>
      </c>
      <c r="F1060" s="6" t="s">
        <v>148</v>
      </c>
      <c r="G1060" s="10">
        <v>1</v>
      </c>
      <c r="H1060" s="10">
        <v>12</v>
      </c>
      <c r="I1060" s="10">
        <v>11</v>
      </c>
      <c r="J1060" s="4" t="s">
        <v>71</v>
      </c>
      <c r="K1060" s="4">
        <v>36073</v>
      </c>
      <c r="L1060" s="4" t="s">
        <v>61</v>
      </c>
      <c r="M1060" s="6" t="s">
        <v>2809</v>
      </c>
      <c r="N1060" s="25" t="s">
        <v>33</v>
      </c>
      <c r="O1060" s="6" t="s">
        <v>23</v>
      </c>
      <c r="P1060" s="6" t="s">
        <v>23</v>
      </c>
      <c r="Q1060" s="9" t="s">
        <v>23</v>
      </c>
      <c r="R1060" s="54" t="s">
        <v>23</v>
      </c>
      <c r="S1060" s="9" t="s">
        <v>23</v>
      </c>
    </row>
    <row r="1061" spans="1:19" ht="15.75" customHeight="1">
      <c r="A1061" s="10">
        <v>187</v>
      </c>
      <c r="B1061" s="10">
        <v>2022</v>
      </c>
      <c r="C1061" s="6" t="s">
        <v>1824</v>
      </c>
      <c r="D1061" s="59">
        <v>44875</v>
      </c>
      <c r="E1061" s="6" t="s">
        <v>20</v>
      </c>
      <c r="F1061" s="6" t="s">
        <v>148</v>
      </c>
      <c r="G1061" s="10">
        <v>1</v>
      </c>
      <c r="H1061" s="10">
        <v>12</v>
      </c>
      <c r="I1061" s="10">
        <v>12</v>
      </c>
      <c r="J1061" s="4" t="s">
        <v>71</v>
      </c>
      <c r="K1061" s="4">
        <v>26274</v>
      </c>
      <c r="L1061" s="4" t="s">
        <v>61</v>
      </c>
      <c r="M1061" s="6" t="s">
        <v>2810</v>
      </c>
      <c r="N1061" s="25" t="s">
        <v>33</v>
      </c>
      <c r="O1061" s="6" t="s">
        <v>23</v>
      </c>
      <c r="P1061" s="6" t="s">
        <v>23</v>
      </c>
      <c r="Q1061" s="9" t="s">
        <v>23</v>
      </c>
      <c r="R1061" s="54" t="s">
        <v>23</v>
      </c>
      <c r="S1061" s="9" t="s">
        <v>23</v>
      </c>
    </row>
    <row r="1062" spans="1:19" ht="15.75" customHeight="1">
      <c r="A1062" s="10">
        <v>188</v>
      </c>
      <c r="B1062" s="10">
        <v>2022</v>
      </c>
      <c r="C1062" s="6" t="s">
        <v>1824</v>
      </c>
      <c r="D1062" s="59">
        <v>44880</v>
      </c>
      <c r="E1062" s="6" t="s">
        <v>33</v>
      </c>
      <c r="F1062" s="6" t="s">
        <v>2011</v>
      </c>
      <c r="G1062" s="10">
        <v>3</v>
      </c>
      <c r="H1062" s="10">
        <v>3</v>
      </c>
      <c r="I1062" s="10">
        <v>1</v>
      </c>
      <c r="J1062" s="4" t="s">
        <v>30</v>
      </c>
      <c r="K1062" s="4">
        <v>36472</v>
      </c>
      <c r="L1062" s="4" t="s">
        <v>31</v>
      </c>
      <c r="M1062" s="6" t="s">
        <v>2811</v>
      </c>
      <c r="N1062" s="25" t="s">
        <v>20</v>
      </c>
      <c r="O1062" s="6" t="s">
        <v>33</v>
      </c>
      <c r="P1062" s="6">
        <v>8</v>
      </c>
      <c r="Q1062" s="32" t="s">
        <v>2812</v>
      </c>
      <c r="R1062" s="56" t="s">
        <v>2813</v>
      </c>
      <c r="S1062" s="57" t="s">
        <v>2814</v>
      </c>
    </row>
    <row r="1063" spans="1:19" ht="15.75" customHeight="1">
      <c r="A1063" s="10">
        <v>188</v>
      </c>
      <c r="B1063" s="10">
        <v>2022</v>
      </c>
      <c r="C1063" s="6" t="s">
        <v>1824</v>
      </c>
      <c r="D1063" s="59">
        <v>44880</v>
      </c>
      <c r="E1063" s="6" t="s">
        <v>33</v>
      </c>
      <c r="F1063" s="6" t="s">
        <v>2011</v>
      </c>
      <c r="G1063" s="10">
        <v>3</v>
      </c>
      <c r="H1063" s="10">
        <v>3</v>
      </c>
      <c r="I1063" s="10">
        <v>2</v>
      </c>
      <c r="J1063" s="4" t="s">
        <v>30</v>
      </c>
      <c r="K1063" s="4">
        <v>36473</v>
      </c>
      <c r="L1063" s="4" t="s">
        <v>31</v>
      </c>
      <c r="M1063" s="6" t="s">
        <v>2815</v>
      </c>
      <c r="N1063" s="25" t="s">
        <v>20</v>
      </c>
      <c r="O1063" s="6" t="s">
        <v>23</v>
      </c>
      <c r="P1063" s="6" t="s">
        <v>23</v>
      </c>
      <c r="Q1063" s="9" t="s">
        <v>23</v>
      </c>
      <c r="R1063" s="54" t="s">
        <v>23</v>
      </c>
      <c r="S1063" s="9" t="s">
        <v>23</v>
      </c>
    </row>
    <row r="1064" spans="1:19" ht="15.75" customHeight="1">
      <c r="A1064" s="10">
        <v>188</v>
      </c>
      <c r="B1064" s="10">
        <v>2022</v>
      </c>
      <c r="C1064" s="6" t="s">
        <v>1824</v>
      </c>
      <c r="D1064" s="59">
        <v>44880</v>
      </c>
      <c r="E1064" s="6" t="s">
        <v>33</v>
      </c>
      <c r="F1064" s="6" t="s">
        <v>2011</v>
      </c>
      <c r="G1064" s="10">
        <v>3</v>
      </c>
      <c r="H1064" s="10">
        <v>3</v>
      </c>
      <c r="I1064" s="10">
        <v>3</v>
      </c>
      <c r="J1064" s="4" t="s">
        <v>30</v>
      </c>
      <c r="K1064" s="4">
        <v>36474</v>
      </c>
      <c r="L1064" s="4" t="s">
        <v>31</v>
      </c>
      <c r="M1064" s="6" t="s">
        <v>2816</v>
      </c>
      <c r="N1064" s="25" t="s">
        <v>20</v>
      </c>
      <c r="O1064" s="6" t="s">
        <v>23</v>
      </c>
      <c r="P1064" s="6" t="s">
        <v>23</v>
      </c>
      <c r="Q1064" s="9" t="s">
        <v>23</v>
      </c>
      <c r="R1064" s="54" t="s">
        <v>23</v>
      </c>
      <c r="S1064" s="9" t="s">
        <v>23</v>
      </c>
    </row>
    <row r="1065" spans="1:19" ht="15.75" customHeight="1">
      <c r="A1065" s="10">
        <v>189</v>
      </c>
      <c r="B1065" s="10">
        <v>2022</v>
      </c>
      <c r="C1065" s="6" t="s">
        <v>1824</v>
      </c>
      <c r="D1065" s="59">
        <v>44880</v>
      </c>
      <c r="E1065" s="6" t="s">
        <v>20</v>
      </c>
      <c r="F1065" s="6" t="s">
        <v>39</v>
      </c>
      <c r="G1065" s="10">
        <v>1</v>
      </c>
      <c r="H1065" s="10">
        <v>3</v>
      </c>
      <c r="I1065" s="10">
        <v>1</v>
      </c>
      <c r="J1065" s="4" t="s">
        <v>71</v>
      </c>
      <c r="K1065" s="4">
        <v>36173</v>
      </c>
      <c r="L1065" s="4" t="s">
        <v>61</v>
      </c>
      <c r="M1065" s="6" t="s">
        <v>2817</v>
      </c>
      <c r="N1065" s="25" t="s">
        <v>20</v>
      </c>
      <c r="O1065" s="6" t="s">
        <v>33</v>
      </c>
      <c r="P1065" s="6">
        <v>6</v>
      </c>
      <c r="Q1065" s="32" t="s">
        <v>2818</v>
      </c>
      <c r="R1065" s="62" t="s">
        <v>23</v>
      </c>
      <c r="S1065" s="32" t="s">
        <v>2819</v>
      </c>
    </row>
    <row r="1066" spans="1:19" ht="15.75" customHeight="1">
      <c r="A1066" s="10">
        <v>189</v>
      </c>
      <c r="B1066" s="10">
        <v>2022</v>
      </c>
      <c r="C1066" s="6" t="s">
        <v>1824</v>
      </c>
      <c r="D1066" s="59">
        <v>44880</v>
      </c>
      <c r="E1066" s="6" t="s">
        <v>20</v>
      </c>
      <c r="F1066" s="6" t="s">
        <v>39</v>
      </c>
      <c r="G1066" s="10">
        <v>1</v>
      </c>
      <c r="H1066" s="10">
        <v>3</v>
      </c>
      <c r="I1066" s="10">
        <v>2</v>
      </c>
      <c r="J1066" s="4" t="s">
        <v>71</v>
      </c>
      <c r="K1066" s="4">
        <v>36312</v>
      </c>
      <c r="L1066" s="4" t="s">
        <v>61</v>
      </c>
      <c r="M1066" s="6" t="s">
        <v>2820</v>
      </c>
      <c r="N1066" s="25" t="s">
        <v>33</v>
      </c>
      <c r="O1066" s="6" t="s">
        <v>23</v>
      </c>
      <c r="P1066" s="6" t="s">
        <v>23</v>
      </c>
      <c r="Q1066" s="9" t="s">
        <v>23</v>
      </c>
      <c r="R1066" s="54" t="s">
        <v>23</v>
      </c>
      <c r="S1066" s="9" t="s">
        <v>23</v>
      </c>
    </row>
    <row r="1067" spans="1:19" ht="15.75" customHeight="1">
      <c r="A1067" s="10">
        <v>189</v>
      </c>
      <c r="B1067" s="10">
        <v>2022</v>
      </c>
      <c r="C1067" s="6" t="s">
        <v>1824</v>
      </c>
      <c r="D1067" s="59">
        <v>44880</v>
      </c>
      <c r="E1067" s="6" t="s">
        <v>20</v>
      </c>
      <c r="F1067" s="6" t="s">
        <v>39</v>
      </c>
      <c r="G1067" s="10">
        <v>1</v>
      </c>
      <c r="H1067" s="10">
        <v>3</v>
      </c>
      <c r="I1067" s="10">
        <v>3</v>
      </c>
      <c r="J1067" s="4" t="s">
        <v>71</v>
      </c>
      <c r="K1067" s="4">
        <v>36381</v>
      </c>
      <c r="L1067" s="4" t="s">
        <v>61</v>
      </c>
      <c r="M1067" s="6" t="s">
        <v>2821</v>
      </c>
      <c r="N1067" s="25" t="s">
        <v>20</v>
      </c>
      <c r="O1067" s="6" t="s">
        <v>23</v>
      </c>
      <c r="P1067" s="6" t="s">
        <v>23</v>
      </c>
      <c r="Q1067" s="9" t="s">
        <v>23</v>
      </c>
      <c r="R1067" s="54" t="s">
        <v>23</v>
      </c>
      <c r="S1067" s="9" t="s">
        <v>23</v>
      </c>
    </row>
    <row r="1068" spans="1:19" ht="15.75" customHeight="1">
      <c r="A1068" s="10">
        <v>190</v>
      </c>
      <c r="B1068" s="10">
        <v>2022</v>
      </c>
      <c r="C1068" s="6" t="s">
        <v>1824</v>
      </c>
      <c r="D1068" s="59">
        <v>44881</v>
      </c>
      <c r="E1068" s="6" t="s">
        <v>33</v>
      </c>
      <c r="F1068" s="6" t="s">
        <v>2074</v>
      </c>
      <c r="G1068" s="18">
        <v>2</v>
      </c>
      <c r="H1068" s="10">
        <v>4</v>
      </c>
      <c r="I1068" s="10">
        <v>1</v>
      </c>
      <c r="J1068" s="4" t="s">
        <v>30</v>
      </c>
      <c r="K1068" s="4">
        <v>35387</v>
      </c>
      <c r="L1068" s="4" t="s">
        <v>31</v>
      </c>
      <c r="M1068" s="6" t="s">
        <v>2822</v>
      </c>
      <c r="N1068" s="25" t="s">
        <v>20</v>
      </c>
      <c r="O1068" s="6" t="s">
        <v>33</v>
      </c>
      <c r="P1068" s="6">
        <v>4</v>
      </c>
      <c r="Q1068" s="32" t="s">
        <v>2823</v>
      </c>
      <c r="R1068" s="54" t="s">
        <v>23</v>
      </c>
      <c r="S1068" s="39" t="s">
        <v>2824</v>
      </c>
    </row>
    <row r="1069" spans="1:19" ht="15.75" customHeight="1">
      <c r="A1069" s="10">
        <v>190</v>
      </c>
      <c r="B1069" s="10">
        <v>2022</v>
      </c>
      <c r="C1069" s="6" t="s">
        <v>1824</v>
      </c>
      <c r="D1069" s="59">
        <v>44881</v>
      </c>
      <c r="E1069" s="6" t="s">
        <v>33</v>
      </c>
      <c r="F1069" s="6" t="s">
        <v>2074</v>
      </c>
      <c r="G1069" s="18">
        <v>2</v>
      </c>
      <c r="H1069" s="10">
        <v>4</v>
      </c>
      <c r="I1069" s="10">
        <v>2</v>
      </c>
      <c r="J1069" s="4" t="s">
        <v>30</v>
      </c>
      <c r="K1069" s="4">
        <v>35393</v>
      </c>
      <c r="L1069" s="4" t="s">
        <v>31</v>
      </c>
      <c r="M1069" s="6" t="s">
        <v>2825</v>
      </c>
      <c r="N1069" s="25" t="s">
        <v>20</v>
      </c>
      <c r="O1069" s="6" t="s">
        <v>23</v>
      </c>
      <c r="P1069" s="6" t="s">
        <v>23</v>
      </c>
      <c r="Q1069" s="9" t="s">
        <v>23</v>
      </c>
      <c r="R1069" s="54" t="s">
        <v>23</v>
      </c>
      <c r="S1069" s="9" t="s">
        <v>23</v>
      </c>
    </row>
    <row r="1070" spans="1:19" ht="15.75" customHeight="1">
      <c r="A1070" s="10">
        <v>190</v>
      </c>
      <c r="B1070" s="10">
        <v>2022</v>
      </c>
      <c r="C1070" s="6" t="s">
        <v>1824</v>
      </c>
      <c r="D1070" s="59">
        <v>44881</v>
      </c>
      <c r="E1070" s="6" t="s">
        <v>33</v>
      </c>
      <c r="F1070" s="6" t="s">
        <v>2074</v>
      </c>
      <c r="G1070" s="18">
        <v>2</v>
      </c>
      <c r="H1070" s="10">
        <v>4</v>
      </c>
      <c r="I1070" s="10">
        <v>3</v>
      </c>
      <c r="J1070" s="4" t="s">
        <v>30</v>
      </c>
      <c r="K1070" s="4">
        <v>35928</v>
      </c>
      <c r="L1070" s="4" t="s">
        <v>31</v>
      </c>
      <c r="M1070" s="6" t="s">
        <v>2826</v>
      </c>
      <c r="N1070" s="25" t="s">
        <v>33</v>
      </c>
      <c r="O1070" s="6" t="s">
        <v>23</v>
      </c>
      <c r="P1070" s="6" t="s">
        <v>23</v>
      </c>
      <c r="Q1070" s="9" t="s">
        <v>23</v>
      </c>
      <c r="R1070" s="54" t="s">
        <v>23</v>
      </c>
      <c r="S1070" s="9" t="s">
        <v>23</v>
      </c>
    </row>
    <row r="1071" spans="1:19" ht="15.75" customHeight="1">
      <c r="A1071" s="10">
        <v>190</v>
      </c>
      <c r="B1071" s="10">
        <v>2022</v>
      </c>
      <c r="C1071" s="6" t="s">
        <v>1824</v>
      </c>
      <c r="D1071" s="59">
        <v>44881</v>
      </c>
      <c r="E1071" s="6" t="s">
        <v>33</v>
      </c>
      <c r="F1071" s="6" t="s">
        <v>2074</v>
      </c>
      <c r="G1071" s="18">
        <v>2</v>
      </c>
      <c r="H1071" s="10">
        <v>4</v>
      </c>
      <c r="I1071" s="10">
        <v>4</v>
      </c>
      <c r="J1071" s="4" t="s">
        <v>30</v>
      </c>
      <c r="K1071" s="4">
        <v>36273</v>
      </c>
      <c r="L1071" s="4" t="s">
        <v>61</v>
      </c>
      <c r="M1071" s="6" t="s">
        <v>2827</v>
      </c>
      <c r="N1071" s="25" t="s">
        <v>20</v>
      </c>
      <c r="O1071" s="6" t="s">
        <v>23</v>
      </c>
      <c r="P1071" s="6" t="s">
        <v>23</v>
      </c>
      <c r="Q1071" s="9" t="s">
        <v>23</v>
      </c>
      <c r="R1071" s="54" t="s">
        <v>23</v>
      </c>
      <c r="S1071" s="9" t="s">
        <v>23</v>
      </c>
    </row>
    <row r="1072" spans="1:19" ht="15.75" customHeight="1">
      <c r="A1072" s="10">
        <v>191</v>
      </c>
      <c r="B1072" s="10">
        <v>2022</v>
      </c>
      <c r="C1072" s="6" t="s">
        <v>1824</v>
      </c>
      <c r="D1072" s="59">
        <v>44882</v>
      </c>
      <c r="E1072" s="6" t="s">
        <v>33</v>
      </c>
      <c r="F1072" s="6" t="s">
        <v>2011</v>
      </c>
      <c r="G1072" s="10">
        <v>3</v>
      </c>
      <c r="H1072" s="10">
        <v>3</v>
      </c>
      <c r="I1072" s="10">
        <v>1</v>
      </c>
      <c r="J1072" s="4" t="s">
        <v>30</v>
      </c>
      <c r="K1072" s="4">
        <v>36472</v>
      </c>
      <c r="L1072" s="4" t="s">
        <v>31</v>
      </c>
      <c r="M1072" s="6" t="s">
        <v>2811</v>
      </c>
      <c r="N1072" s="25" t="s">
        <v>20</v>
      </c>
      <c r="O1072" s="6" t="s">
        <v>33</v>
      </c>
      <c r="P1072" s="6">
        <v>6</v>
      </c>
      <c r="Q1072" s="32" t="s">
        <v>2828</v>
      </c>
      <c r="R1072" s="56" t="s">
        <v>2829</v>
      </c>
      <c r="S1072" s="34" t="s">
        <v>2830</v>
      </c>
    </row>
    <row r="1073" spans="1:19" ht="15.75" customHeight="1">
      <c r="A1073" s="10">
        <v>191</v>
      </c>
      <c r="B1073" s="10">
        <v>2022</v>
      </c>
      <c r="C1073" s="6" t="s">
        <v>1824</v>
      </c>
      <c r="D1073" s="59">
        <v>44882</v>
      </c>
      <c r="E1073" s="6" t="s">
        <v>33</v>
      </c>
      <c r="F1073" s="6" t="s">
        <v>2011</v>
      </c>
      <c r="G1073" s="10">
        <v>3</v>
      </c>
      <c r="H1073" s="10">
        <v>3</v>
      </c>
      <c r="I1073" s="10">
        <v>2</v>
      </c>
      <c r="J1073" s="4" t="s">
        <v>30</v>
      </c>
      <c r="K1073" s="4">
        <v>36473</v>
      </c>
      <c r="L1073" s="4" t="s">
        <v>31</v>
      </c>
      <c r="M1073" s="6" t="s">
        <v>2815</v>
      </c>
      <c r="N1073" s="25" t="s">
        <v>20</v>
      </c>
      <c r="O1073" s="6" t="s">
        <v>23</v>
      </c>
      <c r="P1073" s="6" t="s">
        <v>23</v>
      </c>
      <c r="Q1073" s="9" t="s">
        <v>23</v>
      </c>
      <c r="R1073" s="54" t="s">
        <v>23</v>
      </c>
      <c r="S1073" s="9" t="s">
        <v>23</v>
      </c>
    </row>
    <row r="1074" spans="1:19" ht="15.75" customHeight="1">
      <c r="A1074" s="10">
        <v>191</v>
      </c>
      <c r="B1074" s="10">
        <v>2022</v>
      </c>
      <c r="C1074" s="6" t="s">
        <v>1824</v>
      </c>
      <c r="D1074" s="59">
        <v>44882</v>
      </c>
      <c r="E1074" s="6" t="s">
        <v>33</v>
      </c>
      <c r="F1074" s="6" t="s">
        <v>2011</v>
      </c>
      <c r="G1074" s="10">
        <v>3</v>
      </c>
      <c r="H1074" s="10">
        <v>3</v>
      </c>
      <c r="I1074" s="10">
        <v>3</v>
      </c>
      <c r="J1074" s="4" t="s">
        <v>30</v>
      </c>
      <c r="K1074" s="4">
        <v>36474</v>
      </c>
      <c r="L1074" s="4" t="s">
        <v>31</v>
      </c>
      <c r="M1074" s="6" t="s">
        <v>2816</v>
      </c>
      <c r="N1074" s="25" t="s">
        <v>20</v>
      </c>
      <c r="O1074" s="6" t="s">
        <v>23</v>
      </c>
      <c r="P1074" s="6" t="s">
        <v>23</v>
      </c>
      <c r="Q1074" s="9" t="s">
        <v>23</v>
      </c>
      <c r="R1074" s="54" t="s">
        <v>23</v>
      </c>
      <c r="S1074" s="9" t="s">
        <v>23</v>
      </c>
    </row>
    <row r="1075" spans="1:19" ht="15.75" customHeight="1">
      <c r="A1075" s="10">
        <v>192</v>
      </c>
      <c r="B1075" s="10">
        <v>2022</v>
      </c>
      <c r="C1075" s="6" t="s">
        <v>102</v>
      </c>
      <c r="D1075" s="59">
        <v>44887</v>
      </c>
      <c r="E1075" s="6" t="s">
        <v>20</v>
      </c>
      <c r="F1075" s="6" t="s">
        <v>47</v>
      </c>
      <c r="G1075" s="10">
        <v>1</v>
      </c>
      <c r="H1075" s="10">
        <v>1</v>
      </c>
      <c r="I1075" s="10">
        <v>1</v>
      </c>
      <c r="J1075" s="4" t="s">
        <v>30</v>
      </c>
      <c r="K1075" s="4">
        <v>36204</v>
      </c>
      <c r="L1075" s="4" t="s">
        <v>31</v>
      </c>
      <c r="M1075" s="6" t="s">
        <v>2831</v>
      </c>
      <c r="N1075" s="25" t="s">
        <v>20</v>
      </c>
      <c r="O1075" s="6" t="s">
        <v>20</v>
      </c>
      <c r="P1075" s="6">
        <v>0</v>
      </c>
      <c r="Q1075" s="32" t="s">
        <v>2832</v>
      </c>
      <c r="R1075" s="56" t="s">
        <v>2833</v>
      </c>
      <c r="S1075" s="32" t="s">
        <v>2834</v>
      </c>
    </row>
    <row r="1076" spans="1:19" ht="15.75" customHeight="1">
      <c r="A1076" s="10">
        <v>193</v>
      </c>
      <c r="B1076" s="10">
        <v>2022</v>
      </c>
      <c r="C1076" s="6" t="s">
        <v>102</v>
      </c>
      <c r="D1076" s="59">
        <v>44887</v>
      </c>
      <c r="E1076" s="6" t="s">
        <v>33</v>
      </c>
      <c r="F1076" s="6" t="s">
        <v>2011</v>
      </c>
      <c r="G1076" s="10">
        <v>3</v>
      </c>
      <c r="H1076" s="10">
        <v>3</v>
      </c>
      <c r="I1076" s="10">
        <v>1</v>
      </c>
      <c r="J1076" s="4" t="s">
        <v>30</v>
      </c>
      <c r="K1076" s="4">
        <v>36472</v>
      </c>
      <c r="L1076" s="4" t="s">
        <v>31</v>
      </c>
      <c r="M1076" s="6" t="s">
        <v>2811</v>
      </c>
      <c r="N1076" s="25" t="s">
        <v>33</v>
      </c>
      <c r="O1076" s="6" t="s">
        <v>20</v>
      </c>
      <c r="P1076" s="6">
        <v>0</v>
      </c>
      <c r="Q1076" s="32" t="s">
        <v>2835</v>
      </c>
      <c r="R1076" s="56" t="s">
        <v>2836</v>
      </c>
      <c r="S1076" s="57" t="s">
        <v>2837</v>
      </c>
    </row>
    <row r="1077" spans="1:19" ht="15.75" customHeight="1">
      <c r="A1077" s="10">
        <v>193</v>
      </c>
      <c r="B1077" s="10">
        <v>2022</v>
      </c>
      <c r="C1077" s="6" t="s">
        <v>102</v>
      </c>
      <c r="D1077" s="59">
        <v>44887</v>
      </c>
      <c r="E1077" s="6" t="s">
        <v>33</v>
      </c>
      <c r="F1077" s="6" t="s">
        <v>2011</v>
      </c>
      <c r="G1077" s="10">
        <v>3</v>
      </c>
      <c r="H1077" s="10">
        <v>3</v>
      </c>
      <c r="I1077" s="10">
        <v>2</v>
      </c>
      <c r="J1077" s="4" t="s">
        <v>30</v>
      </c>
      <c r="K1077" s="4">
        <v>36473</v>
      </c>
      <c r="L1077" s="4" t="s">
        <v>31</v>
      </c>
      <c r="M1077" s="6" t="s">
        <v>2815</v>
      </c>
      <c r="N1077" s="25" t="s">
        <v>33</v>
      </c>
      <c r="O1077" s="6" t="s">
        <v>23</v>
      </c>
      <c r="P1077" s="6" t="s">
        <v>23</v>
      </c>
      <c r="Q1077" s="9" t="s">
        <v>23</v>
      </c>
      <c r="R1077" s="54" t="s">
        <v>23</v>
      </c>
      <c r="S1077" s="9" t="s">
        <v>23</v>
      </c>
    </row>
    <row r="1078" spans="1:19" ht="15.75" customHeight="1">
      <c r="A1078" s="10">
        <v>193</v>
      </c>
      <c r="B1078" s="10">
        <v>2022</v>
      </c>
      <c r="C1078" s="6" t="s">
        <v>102</v>
      </c>
      <c r="D1078" s="59">
        <v>44887</v>
      </c>
      <c r="E1078" s="6" t="s">
        <v>33</v>
      </c>
      <c r="F1078" s="6" t="s">
        <v>2011</v>
      </c>
      <c r="G1078" s="10">
        <v>3</v>
      </c>
      <c r="H1078" s="10">
        <v>3</v>
      </c>
      <c r="I1078" s="10">
        <v>3</v>
      </c>
      <c r="J1078" s="4" t="s">
        <v>30</v>
      </c>
      <c r="K1078" s="4">
        <v>36474</v>
      </c>
      <c r="L1078" s="4" t="s">
        <v>31</v>
      </c>
      <c r="M1078" s="6" t="s">
        <v>2816</v>
      </c>
      <c r="N1078" s="25" t="s">
        <v>33</v>
      </c>
      <c r="O1078" s="6" t="s">
        <v>23</v>
      </c>
      <c r="P1078" s="6" t="s">
        <v>23</v>
      </c>
      <c r="Q1078" s="9" t="s">
        <v>23</v>
      </c>
      <c r="R1078" s="54" t="s">
        <v>23</v>
      </c>
      <c r="S1078" s="9" t="s">
        <v>23</v>
      </c>
    </row>
    <row r="1079" spans="1:19" ht="15.75" customHeight="1">
      <c r="A1079" s="10">
        <v>194</v>
      </c>
      <c r="B1079" s="10">
        <v>2022</v>
      </c>
      <c r="C1079" s="6" t="s">
        <v>102</v>
      </c>
      <c r="D1079" s="59">
        <v>44887</v>
      </c>
      <c r="E1079" s="6" t="s">
        <v>33</v>
      </c>
      <c r="F1079" s="6" t="s">
        <v>2838</v>
      </c>
      <c r="G1079" s="10">
        <v>2</v>
      </c>
      <c r="H1079" s="10">
        <v>2</v>
      </c>
      <c r="I1079" s="10">
        <v>1</v>
      </c>
      <c r="J1079" s="4" t="s">
        <v>30</v>
      </c>
      <c r="K1079" s="4">
        <v>36501</v>
      </c>
      <c r="L1079" s="4" t="s">
        <v>31</v>
      </c>
      <c r="M1079" s="6" t="s">
        <v>2839</v>
      </c>
      <c r="N1079" s="25" t="s">
        <v>33</v>
      </c>
      <c r="O1079" s="6" t="s">
        <v>33</v>
      </c>
      <c r="P1079" s="6">
        <v>2</v>
      </c>
      <c r="Q1079" s="32" t="s">
        <v>2840</v>
      </c>
      <c r="R1079" s="54" t="s">
        <v>23</v>
      </c>
      <c r="S1079" s="57" t="s">
        <v>2841</v>
      </c>
    </row>
    <row r="1080" spans="1:19" ht="15.75" customHeight="1">
      <c r="A1080" s="10">
        <v>194</v>
      </c>
      <c r="B1080" s="10">
        <v>2022</v>
      </c>
      <c r="C1080" s="6" t="s">
        <v>102</v>
      </c>
      <c r="D1080" s="59">
        <v>44887</v>
      </c>
      <c r="E1080" s="6" t="s">
        <v>33</v>
      </c>
      <c r="F1080" s="6" t="s">
        <v>2838</v>
      </c>
      <c r="G1080" s="10">
        <v>2</v>
      </c>
      <c r="H1080" s="10">
        <v>2</v>
      </c>
      <c r="I1080" s="10">
        <v>2</v>
      </c>
      <c r="J1080" s="4" t="s">
        <v>23</v>
      </c>
      <c r="K1080" s="4" t="s">
        <v>23</v>
      </c>
      <c r="L1080" s="4" t="s">
        <v>23</v>
      </c>
      <c r="M1080" s="6" t="s">
        <v>2842</v>
      </c>
      <c r="N1080" s="25" t="s">
        <v>23</v>
      </c>
      <c r="O1080" s="6" t="s">
        <v>23</v>
      </c>
      <c r="P1080" s="6" t="s">
        <v>23</v>
      </c>
      <c r="Q1080" s="9" t="s">
        <v>23</v>
      </c>
      <c r="R1080" s="54" t="s">
        <v>23</v>
      </c>
      <c r="S1080" s="9" t="s">
        <v>23</v>
      </c>
    </row>
    <row r="1081" spans="1:19" ht="15.75" customHeight="1">
      <c r="A1081" s="10">
        <v>195</v>
      </c>
      <c r="B1081" s="10">
        <v>2022</v>
      </c>
      <c r="C1081" s="6" t="s">
        <v>1824</v>
      </c>
      <c r="D1081" s="59">
        <v>44888</v>
      </c>
      <c r="E1081" s="6" t="s">
        <v>33</v>
      </c>
      <c r="F1081" s="6" t="s">
        <v>2074</v>
      </c>
      <c r="G1081" s="10">
        <v>2</v>
      </c>
      <c r="H1081" s="10">
        <v>7</v>
      </c>
      <c r="I1081" s="10">
        <v>1</v>
      </c>
      <c r="J1081" s="4" t="s">
        <v>30</v>
      </c>
      <c r="K1081" s="4">
        <v>35387</v>
      </c>
      <c r="L1081" s="4" t="s">
        <v>31</v>
      </c>
      <c r="M1081" s="6" t="s">
        <v>2822</v>
      </c>
      <c r="N1081" s="25" t="s">
        <v>20</v>
      </c>
      <c r="O1081" s="6" t="s">
        <v>20</v>
      </c>
      <c r="P1081" s="6">
        <v>0</v>
      </c>
      <c r="Q1081" s="57" t="s">
        <v>2843</v>
      </c>
      <c r="R1081" s="56" t="s">
        <v>2844</v>
      </c>
      <c r="S1081" s="57" t="s">
        <v>2845</v>
      </c>
    </row>
    <row r="1082" spans="1:19" ht="15.75" customHeight="1">
      <c r="A1082" s="10">
        <v>195</v>
      </c>
      <c r="B1082" s="10">
        <v>2022</v>
      </c>
      <c r="C1082" s="6" t="s">
        <v>1824</v>
      </c>
      <c r="D1082" s="59">
        <v>44888</v>
      </c>
      <c r="E1082" s="6" t="s">
        <v>33</v>
      </c>
      <c r="F1082" s="6" t="s">
        <v>2074</v>
      </c>
      <c r="G1082" s="10">
        <v>2</v>
      </c>
      <c r="H1082" s="10">
        <v>7</v>
      </c>
      <c r="I1082" s="10">
        <v>2</v>
      </c>
      <c r="J1082" s="4" t="s">
        <v>30</v>
      </c>
      <c r="K1082" s="4">
        <v>35393</v>
      </c>
      <c r="L1082" s="4" t="s">
        <v>31</v>
      </c>
      <c r="M1082" s="6" t="s">
        <v>2825</v>
      </c>
      <c r="N1082" s="25" t="s">
        <v>33</v>
      </c>
      <c r="O1082" s="6" t="s">
        <v>23</v>
      </c>
      <c r="P1082" s="6" t="s">
        <v>23</v>
      </c>
      <c r="Q1082" s="9" t="s">
        <v>23</v>
      </c>
      <c r="R1082" s="54" t="s">
        <v>23</v>
      </c>
      <c r="S1082" s="9" t="s">
        <v>23</v>
      </c>
    </row>
    <row r="1083" spans="1:19" ht="15.75" customHeight="1">
      <c r="A1083" s="10">
        <v>195</v>
      </c>
      <c r="B1083" s="10">
        <v>2022</v>
      </c>
      <c r="C1083" s="6" t="s">
        <v>1824</v>
      </c>
      <c r="D1083" s="59">
        <v>44888</v>
      </c>
      <c r="E1083" s="6" t="s">
        <v>33</v>
      </c>
      <c r="F1083" s="6" t="s">
        <v>2074</v>
      </c>
      <c r="G1083" s="10">
        <v>2</v>
      </c>
      <c r="H1083" s="10">
        <v>7</v>
      </c>
      <c r="I1083" s="10">
        <v>3</v>
      </c>
      <c r="J1083" s="4" t="s">
        <v>30</v>
      </c>
      <c r="K1083" s="4">
        <v>36273</v>
      </c>
      <c r="L1083" s="4" t="s">
        <v>61</v>
      </c>
      <c r="M1083" s="6" t="s">
        <v>2846</v>
      </c>
      <c r="N1083" s="25" t="s">
        <v>20</v>
      </c>
      <c r="O1083" s="6" t="s">
        <v>23</v>
      </c>
      <c r="P1083" s="6" t="s">
        <v>23</v>
      </c>
      <c r="Q1083" s="9" t="s">
        <v>23</v>
      </c>
      <c r="R1083" s="54" t="s">
        <v>23</v>
      </c>
      <c r="S1083" s="9" t="s">
        <v>23</v>
      </c>
    </row>
    <row r="1084" spans="1:19" ht="15.75" customHeight="1">
      <c r="A1084" s="10">
        <v>195</v>
      </c>
      <c r="B1084" s="10">
        <v>2022</v>
      </c>
      <c r="C1084" s="6" t="s">
        <v>1824</v>
      </c>
      <c r="D1084" s="59">
        <v>44888</v>
      </c>
      <c r="E1084" s="6" t="s">
        <v>33</v>
      </c>
      <c r="F1084" s="6" t="s">
        <v>2074</v>
      </c>
      <c r="G1084" s="10">
        <v>2</v>
      </c>
      <c r="H1084" s="10">
        <v>7</v>
      </c>
      <c r="I1084" s="10">
        <v>4</v>
      </c>
      <c r="J1084" s="4" t="s">
        <v>30</v>
      </c>
      <c r="K1084" s="4">
        <v>36542</v>
      </c>
      <c r="L1084" s="4" t="s">
        <v>31</v>
      </c>
      <c r="M1084" s="6" t="s">
        <v>2847</v>
      </c>
      <c r="N1084" s="25" t="s">
        <v>20</v>
      </c>
      <c r="O1084" s="6" t="s">
        <v>23</v>
      </c>
      <c r="P1084" s="6" t="s">
        <v>23</v>
      </c>
      <c r="Q1084" s="9" t="s">
        <v>23</v>
      </c>
      <c r="R1084" s="54" t="s">
        <v>23</v>
      </c>
      <c r="S1084" s="9" t="s">
        <v>23</v>
      </c>
    </row>
    <row r="1085" spans="1:19" ht="15.75" customHeight="1">
      <c r="A1085" s="10">
        <v>195</v>
      </c>
      <c r="B1085" s="10">
        <v>2022</v>
      </c>
      <c r="C1085" s="6" t="s">
        <v>1824</v>
      </c>
      <c r="D1085" s="59">
        <v>44888</v>
      </c>
      <c r="E1085" s="6" t="s">
        <v>33</v>
      </c>
      <c r="F1085" s="6" t="s">
        <v>2074</v>
      </c>
      <c r="G1085" s="10">
        <v>2</v>
      </c>
      <c r="H1085" s="10">
        <v>7</v>
      </c>
      <c r="I1085" s="10">
        <v>5</v>
      </c>
      <c r="J1085" s="4" t="s">
        <v>30</v>
      </c>
      <c r="K1085" s="4">
        <v>36449</v>
      </c>
      <c r="L1085" s="4" t="s">
        <v>61</v>
      </c>
      <c r="M1085" s="6" t="s">
        <v>2848</v>
      </c>
      <c r="N1085" s="25" t="s">
        <v>20</v>
      </c>
      <c r="O1085" s="6" t="s">
        <v>23</v>
      </c>
      <c r="P1085" s="6" t="s">
        <v>23</v>
      </c>
      <c r="Q1085" s="9" t="s">
        <v>23</v>
      </c>
      <c r="R1085" s="54" t="s">
        <v>23</v>
      </c>
      <c r="S1085" s="9" t="s">
        <v>23</v>
      </c>
    </row>
    <row r="1086" spans="1:19" ht="15.75" customHeight="1">
      <c r="A1086" s="10">
        <v>195</v>
      </c>
      <c r="B1086" s="10">
        <v>2022</v>
      </c>
      <c r="C1086" s="6" t="s">
        <v>1824</v>
      </c>
      <c r="D1086" s="59">
        <v>44888</v>
      </c>
      <c r="E1086" s="6" t="s">
        <v>33</v>
      </c>
      <c r="F1086" s="6" t="s">
        <v>2074</v>
      </c>
      <c r="G1086" s="10">
        <v>2</v>
      </c>
      <c r="H1086" s="10">
        <v>7</v>
      </c>
      <c r="I1086" s="10">
        <v>6</v>
      </c>
      <c r="J1086" s="4" t="s">
        <v>30</v>
      </c>
      <c r="K1086" s="4">
        <v>36499</v>
      </c>
      <c r="L1086" s="4" t="s">
        <v>61</v>
      </c>
      <c r="M1086" s="6" t="s">
        <v>2849</v>
      </c>
      <c r="N1086" s="25" t="s">
        <v>20</v>
      </c>
      <c r="O1086" s="6" t="s">
        <v>23</v>
      </c>
      <c r="P1086" s="6" t="s">
        <v>23</v>
      </c>
      <c r="Q1086" s="9" t="s">
        <v>23</v>
      </c>
      <c r="R1086" s="54" t="s">
        <v>23</v>
      </c>
      <c r="S1086" s="9" t="s">
        <v>23</v>
      </c>
    </row>
    <row r="1087" spans="1:19" ht="15.75" customHeight="1">
      <c r="A1087" s="10">
        <v>195</v>
      </c>
      <c r="B1087" s="10">
        <v>2022</v>
      </c>
      <c r="C1087" s="6" t="s">
        <v>1824</v>
      </c>
      <c r="D1087" s="59">
        <v>44888</v>
      </c>
      <c r="E1087" s="6" t="s">
        <v>33</v>
      </c>
      <c r="F1087" s="6" t="s">
        <v>2074</v>
      </c>
      <c r="G1087" s="10">
        <v>2</v>
      </c>
      <c r="H1087" s="10">
        <v>7</v>
      </c>
      <c r="I1087" s="10">
        <v>7</v>
      </c>
      <c r="J1087" s="4" t="s">
        <v>30</v>
      </c>
      <c r="K1087" s="4">
        <v>36507</v>
      </c>
      <c r="L1087" s="4" t="s">
        <v>61</v>
      </c>
      <c r="M1087" s="6" t="s">
        <v>2850</v>
      </c>
      <c r="N1087" s="25" t="s">
        <v>20</v>
      </c>
      <c r="O1087" s="6" t="s">
        <v>23</v>
      </c>
      <c r="P1087" s="6" t="s">
        <v>23</v>
      </c>
      <c r="Q1087" s="9" t="s">
        <v>23</v>
      </c>
      <c r="R1087" s="54" t="s">
        <v>23</v>
      </c>
      <c r="S1087" s="9" t="s">
        <v>23</v>
      </c>
    </row>
    <row r="1088" spans="1:19" ht="15.75" customHeight="1">
      <c r="A1088" s="10">
        <v>196</v>
      </c>
      <c r="B1088" s="10">
        <v>2022</v>
      </c>
      <c r="C1088" s="6" t="s">
        <v>1824</v>
      </c>
      <c r="D1088" s="59">
        <v>44889</v>
      </c>
      <c r="E1088" s="6" t="s">
        <v>33</v>
      </c>
      <c r="F1088" s="6" t="s">
        <v>2011</v>
      </c>
      <c r="G1088" s="10">
        <v>3</v>
      </c>
      <c r="H1088" s="10">
        <v>3</v>
      </c>
      <c r="I1088" s="10">
        <v>1</v>
      </c>
      <c r="J1088" s="4" t="s">
        <v>30</v>
      </c>
      <c r="K1088" s="4">
        <v>36472</v>
      </c>
      <c r="L1088" s="4" t="s">
        <v>31</v>
      </c>
      <c r="M1088" s="6" t="s">
        <v>2811</v>
      </c>
      <c r="N1088" s="25" t="s">
        <v>20</v>
      </c>
      <c r="O1088" s="6" t="s">
        <v>33</v>
      </c>
      <c r="P1088" s="6">
        <v>33</v>
      </c>
      <c r="Q1088" s="57" t="s">
        <v>2851</v>
      </c>
      <c r="R1088" s="56" t="s">
        <v>2852</v>
      </c>
      <c r="S1088" s="32" t="s">
        <v>2853</v>
      </c>
    </row>
    <row r="1089" spans="1:19" ht="15.75" customHeight="1">
      <c r="A1089" s="10">
        <v>196</v>
      </c>
      <c r="B1089" s="10">
        <v>2022</v>
      </c>
      <c r="C1089" s="6" t="s">
        <v>1824</v>
      </c>
      <c r="D1089" s="59">
        <v>44889</v>
      </c>
      <c r="E1089" s="6" t="s">
        <v>33</v>
      </c>
      <c r="F1089" s="6" t="s">
        <v>2011</v>
      </c>
      <c r="G1089" s="10">
        <v>3</v>
      </c>
      <c r="H1089" s="10">
        <v>3</v>
      </c>
      <c r="I1089" s="10">
        <v>2</v>
      </c>
      <c r="J1089" s="4" t="s">
        <v>30</v>
      </c>
      <c r="K1089" s="4">
        <v>36473</v>
      </c>
      <c r="L1089" s="4" t="s">
        <v>31</v>
      </c>
      <c r="M1089" s="6" t="s">
        <v>2815</v>
      </c>
      <c r="N1089" s="25" t="s">
        <v>20</v>
      </c>
      <c r="O1089" s="6" t="s">
        <v>23</v>
      </c>
      <c r="P1089" s="6" t="s">
        <v>23</v>
      </c>
      <c r="Q1089" s="9" t="s">
        <v>23</v>
      </c>
      <c r="R1089" s="54" t="s">
        <v>23</v>
      </c>
      <c r="S1089" s="9" t="s">
        <v>23</v>
      </c>
    </row>
    <row r="1090" spans="1:19" ht="15.75" customHeight="1">
      <c r="A1090" s="10">
        <v>196</v>
      </c>
      <c r="B1090" s="10">
        <v>2022</v>
      </c>
      <c r="C1090" s="6" t="s">
        <v>1824</v>
      </c>
      <c r="D1090" s="59">
        <v>44889</v>
      </c>
      <c r="E1090" s="6" t="s">
        <v>33</v>
      </c>
      <c r="F1090" s="6" t="s">
        <v>2011</v>
      </c>
      <c r="G1090" s="10">
        <v>3</v>
      </c>
      <c r="H1090" s="10">
        <v>3</v>
      </c>
      <c r="I1090" s="10">
        <v>3</v>
      </c>
      <c r="J1090" s="4" t="s">
        <v>30</v>
      </c>
      <c r="K1090" s="4">
        <v>36474</v>
      </c>
      <c r="L1090" s="4" t="s">
        <v>31</v>
      </c>
      <c r="M1090" s="6" t="s">
        <v>2816</v>
      </c>
      <c r="N1090" s="25" t="s">
        <v>20</v>
      </c>
      <c r="O1090" s="6" t="s">
        <v>23</v>
      </c>
      <c r="P1090" s="6" t="s">
        <v>23</v>
      </c>
      <c r="Q1090" s="9" t="s">
        <v>23</v>
      </c>
      <c r="R1090" s="54" t="s">
        <v>23</v>
      </c>
      <c r="S1090" s="9" t="s">
        <v>23</v>
      </c>
    </row>
    <row r="1091" spans="1:19" ht="15.75" customHeight="1">
      <c r="A1091" s="10">
        <v>197</v>
      </c>
      <c r="B1091" s="10">
        <v>2022</v>
      </c>
      <c r="C1091" s="6" t="s">
        <v>102</v>
      </c>
      <c r="D1091" s="59">
        <v>44889</v>
      </c>
      <c r="E1091" s="6" t="s">
        <v>33</v>
      </c>
      <c r="F1091" s="6" t="s">
        <v>2854</v>
      </c>
      <c r="G1091" s="10">
        <v>2</v>
      </c>
      <c r="H1091" s="10">
        <v>5</v>
      </c>
      <c r="I1091" s="10">
        <v>1</v>
      </c>
      <c r="J1091" s="4" t="s">
        <v>23</v>
      </c>
      <c r="K1091" s="4">
        <v>36489</v>
      </c>
      <c r="L1091" s="4" t="s">
        <v>61</v>
      </c>
      <c r="M1091" s="6" t="s">
        <v>2855</v>
      </c>
      <c r="N1091" s="25" t="s">
        <v>20</v>
      </c>
      <c r="O1091" s="6" t="s">
        <v>20</v>
      </c>
      <c r="P1091" s="6">
        <v>0</v>
      </c>
      <c r="Q1091" s="32" t="s">
        <v>2856</v>
      </c>
      <c r="R1091" s="56" t="s">
        <v>2857</v>
      </c>
      <c r="S1091" s="57" t="s">
        <v>2858</v>
      </c>
    </row>
    <row r="1092" spans="1:19" ht="15.75" customHeight="1">
      <c r="A1092" s="10">
        <v>197</v>
      </c>
      <c r="B1092" s="10">
        <v>2022</v>
      </c>
      <c r="C1092" s="6" t="s">
        <v>102</v>
      </c>
      <c r="D1092" s="59">
        <v>44890</v>
      </c>
      <c r="E1092" s="6" t="s">
        <v>33</v>
      </c>
      <c r="F1092" s="6" t="s">
        <v>2854</v>
      </c>
      <c r="G1092" s="10">
        <v>2</v>
      </c>
      <c r="H1092" s="10">
        <v>5</v>
      </c>
      <c r="I1092" s="10">
        <v>2</v>
      </c>
      <c r="J1092" s="4" t="s">
        <v>23</v>
      </c>
      <c r="K1092" s="4">
        <v>36512</v>
      </c>
      <c r="L1092" s="4" t="s">
        <v>61</v>
      </c>
      <c r="M1092" s="6" t="s">
        <v>2855</v>
      </c>
      <c r="N1092" s="25" t="s">
        <v>20</v>
      </c>
      <c r="O1092" s="6" t="s">
        <v>23</v>
      </c>
      <c r="P1092" s="6" t="s">
        <v>23</v>
      </c>
      <c r="Q1092" s="9" t="s">
        <v>23</v>
      </c>
      <c r="R1092" s="54" t="s">
        <v>23</v>
      </c>
      <c r="S1092" s="9" t="s">
        <v>23</v>
      </c>
    </row>
    <row r="1093" spans="1:19" ht="15.75" customHeight="1">
      <c r="A1093" s="10">
        <v>197</v>
      </c>
      <c r="B1093" s="10">
        <v>2022</v>
      </c>
      <c r="C1093" s="6" t="s">
        <v>102</v>
      </c>
      <c r="D1093" s="59">
        <v>44891</v>
      </c>
      <c r="E1093" s="6" t="s">
        <v>33</v>
      </c>
      <c r="F1093" s="6" t="s">
        <v>2854</v>
      </c>
      <c r="G1093" s="10">
        <v>2</v>
      </c>
      <c r="H1093" s="10">
        <v>5</v>
      </c>
      <c r="I1093" s="10">
        <v>3</v>
      </c>
      <c r="J1093" s="4" t="s">
        <v>23</v>
      </c>
      <c r="K1093" s="4">
        <v>36514</v>
      </c>
      <c r="L1093" s="4" t="s">
        <v>61</v>
      </c>
      <c r="M1093" s="6" t="s">
        <v>2855</v>
      </c>
      <c r="N1093" s="25" t="s">
        <v>20</v>
      </c>
      <c r="O1093" s="6" t="s">
        <v>23</v>
      </c>
      <c r="P1093" s="6" t="s">
        <v>23</v>
      </c>
      <c r="Q1093" s="9" t="s">
        <v>23</v>
      </c>
      <c r="R1093" s="54" t="s">
        <v>23</v>
      </c>
      <c r="S1093" s="9" t="s">
        <v>23</v>
      </c>
    </row>
    <row r="1094" spans="1:19" ht="15.75" customHeight="1">
      <c r="A1094" s="10">
        <v>197</v>
      </c>
      <c r="B1094" s="10">
        <v>2022</v>
      </c>
      <c r="C1094" s="6" t="s">
        <v>102</v>
      </c>
      <c r="D1094" s="59">
        <v>44892</v>
      </c>
      <c r="E1094" s="6" t="s">
        <v>33</v>
      </c>
      <c r="F1094" s="6" t="s">
        <v>2854</v>
      </c>
      <c r="G1094" s="10">
        <v>2</v>
      </c>
      <c r="H1094" s="10">
        <v>5</v>
      </c>
      <c r="I1094" s="10">
        <v>4</v>
      </c>
      <c r="J1094" s="4" t="s">
        <v>23</v>
      </c>
      <c r="K1094" s="4">
        <v>36516</v>
      </c>
      <c r="L1094" s="4" t="s">
        <v>61</v>
      </c>
      <c r="M1094" s="6" t="s">
        <v>2855</v>
      </c>
      <c r="N1094" s="25" t="s">
        <v>20</v>
      </c>
      <c r="O1094" s="6" t="s">
        <v>23</v>
      </c>
      <c r="P1094" s="6" t="s">
        <v>23</v>
      </c>
      <c r="Q1094" s="9" t="s">
        <v>23</v>
      </c>
      <c r="R1094" s="54" t="s">
        <v>23</v>
      </c>
      <c r="S1094" s="9" t="s">
        <v>23</v>
      </c>
    </row>
    <row r="1095" spans="1:19" ht="15.75" customHeight="1">
      <c r="A1095" s="10">
        <v>197</v>
      </c>
      <c r="B1095" s="10">
        <v>2022</v>
      </c>
      <c r="C1095" s="6" t="s">
        <v>102</v>
      </c>
      <c r="D1095" s="59">
        <v>44893</v>
      </c>
      <c r="E1095" s="6" t="s">
        <v>33</v>
      </c>
      <c r="F1095" s="6" t="s">
        <v>2854</v>
      </c>
      <c r="G1095" s="10">
        <v>2</v>
      </c>
      <c r="H1095" s="10">
        <v>5</v>
      </c>
      <c r="I1095" s="10">
        <v>5</v>
      </c>
      <c r="J1095" s="4" t="s">
        <v>23</v>
      </c>
      <c r="K1095" s="4">
        <v>36518</v>
      </c>
      <c r="L1095" s="4" t="s">
        <v>61</v>
      </c>
      <c r="M1095" s="6" t="s">
        <v>2855</v>
      </c>
      <c r="N1095" s="25" t="s">
        <v>20</v>
      </c>
      <c r="O1095" s="6" t="s">
        <v>23</v>
      </c>
      <c r="P1095" s="6" t="s">
        <v>23</v>
      </c>
      <c r="Q1095" s="9" t="s">
        <v>23</v>
      </c>
      <c r="R1095" s="54" t="s">
        <v>23</v>
      </c>
      <c r="S1095" s="9" t="s">
        <v>23</v>
      </c>
    </row>
    <row r="1096" spans="1:19" ht="15.75" customHeight="1">
      <c r="A1096" s="10">
        <v>198</v>
      </c>
      <c r="B1096" s="10">
        <v>2022</v>
      </c>
      <c r="C1096" s="6" t="s">
        <v>1824</v>
      </c>
      <c r="D1096" s="59">
        <v>44894</v>
      </c>
      <c r="E1096" s="6" t="s">
        <v>33</v>
      </c>
      <c r="F1096" s="6" t="s">
        <v>2011</v>
      </c>
      <c r="G1096" s="10">
        <v>3</v>
      </c>
      <c r="H1096" s="10">
        <v>3</v>
      </c>
      <c r="I1096" s="10">
        <v>1</v>
      </c>
      <c r="J1096" s="4" t="s">
        <v>30</v>
      </c>
      <c r="K1096" s="4">
        <v>36472</v>
      </c>
      <c r="L1096" s="4" t="s">
        <v>31</v>
      </c>
      <c r="M1096" s="6" t="s">
        <v>2811</v>
      </c>
      <c r="N1096" s="25" t="s">
        <v>20</v>
      </c>
      <c r="O1096" s="6" t="s">
        <v>33</v>
      </c>
      <c r="P1096" s="6">
        <v>15</v>
      </c>
      <c r="Q1096" s="32" t="s">
        <v>2859</v>
      </c>
      <c r="R1096" s="56" t="s">
        <v>2860</v>
      </c>
      <c r="S1096" s="57" t="s">
        <v>2861</v>
      </c>
    </row>
    <row r="1097" spans="1:19" ht="15.75" customHeight="1">
      <c r="A1097" s="10">
        <v>198</v>
      </c>
      <c r="B1097" s="10">
        <v>2022</v>
      </c>
      <c r="C1097" s="6" t="s">
        <v>1824</v>
      </c>
      <c r="D1097" s="59">
        <v>44894</v>
      </c>
      <c r="E1097" s="6" t="s">
        <v>33</v>
      </c>
      <c r="F1097" s="6" t="s">
        <v>2011</v>
      </c>
      <c r="G1097" s="10">
        <v>3</v>
      </c>
      <c r="H1097" s="10">
        <v>3</v>
      </c>
      <c r="I1097" s="10">
        <v>2</v>
      </c>
      <c r="J1097" s="4" t="s">
        <v>30</v>
      </c>
      <c r="K1097" s="4">
        <v>36473</v>
      </c>
      <c r="L1097" s="4" t="s">
        <v>31</v>
      </c>
      <c r="M1097" s="6" t="s">
        <v>2815</v>
      </c>
      <c r="N1097" s="25" t="s">
        <v>20</v>
      </c>
      <c r="O1097" s="6" t="s">
        <v>23</v>
      </c>
      <c r="P1097" s="6" t="s">
        <v>23</v>
      </c>
      <c r="Q1097" s="9" t="s">
        <v>23</v>
      </c>
      <c r="R1097" s="54" t="s">
        <v>23</v>
      </c>
      <c r="S1097" s="9" t="s">
        <v>23</v>
      </c>
    </row>
    <row r="1098" spans="1:19" ht="15.75" customHeight="1">
      <c r="A1098" s="10">
        <v>198</v>
      </c>
      <c r="B1098" s="10">
        <v>2022</v>
      </c>
      <c r="C1098" s="6" t="s">
        <v>1824</v>
      </c>
      <c r="D1098" s="59">
        <v>44894</v>
      </c>
      <c r="E1098" s="6" t="s">
        <v>33</v>
      </c>
      <c r="F1098" s="6" t="s">
        <v>2011</v>
      </c>
      <c r="G1098" s="10">
        <v>3</v>
      </c>
      <c r="H1098" s="10">
        <v>3</v>
      </c>
      <c r="I1098" s="10">
        <v>3</v>
      </c>
      <c r="J1098" s="4" t="s">
        <v>30</v>
      </c>
      <c r="K1098" s="4">
        <v>36474</v>
      </c>
      <c r="L1098" s="4" t="s">
        <v>31</v>
      </c>
      <c r="M1098" s="6" t="s">
        <v>2816</v>
      </c>
      <c r="N1098" s="25" t="s">
        <v>20</v>
      </c>
      <c r="O1098" s="6" t="s">
        <v>23</v>
      </c>
      <c r="P1098" s="6" t="s">
        <v>23</v>
      </c>
      <c r="Q1098" s="9" t="s">
        <v>23</v>
      </c>
      <c r="R1098" s="54" t="s">
        <v>23</v>
      </c>
      <c r="S1098" s="9" t="s">
        <v>23</v>
      </c>
    </row>
    <row r="1099" spans="1:19" ht="15.75" customHeight="1">
      <c r="A1099" s="10">
        <v>199</v>
      </c>
      <c r="B1099" s="10">
        <v>2022</v>
      </c>
      <c r="C1099" s="6" t="s">
        <v>102</v>
      </c>
      <c r="D1099" s="59">
        <v>44894</v>
      </c>
      <c r="E1099" s="6" t="s">
        <v>33</v>
      </c>
      <c r="F1099" s="6" t="s">
        <v>2854</v>
      </c>
      <c r="G1099" s="10">
        <v>2</v>
      </c>
      <c r="H1099" s="10">
        <v>5</v>
      </c>
      <c r="I1099" s="10">
        <v>1</v>
      </c>
      <c r="J1099" s="4" t="s">
        <v>2862</v>
      </c>
      <c r="K1099" s="4">
        <v>36489</v>
      </c>
      <c r="L1099" s="4" t="s">
        <v>61</v>
      </c>
      <c r="M1099" s="6" t="s">
        <v>2855</v>
      </c>
      <c r="N1099" s="25" t="s">
        <v>33</v>
      </c>
      <c r="O1099" s="6" t="s">
        <v>20</v>
      </c>
      <c r="P1099" s="6">
        <v>0</v>
      </c>
      <c r="Q1099" s="32" t="s">
        <v>2863</v>
      </c>
      <c r="R1099" s="56" t="s">
        <v>2864</v>
      </c>
      <c r="S1099" s="32" t="s">
        <v>2865</v>
      </c>
    </row>
    <row r="1100" spans="1:19" ht="15.75" customHeight="1">
      <c r="A1100" s="10">
        <v>199</v>
      </c>
      <c r="B1100" s="10">
        <v>2022</v>
      </c>
      <c r="C1100" s="6" t="s">
        <v>102</v>
      </c>
      <c r="D1100" s="59">
        <v>44894</v>
      </c>
      <c r="E1100" s="6" t="s">
        <v>33</v>
      </c>
      <c r="F1100" s="6" t="s">
        <v>2854</v>
      </c>
      <c r="G1100" s="10">
        <v>2</v>
      </c>
      <c r="H1100" s="10">
        <v>5</v>
      </c>
      <c r="I1100" s="10">
        <v>2</v>
      </c>
      <c r="J1100" s="4" t="s">
        <v>2862</v>
      </c>
      <c r="K1100" s="4">
        <v>36512</v>
      </c>
      <c r="L1100" s="4" t="s">
        <v>61</v>
      </c>
      <c r="M1100" s="6" t="s">
        <v>2855</v>
      </c>
      <c r="N1100" s="25" t="s">
        <v>33</v>
      </c>
      <c r="O1100" s="6" t="s">
        <v>23</v>
      </c>
      <c r="P1100" s="6" t="s">
        <v>23</v>
      </c>
      <c r="Q1100" s="9" t="s">
        <v>23</v>
      </c>
      <c r="R1100" s="54" t="s">
        <v>23</v>
      </c>
      <c r="S1100" s="9" t="s">
        <v>23</v>
      </c>
    </row>
    <row r="1101" spans="1:19" ht="15.75" customHeight="1">
      <c r="A1101" s="10">
        <v>199</v>
      </c>
      <c r="B1101" s="10">
        <v>2022</v>
      </c>
      <c r="C1101" s="6" t="s">
        <v>102</v>
      </c>
      <c r="D1101" s="59">
        <v>44894</v>
      </c>
      <c r="E1101" s="6" t="s">
        <v>33</v>
      </c>
      <c r="F1101" s="6" t="s">
        <v>2854</v>
      </c>
      <c r="G1101" s="10">
        <v>2</v>
      </c>
      <c r="H1101" s="10">
        <v>5</v>
      </c>
      <c r="I1101" s="10">
        <v>3</v>
      </c>
      <c r="J1101" s="4" t="s">
        <v>2862</v>
      </c>
      <c r="K1101" s="4">
        <v>36514</v>
      </c>
      <c r="L1101" s="4" t="s">
        <v>61</v>
      </c>
      <c r="M1101" s="6" t="s">
        <v>2855</v>
      </c>
      <c r="N1101" s="25" t="s">
        <v>33</v>
      </c>
      <c r="O1101" s="6" t="s">
        <v>23</v>
      </c>
      <c r="P1101" s="6" t="s">
        <v>23</v>
      </c>
      <c r="Q1101" s="9" t="s">
        <v>23</v>
      </c>
      <c r="R1101" s="54" t="s">
        <v>23</v>
      </c>
      <c r="S1101" s="9" t="s">
        <v>23</v>
      </c>
    </row>
    <row r="1102" spans="1:19" ht="15.75" customHeight="1">
      <c r="A1102" s="10">
        <v>199</v>
      </c>
      <c r="B1102" s="10">
        <v>2022</v>
      </c>
      <c r="C1102" s="6" t="s">
        <v>102</v>
      </c>
      <c r="D1102" s="59">
        <v>44894</v>
      </c>
      <c r="E1102" s="6" t="s">
        <v>33</v>
      </c>
      <c r="F1102" s="6" t="s">
        <v>2854</v>
      </c>
      <c r="G1102" s="10">
        <v>2</v>
      </c>
      <c r="H1102" s="10">
        <v>5</v>
      </c>
      <c r="I1102" s="10">
        <v>4</v>
      </c>
      <c r="J1102" s="4" t="s">
        <v>2862</v>
      </c>
      <c r="K1102" s="4">
        <v>36516</v>
      </c>
      <c r="L1102" s="4" t="s">
        <v>61</v>
      </c>
      <c r="M1102" s="6" t="s">
        <v>2855</v>
      </c>
      <c r="N1102" s="25" t="s">
        <v>33</v>
      </c>
      <c r="O1102" s="6" t="s">
        <v>23</v>
      </c>
      <c r="P1102" s="6" t="s">
        <v>23</v>
      </c>
      <c r="Q1102" s="9" t="s">
        <v>23</v>
      </c>
      <c r="R1102" s="54" t="s">
        <v>23</v>
      </c>
      <c r="S1102" s="9" t="s">
        <v>23</v>
      </c>
    </row>
    <row r="1103" spans="1:19" ht="15.75" customHeight="1">
      <c r="A1103" s="10">
        <v>199</v>
      </c>
      <c r="B1103" s="10">
        <v>2022</v>
      </c>
      <c r="C1103" s="6" t="s">
        <v>102</v>
      </c>
      <c r="D1103" s="59">
        <v>44894</v>
      </c>
      <c r="E1103" s="6" t="s">
        <v>33</v>
      </c>
      <c r="F1103" s="6" t="s">
        <v>2854</v>
      </c>
      <c r="G1103" s="10">
        <v>2</v>
      </c>
      <c r="H1103" s="10">
        <v>5</v>
      </c>
      <c r="I1103" s="10">
        <v>5</v>
      </c>
      <c r="J1103" s="4" t="s">
        <v>2862</v>
      </c>
      <c r="K1103" s="4">
        <v>36518</v>
      </c>
      <c r="L1103" s="4" t="s">
        <v>61</v>
      </c>
      <c r="M1103" s="6" t="s">
        <v>2855</v>
      </c>
      <c r="N1103" s="25" t="s">
        <v>33</v>
      </c>
      <c r="O1103" s="6" t="s">
        <v>23</v>
      </c>
      <c r="P1103" s="6" t="s">
        <v>23</v>
      </c>
      <c r="Q1103" s="9" t="s">
        <v>23</v>
      </c>
      <c r="R1103" s="54" t="s">
        <v>23</v>
      </c>
      <c r="S1103" s="9" t="s">
        <v>23</v>
      </c>
    </row>
    <row r="1104" spans="1:19" ht="15.75" customHeight="1">
      <c r="A1104" s="10">
        <v>200</v>
      </c>
      <c r="B1104" s="10">
        <v>2022</v>
      </c>
      <c r="C1104" s="6" t="s">
        <v>102</v>
      </c>
      <c r="D1104" s="48">
        <v>44896</v>
      </c>
      <c r="E1104" s="6" t="s">
        <v>20</v>
      </c>
      <c r="F1104" s="6" t="s">
        <v>37</v>
      </c>
      <c r="G1104" s="10">
        <v>1</v>
      </c>
      <c r="H1104" s="10">
        <v>1</v>
      </c>
      <c r="I1104" s="10">
        <v>1</v>
      </c>
      <c r="J1104" s="4" t="s">
        <v>71</v>
      </c>
      <c r="K1104" s="4">
        <v>36504</v>
      </c>
      <c r="L1104" s="4" t="s">
        <v>61</v>
      </c>
      <c r="M1104" s="6" t="s">
        <v>2866</v>
      </c>
      <c r="N1104" s="25" t="s">
        <v>33</v>
      </c>
      <c r="O1104" s="6" t="s">
        <v>20</v>
      </c>
      <c r="P1104" s="6">
        <v>0</v>
      </c>
      <c r="Q1104" s="32" t="s">
        <v>2867</v>
      </c>
      <c r="R1104" s="54" t="s">
        <v>23</v>
      </c>
      <c r="S1104" s="32" t="s">
        <v>2868</v>
      </c>
    </row>
    <row r="1105" spans="1:19" ht="15.75" customHeight="1">
      <c r="A1105" s="10">
        <v>201</v>
      </c>
      <c r="B1105" s="10">
        <v>2022</v>
      </c>
      <c r="C1105" s="6" t="s">
        <v>19</v>
      </c>
      <c r="D1105" s="48">
        <v>44901</v>
      </c>
      <c r="E1105" s="6" t="s">
        <v>20</v>
      </c>
      <c r="F1105" s="6" t="s">
        <v>53</v>
      </c>
      <c r="G1105" s="10">
        <v>1</v>
      </c>
      <c r="H1105" s="10">
        <v>1</v>
      </c>
      <c r="I1105" s="10">
        <v>1</v>
      </c>
      <c r="J1105" s="4" t="s">
        <v>23</v>
      </c>
      <c r="K1105" s="4" t="s">
        <v>23</v>
      </c>
      <c r="L1105" s="4" t="s">
        <v>23</v>
      </c>
      <c r="M1105" s="6" t="s">
        <v>2869</v>
      </c>
      <c r="N1105" s="25" t="s">
        <v>23</v>
      </c>
      <c r="O1105" s="6" t="s">
        <v>20</v>
      </c>
      <c r="P1105" s="6">
        <v>0</v>
      </c>
      <c r="Q1105" s="9" t="s">
        <v>23</v>
      </c>
      <c r="R1105" s="54" t="s">
        <v>23</v>
      </c>
      <c r="S1105" s="32" t="s">
        <v>2870</v>
      </c>
    </row>
    <row r="1106" spans="1:19" ht="15.75" customHeight="1">
      <c r="A1106" s="10">
        <v>202</v>
      </c>
      <c r="B1106" s="10">
        <v>2022</v>
      </c>
      <c r="C1106" s="6" t="s">
        <v>102</v>
      </c>
      <c r="D1106" s="48">
        <v>44901</v>
      </c>
      <c r="E1106" s="6" t="s">
        <v>33</v>
      </c>
      <c r="F1106" s="6" t="s">
        <v>2011</v>
      </c>
      <c r="G1106" s="10">
        <v>3</v>
      </c>
      <c r="H1106" s="10">
        <v>3</v>
      </c>
      <c r="I1106" s="10">
        <v>1</v>
      </c>
      <c r="J1106" s="4" t="s">
        <v>30</v>
      </c>
      <c r="K1106" s="4">
        <v>36472</v>
      </c>
      <c r="L1106" s="4" t="s">
        <v>31</v>
      </c>
      <c r="M1106" s="6" t="s">
        <v>2811</v>
      </c>
      <c r="N1106" s="25" t="s">
        <v>33</v>
      </c>
      <c r="O1106" s="6" t="s">
        <v>20</v>
      </c>
      <c r="P1106" s="6">
        <v>0</v>
      </c>
      <c r="Q1106" s="32" t="s">
        <v>2871</v>
      </c>
      <c r="R1106" s="56" t="s">
        <v>2872</v>
      </c>
      <c r="S1106" s="32" t="s">
        <v>2873</v>
      </c>
    </row>
    <row r="1107" spans="1:19" ht="15.75" customHeight="1">
      <c r="A1107" s="10">
        <v>202</v>
      </c>
      <c r="B1107" s="10">
        <v>2022</v>
      </c>
      <c r="C1107" s="6" t="s">
        <v>102</v>
      </c>
      <c r="D1107" s="48">
        <v>44901</v>
      </c>
      <c r="E1107" s="6" t="s">
        <v>33</v>
      </c>
      <c r="F1107" s="6" t="s">
        <v>2011</v>
      </c>
      <c r="G1107" s="10">
        <v>3</v>
      </c>
      <c r="H1107" s="10">
        <v>3</v>
      </c>
      <c r="I1107" s="10">
        <v>2</v>
      </c>
      <c r="J1107" s="4" t="s">
        <v>30</v>
      </c>
      <c r="K1107" s="4">
        <v>36473</v>
      </c>
      <c r="L1107" s="4" t="s">
        <v>31</v>
      </c>
      <c r="M1107" s="6" t="s">
        <v>2815</v>
      </c>
      <c r="N1107" s="25" t="s">
        <v>33</v>
      </c>
      <c r="O1107" s="6" t="s">
        <v>23</v>
      </c>
      <c r="P1107" s="6" t="s">
        <v>23</v>
      </c>
      <c r="Q1107" s="9" t="s">
        <v>23</v>
      </c>
      <c r="R1107" s="54" t="s">
        <v>23</v>
      </c>
      <c r="S1107" s="9" t="s">
        <v>23</v>
      </c>
    </row>
    <row r="1108" spans="1:19" ht="15.75" customHeight="1">
      <c r="A1108" s="10">
        <v>202</v>
      </c>
      <c r="B1108" s="10">
        <v>2022</v>
      </c>
      <c r="C1108" s="6" t="s">
        <v>102</v>
      </c>
      <c r="D1108" s="48">
        <v>44901</v>
      </c>
      <c r="E1108" s="6" t="s">
        <v>33</v>
      </c>
      <c r="F1108" s="6" t="s">
        <v>2011</v>
      </c>
      <c r="G1108" s="10">
        <v>3</v>
      </c>
      <c r="H1108" s="10">
        <v>3</v>
      </c>
      <c r="I1108" s="10">
        <v>3</v>
      </c>
      <c r="J1108" s="4" t="s">
        <v>30</v>
      </c>
      <c r="K1108" s="4">
        <v>36474</v>
      </c>
      <c r="L1108" s="4" t="s">
        <v>31</v>
      </c>
      <c r="M1108" s="6" t="s">
        <v>2816</v>
      </c>
      <c r="N1108" s="25" t="s">
        <v>33</v>
      </c>
      <c r="O1108" s="6" t="s">
        <v>23</v>
      </c>
      <c r="P1108" s="6" t="s">
        <v>23</v>
      </c>
      <c r="Q1108" s="9" t="s">
        <v>23</v>
      </c>
      <c r="R1108" s="54" t="s">
        <v>23</v>
      </c>
      <c r="S1108" s="9" t="s">
        <v>23</v>
      </c>
    </row>
    <row r="1109" spans="1:19" ht="15.75" customHeight="1">
      <c r="A1109" s="10">
        <v>203</v>
      </c>
      <c r="B1109" s="10">
        <v>2022</v>
      </c>
      <c r="C1109" s="6" t="s">
        <v>102</v>
      </c>
      <c r="D1109" s="48">
        <v>44901</v>
      </c>
      <c r="E1109" s="6" t="s">
        <v>20</v>
      </c>
      <c r="F1109" s="6" t="s">
        <v>47</v>
      </c>
      <c r="G1109" s="10">
        <v>1</v>
      </c>
      <c r="H1109" s="10">
        <v>2</v>
      </c>
      <c r="I1109" s="10">
        <v>1</v>
      </c>
      <c r="J1109" s="4" t="s">
        <v>30</v>
      </c>
      <c r="K1109" s="4">
        <v>36588</v>
      </c>
      <c r="L1109" s="4" t="s">
        <v>31</v>
      </c>
      <c r="M1109" s="6" t="s">
        <v>2874</v>
      </c>
      <c r="N1109" s="25" t="s">
        <v>33</v>
      </c>
      <c r="O1109" s="6" t="s">
        <v>33</v>
      </c>
      <c r="P1109" s="6">
        <v>2</v>
      </c>
      <c r="Q1109" s="32" t="s">
        <v>2875</v>
      </c>
      <c r="R1109" s="56" t="s">
        <v>2876</v>
      </c>
      <c r="S1109" s="32" t="s">
        <v>2877</v>
      </c>
    </row>
    <row r="1110" spans="1:19" ht="15.75" customHeight="1">
      <c r="A1110" s="10">
        <v>203</v>
      </c>
      <c r="B1110" s="10">
        <v>2022</v>
      </c>
      <c r="C1110" s="6" t="s">
        <v>102</v>
      </c>
      <c r="D1110" s="48">
        <v>44901</v>
      </c>
      <c r="E1110" s="6" t="s">
        <v>20</v>
      </c>
      <c r="F1110" s="6" t="s">
        <v>47</v>
      </c>
      <c r="G1110" s="10">
        <v>1</v>
      </c>
      <c r="H1110" s="10">
        <v>2</v>
      </c>
      <c r="I1110" s="10">
        <v>2</v>
      </c>
      <c r="J1110" s="4" t="s">
        <v>30</v>
      </c>
      <c r="K1110" s="4">
        <v>36593</v>
      </c>
      <c r="L1110" s="4" t="s">
        <v>31</v>
      </c>
      <c r="M1110" s="6" t="s">
        <v>2878</v>
      </c>
      <c r="N1110" s="25" t="s">
        <v>33</v>
      </c>
      <c r="O1110" s="6" t="s">
        <v>23</v>
      </c>
      <c r="P1110" s="6" t="s">
        <v>23</v>
      </c>
      <c r="Q1110" s="9" t="s">
        <v>23</v>
      </c>
      <c r="R1110" s="54" t="s">
        <v>23</v>
      </c>
      <c r="S1110" s="9" t="s">
        <v>23</v>
      </c>
    </row>
    <row r="1111" spans="1:19" ht="15.75" customHeight="1">
      <c r="A1111" s="10">
        <v>204</v>
      </c>
      <c r="B1111" s="10">
        <v>2022</v>
      </c>
      <c r="C1111" s="6" t="s">
        <v>1824</v>
      </c>
      <c r="D1111" s="48">
        <v>44902</v>
      </c>
      <c r="E1111" s="6" t="s">
        <v>33</v>
      </c>
      <c r="F1111" s="6" t="s">
        <v>2074</v>
      </c>
      <c r="G1111" s="10">
        <v>2</v>
      </c>
      <c r="H1111" s="10">
        <v>7</v>
      </c>
      <c r="I1111" s="10">
        <v>1</v>
      </c>
      <c r="J1111" s="4" t="s">
        <v>30</v>
      </c>
      <c r="K1111" s="4">
        <v>35387</v>
      </c>
      <c r="L1111" s="4" t="s">
        <v>31</v>
      </c>
      <c r="M1111" s="6" t="s">
        <v>2822</v>
      </c>
      <c r="N1111" s="25" t="s">
        <v>20</v>
      </c>
      <c r="O1111" s="6" t="s">
        <v>33</v>
      </c>
      <c r="P1111" s="6">
        <v>1</v>
      </c>
      <c r="Q1111" s="57" t="s">
        <v>2879</v>
      </c>
      <c r="R1111" s="57" t="s">
        <v>2880</v>
      </c>
      <c r="S1111" s="57" t="s">
        <v>2881</v>
      </c>
    </row>
    <row r="1112" spans="1:19" ht="15.75" customHeight="1">
      <c r="A1112" s="10">
        <v>204</v>
      </c>
      <c r="B1112" s="10">
        <v>2022</v>
      </c>
      <c r="C1112" s="6" t="s">
        <v>1824</v>
      </c>
      <c r="D1112" s="48">
        <v>44902</v>
      </c>
      <c r="E1112" s="6" t="s">
        <v>33</v>
      </c>
      <c r="F1112" s="6" t="s">
        <v>2074</v>
      </c>
      <c r="G1112" s="10">
        <v>2</v>
      </c>
      <c r="H1112" s="10">
        <v>7</v>
      </c>
      <c r="I1112" s="10">
        <v>2</v>
      </c>
      <c r="J1112" s="4" t="s">
        <v>30</v>
      </c>
      <c r="K1112" s="4">
        <v>36273</v>
      </c>
      <c r="L1112" s="4" t="s">
        <v>61</v>
      </c>
      <c r="M1112" s="6" t="s">
        <v>2846</v>
      </c>
      <c r="N1112" s="25" t="s">
        <v>20</v>
      </c>
      <c r="O1112" s="6" t="s">
        <v>23</v>
      </c>
      <c r="P1112" s="6" t="s">
        <v>23</v>
      </c>
      <c r="Q1112" s="9" t="s">
        <v>23</v>
      </c>
      <c r="R1112" s="54" t="s">
        <v>23</v>
      </c>
      <c r="S1112" s="9" t="s">
        <v>23</v>
      </c>
    </row>
    <row r="1113" spans="1:19" ht="15.75" customHeight="1">
      <c r="A1113" s="10">
        <v>204</v>
      </c>
      <c r="B1113" s="10">
        <v>2022</v>
      </c>
      <c r="C1113" s="6" t="s">
        <v>1824</v>
      </c>
      <c r="D1113" s="48">
        <v>44902</v>
      </c>
      <c r="E1113" s="6" t="s">
        <v>33</v>
      </c>
      <c r="F1113" s="6" t="s">
        <v>2074</v>
      </c>
      <c r="G1113" s="10">
        <v>2</v>
      </c>
      <c r="H1113" s="10">
        <v>7</v>
      </c>
      <c r="I1113" s="10">
        <v>3</v>
      </c>
      <c r="J1113" s="4" t="s">
        <v>30</v>
      </c>
      <c r="K1113" s="4">
        <v>36542</v>
      </c>
      <c r="L1113" s="4" t="s">
        <v>31</v>
      </c>
      <c r="M1113" s="6" t="s">
        <v>2847</v>
      </c>
      <c r="N1113" s="25" t="s">
        <v>20</v>
      </c>
      <c r="O1113" s="6" t="s">
        <v>23</v>
      </c>
      <c r="P1113" s="6" t="s">
        <v>23</v>
      </c>
      <c r="Q1113" s="9" t="s">
        <v>23</v>
      </c>
      <c r="R1113" s="54" t="s">
        <v>23</v>
      </c>
      <c r="S1113" s="9" t="s">
        <v>23</v>
      </c>
    </row>
    <row r="1114" spans="1:19" ht="15.75" customHeight="1">
      <c r="A1114" s="10">
        <v>204</v>
      </c>
      <c r="B1114" s="10">
        <v>2022</v>
      </c>
      <c r="C1114" s="6" t="s">
        <v>1824</v>
      </c>
      <c r="D1114" s="48">
        <v>44902</v>
      </c>
      <c r="E1114" s="6" t="s">
        <v>33</v>
      </c>
      <c r="F1114" s="6" t="s">
        <v>2074</v>
      </c>
      <c r="G1114" s="10">
        <v>2</v>
      </c>
      <c r="H1114" s="10">
        <v>7</v>
      </c>
      <c r="I1114" s="10">
        <v>4</v>
      </c>
      <c r="J1114" s="4" t="s">
        <v>30</v>
      </c>
      <c r="K1114" s="4">
        <v>36449</v>
      </c>
      <c r="L1114" s="4" t="s">
        <v>61</v>
      </c>
      <c r="M1114" s="6" t="s">
        <v>2848</v>
      </c>
      <c r="N1114" s="25" t="s">
        <v>20</v>
      </c>
      <c r="O1114" s="6" t="s">
        <v>23</v>
      </c>
      <c r="P1114" s="6" t="s">
        <v>23</v>
      </c>
      <c r="Q1114" s="9" t="s">
        <v>23</v>
      </c>
      <c r="R1114" s="54" t="s">
        <v>23</v>
      </c>
      <c r="S1114" s="9" t="s">
        <v>23</v>
      </c>
    </row>
    <row r="1115" spans="1:19" ht="15.75" customHeight="1">
      <c r="A1115" s="10">
        <v>204</v>
      </c>
      <c r="B1115" s="10">
        <v>2022</v>
      </c>
      <c r="C1115" s="6" t="s">
        <v>1824</v>
      </c>
      <c r="D1115" s="48">
        <v>44902</v>
      </c>
      <c r="E1115" s="6" t="s">
        <v>33</v>
      </c>
      <c r="F1115" s="6" t="s">
        <v>2074</v>
      </c>
      <c r="G1115" s="10">
        <v>2</v>
      </c>
      <c r="H1115" s="10">
        <v>7</v>
      </c>
      <c r="I1115" s="10">
        <v>5</v>
      </c>
      <c r="J1115" s="4" t="s">
        <v>30</v>
      </c>
      <c r="K1115" s="4">
        <v>36499</v>
      </c>
      <c r="L1115" s="4" t="s">
        <v>61</v>
      </c>
      <c r="M1115" s="6" t="s">
        <v>2849</v>
      </c>
      <c r="N1115" s="25" t="s">
        <v>20</v>
      </c>
      <c r="O1115" s="6" t="s">
        <v>23</v>
      </c>
      <c r="P1115" s="6" t="s">
        <v>23</v>
      </c>
      <c r="Q1115" s="9" t="s">
        <v>23</v>
      </c>
      <c r="R1115" s="54" t="s">
        <v>23</v>
      </c>
      <c r="S1115" s="9" t="s">
        <v>23</v>
      </c>
    </row>
    <row r="1116" spans="1:19" ht="15.75" customHeight="1">
      <c r="A1116" s="10">
        <v>204</v>
      </c>
      <c r="B1116" s="10">
        <v>2022</v>
      </c>
      <c r="C1116" s="6" t="s">
        <v>1824</v>
      </c>
      <c r="D1116" s="48">
        <v>44902</v>
      </c>
      <c r="E1116" s="6" t="s">
        <v>33</v>
      </c>
      <c r="F1116" s="6" t="s">
        <v>2074</v>
      </c>
      <c r="G1116" s="10">
        <v>2</v>
      </c>
      <c r="H1116" s="10">
        <v>7</v>
      </c>
      <c r="I1116" s="10">
        <v>6</v>
      </c>
      <c r="J1116" s="4" t="s">
        <v>30</v>
      </c>
      <c r="K1116" s="4">
        <v>36507</v>
      </c>
      <c r="L1116" s="4" t="s">
        <v>61</v>
      </c>
      <c r="M1116" s="6" t="s">
        <v>2850</v>
      </c>
      <c r="N1116" s="25" t="s">
        <v>20</v>
      </c>
      <c r="O1116" s="6" t="s">
        <v>23</v>
      </c>
      <c r="P1116" s="6" t="s">
        <v>23</v>
      </c>
      <c r="Q1116" s="9" t="s">
        <v>23</v>
      </c>
      <c r="R1116" s="54" t="s">
        <v>23</v>
      </c>
      <c r="S1116" s="9" t="s">
        <v>23</v>
      </c>
    </row>
    <row r="1117" spans="1:19" ht="15.75" customHeight="1">
      <c r="A1117" s="10">
        <v>204</v>
      </c>
      <c r="B1117" s="10">
        <v>2022</v>
      </c>
      <c r="C1117" s="6" t="s">
        <v>1824</v>
      </c>
      <c r="D1117" s="48">
        <v>44902</v>
      </c>
      <c r="E1117" s="6" t="s">
        <v>33</v>
      </c>
      <c r="F1117" s="6" t="s">
        <v>2074</v>
      </c>
      <c r="G1117" s="10">
        <v>2</v>
      </c>
      <c r="H1117" s="10">
        <v>7</v>
      </c>
      <c r="I1117" s="10">
        <v>7</v>
      </c>
      <c r="J1117" s="4" t="s">
        <v>30</v>
      </c>
      <c r="K1117" s="4">
        <v>36594</v>
      </c>
      <c r="L1117" s="4" t="s">
        <v>31</v>
      </c>
      <c r="M1117" s="6" t="s">
        <v>2882</v>
      </c>
      <c r="N1117" s="25" t="s">
        <v>20</v>
      </c>
      <c r="O1117" s="6" t="s">
        <v>23</v>
      </c>
      <c r="P1117" s="6" t="s">
        <v>23</v>
      </c>
      <c r="Q1117" s="9" t="s">
        <v>23</v>
      </c>
      <c r="R1117" s="54" t="s">
        <v>23</v>
      </c>
      <c r="S1117" s="9" t="s">
        <v>23</v>
      </c>
    </row>
    <row r="1118" spans="1:19" ht="15.75" customHeight="1">
      <c r="A1118" s="10">
        <v>205</v>
      </c>
      <c r="B1118" s="10">
        <v>2022</v>
      </c>
      <c r="C1118" s="6" t="s">
        <v>102</v>
      </c>
      <c r="D1118" s="59">
        <v>44908</v>
      </c>
      <c r="E1118" s="6" t="s">
        <v>20</v>
      </c>
      <c r="F1118" s="6" t="s">
        <v>47</v>
      </c>
      <c r="G1118" s="10">
        <v>1</v>
      </c>
      <c r="H1118" s="10">
        <v>1</v>
      </c>
      <c r="I1118" s="10">
        <v>1</v>
      </c>
      <c r="J1118" s="4" t="s">
        <v>30</v>
      </c>
      <c r="K1118" s="4">
        <v>36589</v>
      </c>
      <c r="L1118" s="4" t="s">
        <v>31</v>
      </c>
      <c r="M1118" s="6" t="s">
        <v>2883</v>
      </c>
      <c r="N1118" s="25" t="s">
        <v>20</v>
      </c>
      <c r="O1118" s="6" t="s">
        <v>33</v>
      </c>
      <c r="P1118" s="6">
        <v>1</v>
      </c>
      <c r="Q1118" s="32" t="s">
        <v>2884</v>
      </c>
      <c r="R1118" s="56" t="s">
        <v>2885</v>
      </c>
      <c r="S1118" s="32" t="s">
        <v>2886</v>
      </c>
    </row>
    <row r="1119" spans="1:19" ht="15.75" customHeight="1">
      <c r="A1119" s="10">
        <v>206</v>
      </c>
      <c r="B1119" s="10">
        <v>2022</v>
      </c>
      <c r="C1119" s="6" t="s">
        <v>1824</v>
      </c>
      <c r="D1119" s="59">
        <v>44909</v>
      </c>
      <c r="E1119" s="6" t="s">
        <v>33</v>
      </c>
      <c r="F1119" s="6" t="s">
        <v>2074</v>
      </c>
      <c r="G1119" s="10">
        <v>2</v>
      </c>
      <c r="H1119" s="10">
        <v>11</v>
      </c>
      <c r="I1119" s="10">
        <v>1</v>
      </c>
      <c r="J1119" s="4" t="s">
        <v>30</v>
      </c>
      <c r="K1119" s="4">
        <v>36273</v>
      </c>
      <c r="L1119" s="4" t="s">
        <v>61</v>
      </c>
      <c r="M1119" s="6" t="s">
        <v>2846</v>
      </c>
      <c r="N1119" s="25" t="s">
        <v>33</v>
      </c>
      <c r="O1119" s="6" t="s">
        <v>20</v>
      </c>
      <c r="P1119" s="6">
        <v>0</v>
      </c>
      <c r="Q1119" s="32" t="s">
        <v>2887</v>
      </c>
      <c r="R1119" s="54" t="s">
        <v>23</v>
      </c>
      <c r="S1119" s="32" t="s">
        <v>2888</v>
      </c>
    </row>
    <row r="1120" spans="1:19" ht="15.75" customHeight="1">
      <c r="A1120" s="10">
        <v>206</v>
      </c>
      <c r="B1120" s="10">
        <v>2022</v>
      </c>
      <c r="C1120" s="6" t="s">
        <v>1824</v>
      </c>
      <c r="D1120" s="59">
        <v>44909</v>
      </c>
      <c r="E1120" s="6" t="s">
        <v>33</v>
      </c>
      <c r="F1120" s="6" t="s">
        <v>2074</v>
      </c>
      <c r="G1120" s="10">
        <v>2</v>
      </c>
      <c r="H1120" s="10">
        <v>11</v>
      </c>
      <c r="I1120" s="10">
        <v>2</v>
      </c>
      <c r="J1120" s="4" t="s">
        <v>30</v>
      </c>
      <c r="K1120" s="4">
        <v>36542</v>
      </c>
      <c r="L1120" s="4" t="s">
        <v>31</v>
      </c>
      <c r="M1120" s="6" t="s">
        <v>2847</v>
      </c>
      <c r="N1120" s="25" t="s">
        <v>20</v>
      </c>
      <c r="O1120" s="6" t="s">
        <v>23</v>
      </c>
      <c r="P1120" s="6" t="s">
        <v>23</v>
      </c>
      <c r="Q1120" s="9" t="s">
        <v>23</v>
      </c>
      <c r="R1120" s="54" t="s">
        <v>23</v>
      </c>
      <c r="S1120" s="9" t="s">
        <v>23</v>
      </c>
    </row>
    <row r="1121" spans="1:19" ht="15.75" customHeight="1">
      <c r="A1121" s="10">
        <v>206</v>
      </c>
      <c r="B1121" s="10">
        <v>2022</v>
      </c>
      <c r="C1121" s="6" t="s">
        <v>1824</v>
      </c>
      <c r="D1121" s="59">
        <v>44909</v>
      </c>
      <c r="E1121" s="6" t="s">
        <v>33</v>
      </c>
      <c r="F1121" s="6" t="s">
        <v>2074</v>
      </c>
      <c r="G1121" s="10">
        <v>2</v>
      </c>
      <c r="H1121" s="10">
        <v>11</v>
      </c>
      <c r="I1121" s="10">
        <v>3</v>
      </c>
      <c r="J1121" s="4" t="s">
        <v>30</v>
      </c>
      <c r="K1121" s="4">
        <v>36449</v>
      </c>
      <c r="L1121" s="4" t="s">
        <v>61</v>
      </c>
      <c r="M1121" s="6" t="s">
        <v>2848</v>
      </c>
      <c r="N1121" s="25" t="s">
        <v>20</v>
      </c>
      <c r="O1121" s="6" t="s">
        <v>23</v>
      </c>
      <c r="P1121" s="6" t="s">
        <v>23</v>
      </c>
      <c r="Q1121" s="9" t="s">
        <v>23</v>
      </c>
      <c r="R1121" s="54" t="s">
        <v>23</v>
      </c>
      <c r="S1121" s="9" t="s">
        <v>23</v>
      </c>
    </row>
    <row r="1122" spans="1:19" ht="15.75" customHeight="1">
      <c r="A1122" s="10">
        <v>206</v>
      </c>
      <c r="B1122" s="10">
        <v>2022</v>
      </c>
      <c r="C1122" s="6" t="s">
        <v>1824</v>
      </c>
      <c r="D1122" s="59">
        <v>44909</v>
      </c>
      <c r="E1122" s="6" t="s">
        <v>33</v>
      </c>
      <c r="F1122" s="6" t="s">
        <v>2074</v>
      </c>
      <c r="G1122" s="10">
        <v>2</v>
      </c>
      <c r="H1122" s="10">
        <v>11</v>
      </c>
      <c r="I1122" s="10">
        <v>4</v>
      </c>
      <c r="J1122" s="4" t="s">
        <v>30</v>
      </c>
      <c r="K1122" s="4">
        <v>36499</v>
      </c>
      <c r="L1122" s="4" t="s">
        <v>61</v>
      </c>
      <c r="M1122" s="6" t="s">
        <v>2849</v>
      </c>
      <c r="N1122" s="25" t="s">
        <v>20</v>
      </c>
      <c r="O1122" s="6" t="s">
        <v>23</v>
      </c>
      <c r="P1122" s="6" t="s">
        <v>23</v>
      </c>
      <c r="Q1122" s="9" t="s">
        <v>23</v>
      </c>
      <c r="R1122" s="54" t="s">
        <v>23</v>
      </c>
      <c r="S1122" s="9" t="s">
        <v>23</v>
      </c>
    </row>
    <row r="1123" spans="1:19" ht="15.75" customHeight="1">
      <c r="A1123" s="10">
        <v>206</v>
      </c>
      <c r="B1123" s="10">
        <v>2022</v>
      </c>
      <c r="C1123" s="6" t="s">
        <v>1824</v>
      </c>
      <c r="D1123" s="59">
        <v>44909</v>
      </c>
      <c r="E1123" s="6" t="s">
        <v>33</v>
      </c>
      <c r="F1123" s="6" t="s">
        <v>2074</v>
      </c>
      <c r="G1123" s="10">
        <v>2</v>
      </c>
      <c r="H1123" s="10">
        <v>11</v>
      </c>
      <c r="I1123" s="10">
        <v>5</v>
      </c>
      <c r="J1123" s="4" t="s">
        <v>30</v>
      </c>
      <c r="K1123" s="4">
        <v>36507</v>
      </c>
      <c r="L1123" s="4" t="s">
        <v>61</v>
      </c>
      <c r="M1123" s="6" t="s">
        <v>2850</v>
      </c>
      <c r="N1123" s="25" t="s">
        <v>20</v>
      </c>
      <c r="O1123" s="6" t="s">
        <v>23</v>
      </c>
      <c r="P1123" s="6" t="s">
        <v>23</v>
      </c>
      <c r="Q1123" s="9" t="s">
        <v>23</v>
      </c>
      <c r="R1123" s="54" t="s">
        <v>23</v>
      </c>
      <c r="S1123" s="9" t="s">
        <v>23</v>
      </c>
    </row>
    <row r="1124" spans="1:19" ht="15.75" customHeight="1">
      <c r="A1124" s="10">
        <v>206</v>
      </c>
      <c r="B1124" s="10">
        <v>2022</v>
      </c>
      <c r="C1124" s="6" t="s">
        <v>1824</v>
      </c>
      <c r="D1124" s="59">
        <v>44909</v>
      </c>
      <c r="E1124" s="6" t="s">
        <v>33</v>
      </c>
      <c r="F1124" s="6" t="s">
        <v>2074</v>
      </c>
      <c r="G1124" s="10">
        <v>2</v>
      </c>
      <c r="H1124" s="10">
        <v>11</v>
      </c>
      <c r="I1124" s="10">
        <v>6</v>
      </c>
      <c r="J1124" s="4" t="s">
        <v>30</v>
      </c>
      <c r="K1124" s="4">
        <v>36594</v>
      </c>
      <c r="L1124" s="4" t="s">
        <v>31</v>
      </c>
      <c r="M1124" s="6" t="s">
        <v>2882</v>
      </c>
      <c r="N1124" s="25" t="s">
        <v>20</v>
      </c>
      <c r="O1124" s="6" t="s">
        <v>23</v>
      </c>
      <c r="P1124" s="6" t="s">
        <v>23</v>
      </c>
      <c r="Q1124" s="9" t="s">
        <v>23</v>
      </c>
      <c r="R1124" s="54" t="s">
        <v>23</v>
      </c>
      <c r="S1124" s="9" t="s">
        <v>23</v>
      </c>
    </row>
    <row r="1125" spans="1:19" ht="15.75" customHeight="1">
      <c r="A1125" s="10">
        <v>206</v>
      </c>
      <c r="B1125" s="10">
        <v>2022</v>
      </c>
      <c r="C1125" s="6" t="s">
        <v>1824</v>
      </c>
      <c r="D1125" s="59">
        <v>44909</v>
      </c>
      <c r="E1125" s="6" t="s">
        <v>33</v>
      </c>
      <c r="F1125" s="6" t="s">
        <v>2074</v>
      </c>
      <c r="G1125" s="10">
        <v>2</v>
      </c>
      <c r="H1125" s="10">
        <v>11</v>
      </c>
      <c r="I1125" s="10">
        <v>7</v>
      </c>
      <c r="J1125" s="4" t="s">
        <v>30</v>
      </c>
      <c r="K1125" s="4">
        <v>36204</v>
      </c>
      <c r="L1125" s="4" t="s">
        <v>31</v>
      </c>
      <c r="M1125" s="6" t="s">
        <v>2831</v>
      </c>
      <c r="N1125" s="25" t="s">
        <v>33</v>
      </c>
      <c r="O1125" s="6" t="s">
        <v>23</v>
      </c>
      <c r="P1125" s="6" t="s">
        <v>23</v>
      </c>
      <c r="Q1125" s="9" t="s">
        <v>23</v>
      </c>
      <c r="R1125" s="54" t="s">
        <v>23</v>
      </c>
      <c r="S1125" s="9" t="s">
        <v>23</v>
      </c>
    </row>
    <row r="1126" spans="1:19" ht="15.75" customHeight="1">
      <c r="A1126" s="10">
        <v>206</v>
      </c>
      <c r="B1126" s="10">
        <v>2022</v>
      </c>
      <c r="C1126" s="6" t="s">
        <v>1824</v>
      </c>
      <c r="D1126" s="59">
        <v>44909</v>
      </c>
      <c r="E1126" s="6" t="s">
        <v>33</v>
      </c>
      <c r="F1126" s="6" t="s">
        <v>2074</v>
      </c>
      <c r="G1126" s="10">
        <v>2</v>
      </c>
      <c r="H1126" s="10">
        <v>11</v>
      </c>
      <c r="I1126" s="10">
        <v>8</v>
      </c>
      <c r="J1126" s="4" t="s">
        <v>30</v>
      </c>
      <c r="K1126" s="4">
        <v>36210</v>
      </c>
      <c r="L1126" s="4" t="s">
        <v>31</v>
      </c>
      <c r="M1126" s="6" t="s">
        <v>2792</v>
      </c>
      <c r="N1126" s="25" t="s">
        <v>20</v>
      </c>
      <c r="O1126" s="6" t="s">
        <v>23</v>
      </c>
      <c r="P1126" s="6" t="s">
        <v>23</v>
      </c>
      <c r="Q1126" s="9" t="s">
        <v>23</v>
      </c>
      <c r="R1126" s="54" t="s">
        <v>23</v>
      </c>
      <c r="S1126" s="9" t="s">
        <v>23</v>
      </c>
    </row>
    <row r="1127" spans="1:19" ht="15.75" customHeight="1">
      <c r="A1127" s="10">
        <v>206</v>
      </c>
      <c r="B1127" s="10">
        <v>2022</v>
      </c>
      <c r="C1127" s="6" t="s">
        <v>1824</v>
      </c>
      <c r="D1127" s="59">
        <v>44909</v>
      </c>
      <c r="E1127" s="6" t="s">
        <v>33</v>
      </c>
      <c r="F1127" s="6" t="s">
        <v>2074</v>
      </c>
      <c r="G1127" s="10">
        <v>2</v>
      </c>
      <c r="H1127" s="10">
        <v>11</v>
      </c>
      <c r="I1127" s="10">
        <v>9</v>
      </c>
      <c r="J1127" s="4" t="s">
        <v>30</v>
      </c>
      <c r="K1127" s="4">
        <v>36588</v>
      </c>
      <c r="L1127" s="4" t="s">
        <v>31</v>
      </c>
      <c r="M1127" s="6" t="s">
        <v>2874</v>
      </c>
      <c r="N1127" s="25" t="s">
        <v>20</v>
      </c>
      <c r="O1127" s="6" t="s">
        <v>23</v>
      </c>
      <c r="P1127" s="6" t="s">
        <v>23</v>
      </c>
      <c r="Q1127" s="9" t="s">
        <v>23</v>
      </c>
      <c r="R1127" s="54" t="s">
        <v>23</v>
      </c>
      <c r="S1127" s="9" t="s">
        <v>23</v>
      </c>
    </row>
    <row r="1128" spans="1:19" ht="15.75" customHeight="1">
      <c r="A1128" s="10">
        <v>206</v>
      </c>
      <c r="B1128" s="10">
        <v>2022</v>
      </c>
      <c r="C1128" s="6" t="s">
        <v>1824</v>
      </c>
      <c r="D1128" s="59">
        <v>44909</v>
      </c>
      <c r="E1128" s="6" t="s">
        <v>33</v>
      </c>
      <c r="F1128" s="6" t="s">
        <v>2074</v>
      </c>
      <c r="G1128" s="10">
        <v>2</v>
      </c>
      <c r="H1128" s="10">
        <v>11</v>
      </c>
      <c r="I1128" s="10">
        <v>10</v>
      </c>
      <c r="J1128" s="4" t="s">
        <v>30</v>
      </c>
      <c r="K1128" s="4">
        <v>36593</v>
      </c>
      <c r="L1128" s="4" t="s">
        <v>31</v>
      </c>
      <c r="M1128" s="6" t="s">
        <v>2878</v>
      </c>
      <c r="N1128" s="25" t="s">
        <v>20</v>
      </c>
      <c r="O1128" s="6" t="s">
        <v>23</v>
      </c>
      <c r="P1128" s="6" t="s">
        <v>23</v>
      </c>
      <c r="Q1128" s="9" t="s">
        <v>23</v>
      </c>
      <c r="R1128" s="54" t="s">
        <v>23</v>
      </c>
      <c r="S1128" s="9" t="s">
        <v>23</v>
      </c>
    </row>
    <row r="1129" spans="1:19" ht="15.75" customHeight="1">
      <c r="A1129" s="10">
        <v>206</v>
      </c>
      <c r="B1129" s="10">
        <v>2022</v>
      </c>
      <c r="C1129" s="6" t="s">
        <v>1824</v>
      </c>
      <c r="D1129" s="59">
        <v>44908</v>
      </c>
      <c r="E1129" s="6" t="s">
        <v>33</v>
      </c>
      <c r="F1129" s="6" t="s">
        <v>2074</v>
      </c>
      <c r="G1129" s="10">
        <v>2</v>
      </c>
      <c r="H1129" s="10">
        <v>11</v>
      </c>
      <c r="I1129" s="10">
        <v>11</v>
      </c>
      <c r="J1129" s="4" t="s">
        <v>30</v>
      </c>
      <c r="K1129" s="4">
        <v>36589</v>
      </c>
      <c r="L1129" s="4" t="s">
        <v>31</v>
      </c>
      <c r="M1129" s="6" t="s">
        <v>2883</v>
      </c>
      <c r="N1129" s="25" t="s">
        <v>33</v>
      </c>
      <c r="O1129" s="6" t="s">
        <v>23</v>
      </c>
      <c r="P1129" s="6" t="s">
        <v>23</v>
      </c>
      <c r="Q1129" s="9" t="s">
        <v>23</v>
      </c>
      <c r="R1129" s="54" t="s">
        <v>23</v>
      </c>
      <c r="S1129" s="9" t="s">
        <v>23</v>
      </c>
    </row>
    <row r="1130" spans="1:19" ht="15.75" customHeight="1">
      <c r="A1130" s="10">
        <v>207</v>
      </c>
      <c r="B1130" s="10">
        <v>2022</v>
      </c>
      <c r="C1130" s="6" t="s">
        <v>102</v>
      </c>
      <c r="D1130" s="59">
        <v>44910</v>
      </c>
      <c r="E1130" s="6" t="s">
        <v>20</v>
      </c>
      <c r="F1130" s="6" t="s">
        <v>47</v>
      </c>
      <c r="G1130" s="10">
        <v>1</v>
      </c>
      <c r="H1130" s="10">
        <v>1</v>
      </c>
      <c r="I1130" s="10">
        <v>1</v>
      </c>
      <c r="J1130" s="4" t="s">
        <v>30</v>
      </c>
      <c r="K1130" s="4">
        <v>36590</v>
      </c>
      <c r="L1130" s="4" t="s">
        <v>31</v>
      </c>
      <c r="M1130" s="6" t="s">
        <v>2889</v>
      </c>
      <c r="N1130" s="25" t="s">
        <v>33</v>
      </c>
      <c r="O1130" s="6" t="s">
        <v>33</v>
      </c>
      <c r="P1130" s="6">
        <v>1</v>
      </c>
      <c r="Q1130" s="32" t="s">
        <v>2890</v>
      </c>
      <c r="R1130" s="56" t="s">
        <v>2891</v>
      </c>
      <c r="S1130" s="32" t="s">
        <v>2892</v>
      </c>
    </row>
    <row r="1131" spans="1:19" ht="15.75" customHeight="1">
      <c r="A1131" s="10">
        <v>208</v>
      </c>
      <c r="B1131" s="10">
        <v>2022</v>
      </c>
      <c r="C1131" s="6" t="s">
        <v>1824</v>
      </c>
      <c r="D1131" s="59">
        <v>44916</v>
      </c>
      <c r="E1131" s="6" t="s">
        <v>33</v>
      </c>
      <c r="F1131" s="6" t="s">
        <v>2893</v>
      </c>
      <c r="G1131" s="18">
        <v>3</v>
      </c>
      <c r="H1131" s="10">
        <v>6</v>
      </c>
      <c r="I1131" s="10">
        <v>1</v>
      </c>
      <c r="J1131" s="4" t="s">
        <v>30</v>
      </c>
      <c r="K1131" s="4">
        <v>36594</v>
      </c>
      <c r="L1131" s="4" t="s">
        <v>31</v>
      </c>
      <c r="M1131" s="6" t="s">
        <v>2882</v>
      </c>
      <c r="N1131" s="25" t="s">
        <v>33</v>
      </c>
      <c r="O1131" s="6" t="s">
        <v>20</v>
      </c>
      <c r="P1131" s="6">
        <v>0</v>
      </c>
      <c r="Q1131" s="32" t="s">
        <v>2894</v>
      </c>
      <c r="R1131" s="56" t="s">
        <v>2895</v>
      </c>
      <c r="S1131" s="57" t="s">
        <v>2896</v>
      </c>
    </row>
    <row r="1132" spans="1:19" ht="15.75" customHeight="1">
      <c r="A1132" s="10">
        <v>208</v>
      </c>
      <c r="B1132" s="10">
        <v>2022</v>
      </c>
      <c r="C1132" s="6" t="s">
        <v>1824</v>
      </c>
      <c r="D1132" s="59">
        <v>44916</v>
      </c>
      <c r="E1132" s="6" t="s">
        <v>33</v>
      </c>
      <c r="F1132" s="6" t="s">
        <v>2893</v>
      </c>
      <c r="G1132" s="18">
        <v>3</v>
      </c>
      <c r="H1132" s="10">
        <v>6</v>
      </c>
      <c r="I1132" s="10">
        <v>2</v>
      </c>
      <c r="J1132" s="4" t="s">
        <v>30</v>
      </c>
      <c r="K1132" s="4">
        <v>36608</v>
      </c>
      <c r="L1132" s="4" t="s">
        <v>61</v>
      </c>
      <c r="M1132" s="6" t="s">
        <v>2897</v>
      </c>
      <c r="N1132" s="25" t="s">
        <v>33</v>
      </c>
      <c r="O1132" s="6" t="s">
        <v>23</v>
      </c>
      <c r="P1132" s="6" t="s">
        <v>23</v>
      </c>
      <c r="Q1132" s="9" t="s">
        <v>23</v>
      </c>
      <c r="R1132" s="54" t="s">
        <v>23</v>
      </c>
      <c r="S1132" s="9" t="s">
        <v>23</v>
      </c>
    </row>
    <row r="1133" spans="1:19" ht="15.75" customHeight="1">
      <c r="A1133" s="10">
        <v>208</v>
      </c>
      <c r="B1133" s="10">
        <v>2022</v>
      </c>
      <c r="C1133" s="6" t="s">
        <v>1824</v>
      </c>
      <c r="D1133" s="59">
        <v>44916</v>
      </c>
      <c r="E1133" s="6" t="s">
        <v>33</v>
      </c>
      <c r="F1133" s="6" t="s">
        <v>2893</v>
      </c>
      <c r="G1133" s="18">
        <v>3</v>
      </c>
      <c r="H1133" s="10">
        <v>6</v>
      </c>
      <c r="I1133" s="10">
        <v>3</v>
      </c>
      <c r="J1133" s="4" t="s">
        <v>30</v>
      </c>
      <c r="K1133" s="4">
        <v>36542</v>
      </c>
      <c r="L1133" s="4" t="s">
        <v>31</v>
      </c>
      <c r="M1133" s="6" t="s">
        <v>2847</v>
      </c>
      <c r="N1133" s="25" t="s">
        <v>33</v>
      </c>
      <c r="O1133" s="6" t="s">
        <v>23</v>
      </c>
      <c r="P1133" s="6" t="s">
        <v>23</v>
      </c>
      <c r="Q1133" s="9" t="s">
        <v>23</v>
      </c>
      <c r="R1133" s="54" t="s">
        <v>23</v>
      </c>
      <c r="S1133" s="9" t="s">
        <v>23</v>
      </c>
    </row>
    <row r="1134" spans="1:19" ht="15.75" customHeight="1">
      <c r="A1134" s="10">
        <v>208</v>
      </c>
      <c r="B1134" s="10">
        <v>2022</v>
      </c>
      <c r="C1134" s="6" t="s">
        <v>1824</v>
      </c>
      <c r="D1134" s="59">
        <v>44916</v>
      </c>
      <c r="E1134" s="6" t="s">
        <v>33</v>
      </c>
      <c r="F1134" s="6" t="s">
        <v>2893</v>
      </c>
      <c r="G1134" s="18">
        <v>3</v>
      </c>
      <c r="H1134" s="10">
        <v>6</v>
      </c>
      <c r="I1134" s="10">
        <v>4</v>
      </c>
      <c r="J1134" s="4" t="s">
        <v>30</v>
      </c>
      <c r="K1134" s="4">
        <v>36449</v>
      </c>
      <c r="L1134" s="4" t="s">
        <v>61</v>
      </c>
      <c r="M1134" s="6" t="s">
        <v>2848</v>
      </c>
      <c r="N1134" s="25" t="s">
        <v>33</v>
      </c>
      <c r="O1134" s="6" t="s">
        <v>23</v>
      </c>
      <c r="P1134" s="6" t="s">
        <v>23</v>
      </c>
      <c r="Q1134" s="9" t="s">
        <v>23</v>
      </c>
      <c r="R1134" s="54" t="s">
        <v>23</v>
      </c>
      <c r="S1134" s="9" t="s">
        <v>23</v>
      </c>
    </row>
    <row r="1135" spans="1:19" ht="15.75" customHeight="1">
      <c r="A1135" s="10">
        <v>208</v>
      </c>
      <c r="B1135" s="10">
        <v>2022</v>
      </c>
      <c r="C1135" s="6" t="s">
        <v>1824</v>
      </c>
      <c r="D1135" s="59">
        <v>44916</v>
      </c>
      <c r="E1135" s="6" t="s">
        <v>33</v>
      </c>
      <c r="F1135" s="6" t="s">
        <v>2893</v>
      </c>
      <c r="G1135" s="18">
        <v>3</v>
      </c>
      <c r="H1135" s="10">
        <v>6</v>
      </c>
      <c r="I1135" s="10">
        <v>5</v>
      </c>
      <c r="J1135" s="4" t="s">
        <v>30</v>
      </c>
      <c r="K1135" s="4">
        <v>36499</v>
      </c>
      <c r="L1135" s="4" t="s">
        <v>61</v>
      </c>
      <c r="M1135" s="6" t="s">
        <v>2849</v>
      </c>
      <c r="N1135" s="25" t="s">
        <v>33</v>
      </c>
      <c r="O1135" s="6" t="s">
        <v>23</v>
      </c>
      <c r="P1135" s="6" t="s">
        <v>23</v>
      </c>
      <c r="Q1135" s="9" t="s">
        <v>23</v>
      </c>
      <c r="R1135" s="54" t="s">
        <v>23</v>
      </c>
      <c r="S1135" s="9" t="s">
        <v>23</v>
      </c>
    </row>
    <row r="1136" spans="1:19" ht="15.75" customHeight="1">
      <c r="A1136" s="10">
        <v>208</v>
      </c>
      <c r="B1136" s="10">
        <v>2022</v>
      </c>
      <c r="C1136" s="6" t="s">
        <v>1824</v>
      </c>
      <c r="D1136" s="59">
        <v>44916</v>
      </c>
      <c r="E1136" s="6" t="s">
        <v>33</v>
      </c>
      <c r="F1136" s="6" t="s">
        <v>2893</v>
      </c>
      <c r="G1136" s="18">
        <v>3</v>
      </c>
      <c r="H1136" s="10">
        <v>6</v>
      </c>
      <c r="I1136" s="10">
        <v>6</v>
      </c>
      <c r="J1136" s="4" t="s">
        <v>30</v>
      </c>
      <c r="K1136" s="4">
        <v>36507</v>
      </c>
      <c r="L1136" s="4" t="s">
        <v>61</v>
      </c>
      <c r="M1136" s="6" t="s">
        <v>2850</v>
      </c>
      <c r="N1136" s="25" t="s">
        <v>33</v>
      </c>
      <c r="O1136" s="6" t="s">
        <v>23</v>
      </c>
      <c r="P1136" s="6" t="s">
        <v>23</v>
      </c>
      <c r="Q1136" s="9" t="s">
        <v>23</v>
      </c>
      <c r="R1136" s="54" t="s">
        <v>23</v>
      </c>
      <c r="S1136" s="9" t="s">
        <v>23</v>
      </c>
    </row>
    <row r="1137" spans="1:19" ht="15.75" customHeight="1">
      <c r="A1137" s="10">
        <v>209</v>
      </c>
      <c r="B1137" s="10">
        <v>2022</v>
      </c>
      <c r="C1137" s="6" t="s">
        <v>102</v>
      </c>
      <c r="D1137" s="59">
        <v>44922</v>
      </c>
      <c r="E1137" s="6" t="s">
        <v>20</v>
      </c>
      <c r="F1137" s="6" t="s">
        <v>47</v>
      </c>
      <c r="G1137" s="10">
        <v>1</v>
      </c>
      <c r="H1137" s="10">
        <v>1</v>
      </c>
      <c r="I1137" s="10">
        <v>1</v>
      </c>
      <c r="J1137" s="4" t="s">
        <v>30</v>
      </c>
      <c r="K1137" s="4">
        <v>36591</v>
      </c>
      <c r="L1137" s="4" t="s">
        <v>31</v>
      </c>
      <c r="M1137" s="6" t="s">
        <v>2898</v>
      </c>
      <c r="N1137" s="25" t="s">
        <v>20</v>
      </c>
      <c r="O1137" s="6" t="s">
        <v>33</v>
      </c>
      <c r="P1137" s="6">
        <v>1</v>
      </c>
      <c r="Q1137" s="32" t="s">
        <v>2899</v>
      </c>
      <c r="R1137" s="54" t="s">
        <v>23</v>
      </c>
      <c r="S1137" s="32" t="s">
        <v>2900</v>
      </c>
    </row>
    <row r="1138" spans="1:19" ht="15.75" customHeight="1">
      <c r="A1138" s="10">
        <v>210</v>
      </c>
      <c r="B1138" s="10">
        <v>2022</v>
      </c>
      <c r="C1138" s="6" t="s">
        <v>102</v>
      </c>
      <c r="D1138" s="59">
        <v>44923</v>
      </c>
      <c r="E1138" s="6" t="s">
        <v>20</v>
      </c>
      <c r="F1138" s="6" t="s">
        <v>53</v>
      </c>
      <c r="G1138" s="10">
        <v>1</v>
      </c>
      <c r="H1138" s="10">
        <v>2</v>
      </c>
      <c r="I1138" s="10">
        <v>1</v>
      </c>
      <c r="J1138" s="4" t="s">
        <v>30</v>
      </c>
      <c r="K1138" s="4">
        <v>36590</v>
      </c>
      <c r="L1138" s="4" t="s">
        <v>31</v>
      </c>
      <c r="M1138" s="6" t="s">
        <v>2901</v>
      </c>
      <c r="N1138" s="25" t="s">
        <v>20</v>
      </c>
      <c r="O1138" s="6" t="s">
        <v>20</v>
      </c>
      <c r="P1138" s="6">
        <v>0</v>
      </c>
      <c r="Q1138" s="32" t="s">
        <v>2902</v>
      </c>
      <c r="R1138" s="56" t="s">
        <v>2903</v>
      </c>
      <c r="S1138" s="32" t="s">
        <v>2904</v>
      </c>
    </row>
    <row r="1139" spans="1:19" ht="15.75" customHeight="1">
      <c r="A1139" s="10">
        <v>210</v>
      </c>
      <c r="B1139" s="10">
        <v>2022</v>
      </c>
      <c r="C1139" s="6" t="s">
        <v>102</v>
      </c>
      <c r="D1139" s="59">
        <v>44923</v>
      </c>
      <c r="E1139" s="6" t="s">
        <v>20</v>
      </c>
      <c r="F1139" s="6" t="s">
        <v>53</v>
      </c>
      <c r="G1139" s="10">
        <v>1</v>
      </c>
      <c r="H1139" s="10">
        <v>2</v>
      </c>
      <c r="I1139" s="10">
        <v>2</v>
      </c>
      <c r="J1139" s="4" t="s">
        <v>30</v>
      </c>
      <c r="K1139" s="4">
        <v>36591</v>
      </c>
      <c r="L1139" s="4" t="s">
        <v>31</v>
      </c>
      <c r="M1139" s="6" t="s">
        <v>2905</v>
      </c>
      <c r="N1139" s="25" t="s">
        <v>33</v>
      </c>
      <c r="O1139" s="6" t="s">
        <v>23</v>
      </c>
      <c r="P1139" s="6" t="s">
        <v>23</v>
      </c>
      <c r="Q1139" s="9" t="s">
        <v>23</v>
      </c>
      <c r="R1139" s="54" t="s">
        <v>23</v>
      </c>
      <c r="S1139" s="9" t="s">
        <v>23</v>
      </c>
    </row>
    <row r="1140" spans="1:19" ht="15.75" customHeight="1">
      <c r="A1140" s="10">
        <v>1</v>
      </c>
      <c r="B1140" s="10">
        <v>2023</v>
      </c>
      <c r="C1140" s="6" t="s">
        <v>102</v>
      </c>
      <c r="D1140" s="48">
        <v>44964</v>
      </c>
      <c r="E1140" s="6" t="s">
        <v>20</v>
      </c>
      <c r="F1140" s="6" t="s">
        <v>53</v>
      </c>
      <c r="G1140" s="10">
        <v>1</v>
      </c>
      <c r="H1140" s="10">
        <v>1</v>
      </c>
      <c r="I1140" s="10">
        <v>1</v>
      </c>
      <c r="J1140" s="4" t="s">
        <v>30</v>
      </c>
      <c r="K1140" s="4">
        <v>36215</v>
      </c>
      <c r="L1140" s="4" t="s">
        <v>31</v>
      </c>
      <c r="M1140" s="6" t="s">
        <v>2906</v>
      </c>
      <c r="N1140" s="25" t="s">
        <v>20</v>
      </c>
      <c r="O1140" s="6" t="s">
        <v>20</v>
      </c>
      <c r="P1140" s="6">
        <v>0</v>
      </c>
      <c r="Q1140" s="32" t="s">
        <v>2907</v>
      </c>
      <c r="R1140" s="56" t="s">
        <v>2908</v>
      </c>
      <c r="S1140" s="32" t="s">
        <v>2909</v>
      </c>
    </row>
    <row r="1141" spans="1:19" ht="15.75" customHeight="1">
      <c r="A1141" s="10">
        <v>2</v>
      </c>
      <c r="B1141" s="10">
        <v>2023</v>
      </c>
      <c r="C1141" s="6" t="s">
        <v>102</v>
      </c>
      <c r="D1141" s="48">
        <v>44964</v>
      </c>
      <c r="E1141" s="6" t="s">
        <v>20</v>
      </c>
      <c r="F1141" s="6" t="s">
        <v>37</v>
      </c>
      <c r="G1141" s="10">
        <v>1</v>
      </c>
      <c r="H1141" s="10">
        <v>4</v>
      </c>
      <c r="I1141" s="10">
        <v>1</v>
      </c>
      <c r="J1141" s="4" t="s">
        <v>64</v>
      </c>
      <c r="K1141" s="4">
        <v>36660</v>
      </c>
      <c r="L1141" s="4" t="s">
        <v>31</v>
      </c>
      <c r="M1141" s="6" t="s">
        <v>2910</v>
      </c>
      <c r="N1141" s="25" t="s">
        <v>33</v>
      </c>
      <c r="O1141" s="6" t="s">
        <v>33</v>
      </c>
      <c r="P1141" s="6">
        <v>3</v>
      </c>
      <c r="Q1141" s="32" t="s">
        <v>2911</v>
      </c>
      <c r="R1141" s="56" t="s">
        <v>2912</v>
      </c>
      <c r="S1141" s="32" t="s">
        <v>2913</v>
      </c>
    </row>
    <row r="1142" spans="1:19" ht="15.75" customHeight="1">
      <c r="A1142" s="10">
        <v>2</v>
      </c>
      <c r="B1142" s="10">
        <v>2023</v>
      </c>
      <c r="C1142" s="6" t="s">
        <v>102</v>
      </c>
      <c r="D1142" s="48">
        <v>44964</v>
      </c>
      <c r="E1142" s="6" t="s">
        <v>20</v>
      </c>
      <c r="F1142" s="6" t="s">
        <v>37</v>
      </c>
      <c r="G1142" s="10">
        <v>1</v>
      </c>
      <c r="H1142" s="10">
        <v>4</v>
      </c>
      <c r="I1142" s="10">
        <v>2</v>
      </c>
      <c r="J1142" s="4" t="s">
        <v>64</v>
      </c>
      <c r="K1142" s="4">
        <v>36661</v>
      </c>
      <c r="L1142" s="4" t="s">
        <v>31</v>
      </c>
      <c r="M1142" s="6" t="s">
        <v>2914</v>
      </c>
      <c r="N1142" s="25" t="s">
        <v>33</v>
      </c>
      <c r="O1142" s="6" t="s">
        <v>23</v>
      </c>
      <c r="P1142" s="6" t="s">
        <v>23</v>
      </c>
      <c r="Q1142" s="9" t="s">
        <v>23</v>
      </c>
      <c r="R1142" s="54" t="s">
        <v>23</v>
      </c>
      <c r="S1142" s="9" t="s">
        <v>23</v>
      </c>
    </row>
    <row r="1143" spans="1:19" ht="15.75" customHeight="1">
      <c r="A1143" s="10">
        <v>2</v>
      </c>
      <c r="B1143" s="10">
        <v>2023</v>
      </c>
      <c r="C1143" s="6" t="s">
        <v>102</v>
      </c>
      <c r="D1143" s="48">
        <v>44964</v>
      </c>
      <c r="E1143" s="6" t="s">
        <v>20</v>
      </c>
      <c r="F1143" s="6" t="s">
        <v>37</v>
      </c>
      <c r="G1143" s="10">
        <v>1</v>
      </c>
      <c r="H1143" s="10">
        <v>4</v>
      </c>
      <c r="I1143" s="10">
        <v>3</v>
      </c>
      <c r="J1143" s="4" t="s">
        <v>64</v>
      </c>
      <c r="K1143" s="4">
        <v>36663</v>
      </c>
      <c r="L1143" s="4" t="s">
        <v>31</v>
      </c>
      <c r="M1143" s="6" t="s">
        <v>2915</v>
      </c>
      <c r="N1143" s="25" t="s">
        <v>33</v>
      </c>
      <c r="O1143" s="6" t="s">
        <v>23</v>
      </c>
      <c r="P1143" s="6" t="s">
        <v>23</v>
      </c>
      <c r="Q1143" s="9" t="s">
        <v>23</v>
      </c>
      <c r="R1143" s="54" t="s">
        <v>23</v>
      </c>
      <c r="S1143" s="9" t="s">
        <v>23</v>
      </c>
    </row>
    <row r="1144" spans="1:19" ht="15.75" customHeight="1">
      <c r="A1144" s="10">
        <v>2</v>
      </c>
      <c r="B1144" s="10">
        <v>2023</v>
      </c>
      <c r="C1144" s="6" t="s">
        <v>102</v>
      </c>
      <c r="D1144" s="48">
        <v>44964</v>
      </c>
      <c r="E1144" s="6" t="s">
        <v>20</v>
      </c>
      <c r="F1144" s="6" t="s">
        <v>37</v>
      </c>
      <c r="G1144" s="10">
        <v>1</v>
      </c>
      <c r="H1144" s="10">
        <v>4</v>
      </c>
      <c r="I1144" s="10">
        <v>4</v>
      </c>
      <c r="J1144" s="4" t="s">
        <v>64</v>
      </c>
      <c r="K1144" s="4">
        <v>36728</v>
      </c>
      <c r="L1144" s="4" t="s">
        <v>31</v>
      </c>
      <c r="M1144" s="6" t="s">
        <v>2916</v>
      </c>
      <c r="N1144" s="25" t="s">
        <v>33</v>
      </c>
      <c r="O1144" s="6" t="s">
        <v>23</v>
      </c>
      <c r="P1144" s="6" t="s">
        <v>23</v>
      </c>
      <c r="Q1144" s="9" t="s">
        <v>23</v>
      </c>
      <c r="R1144" s="54" t="s">
        <v>23</v>
      </c>
      <c r="S1144" s="9" t="s">
        <v>23</v>
      </c>
    </row>
    <row r="1145" spans="1:19" ht="15.75" customHeight="1">
      <c r="A1145" s="10">
        <v>3</v>
      </c>
      <c r="B1145" s="10">
        <v>2023</v>
      </c>
      <c r="C1145" s="6" t="s">
        <v>102</v>
      </c>
      <c r="D1145" s="48">
        <v>44964</v>
      </c>
      <c r="E1145" s="6" t="s">
        <v>20</v>
      </c>
      <c r="F1145" s="6" t="s">
        <v>47</v>
      </c>
      <c r="G1145" s="10">
        <v>1</v>
      </c>
      <c r="H1145" s="10">
        <v>1</v>
      </c>
      <c r="I1145" s="10">
        <v>1</v>
      </c>
      <c r="J1145" s="4" t="s">
        <v>30</v>
      </c>
      <c r="K1145" s="4">
        <v>36730</v>
      </c>
      <c r="L1145" s="4" t="s">
        <v>31</v>
      </c>
      <c r="M1145" s="6" t="s">
        <v>2917</v>
      </c>
      <c r="N1145" s="25" t="s">
        <v>33</v>
      </c>
      <c r="O1145" s="6" t="s">
        <v>33</v>
      </c>
      <c r="P1145" s="6">
        <v>1</v>
      </c>
      <c r="Q1145" s="32" t="s">
        <v>2918</v>
      </c>
      <c r="R1145" s="56" t="s">
        <v>2919</v>
      </c>
      <c r="S1145" s="32" t="s">
        <v>2920</v>
      </c>
    </row>
    <row r="1146" spans="1:19" ht="15.75" customHeight="1">
      <c r="A1146" s="10">
        <v>4</v>
      </c>
      <c r="B1146" s="10">
        <v>2023</v>
      </c>
      <c r="C1146" s="6" t="s">
        <v>102</v>
      </c>
      <c r="D1146" s="48">
        <v>44971</v>
      </c>
      <c r="E1146" s="6" t="s">
        <v>20</v>
      </c>
      <c r="F1146" s="6" t="s">
        <v>55</v>
      </c>
      <c r="G1146" s="10">
        <v>1</v>
      </c>
      <c r="H1146" s="10">
        <v>2</v>
      </c>
      <c r="I1146" s="10">
        <v>1</v>
      </c>
      <c r="J1146" s="4" t="s">
        <v>23</v>
      </c>
      <c r="K1146" s="4" t="s">
        <v>23</v>
      </c>
      <c r="L1146" s="4" t="s">
        <v>23</v>
      </c>
      <c r="M1146" s="6" t="s">
        <v>2921</v>
      </c>
      <c r="N1146" s="25" t="s">
        <v>23</v>
      </c>
      <c r="O1146" s="6" t="s">
        <v>20</v>
      </c>
      <c r="P1146" s="6">
        <v>0</v>
      </c>
      <c r="Q1146" s="32" t="s">
        <v>2922</v>
      </c>
      <c r="R1146" s="56" t="s">
        <v>2923</v>
      </c>
      <c r="S1146" s="32" t="s">
        <v>2924</v>
      </c>
    </row>
    <row r="1147" spans="1:19" ht="15.75" customHeight="1">
      <c r="A1147" s="10">
        <v>4</v>
      </c>
      <c r="B1147" s="10">
        <v>2023</v>
      </c>
      <c r="C1147" s="6" t="s">
        <v>102</v>
      </c>
      <c r="D1147" s="48">
        <v>44971</v>
      </c>
      <c r="E1147" s="6" t="s">
        <v>20</v>
      </c>
      <c r="F1147" s="6" t="s">
        <v>55</v>
      </c>
      <c r="G1147" s="10">
        <v>1</v>
      </c>
      <c r="H1147" s="10">
        <v>2</v>
      </c>
      <c r="I1147" s="10">
        <v>2</v>
      </c>
      <c r="J1147" s="4" t="s">
        <v>30</v>
      </c>
      <c r="K1147" s="4">
        <v>36793</v>
      </c>
      <c r="L1147" s="4" t="s">
        <v>31</v>
      </c>
      <c r="M1147" s="6" t="s">
        <v>2925</v>
      </c>
      <c r="N1147" s="25" t="s">
        <v>33</v>
      </c>
      <c r="O1147" s="6" t="s">
        <v>23</v>
      </c>
      <c r="P1147" s="6" t="s">
        <v>23</v>
      </c>
      <c r="Q1147" s="9" t="s">
        <v>23</v>
      </c>
      <c r="R1147" s="54" t="s">
        <v>23</v>
      </c>
      <c r="S1147" s="9" t="s">
        <v>23</v>
      </c>
    </row>
    <row r="1148" spans="1:19" ht="15.75" customHeight="1">
      <c r="A1148" s="10">
        <v>5</v>
      </c>
      <c r="B1148" s="10">
        <v>2023</v>
      </c>
      <c r="C1148" s="6" t="s">
        <v>102</v>
      </c>
      <c r="D1148" s="48">
        <v>44971</v>
      </c>
      <c r="E1148" s="6" t="s">
        <v>20</v>
      </c>
      <c r="F1148" s="6" t="s">
        <v>37</v>
      </c>
      <c r="G1148" s="10">
        <v>1</v>
      </c>
      <c r="H1148" s="10">
        <v>2</v>
      </c>
      <c r="I1148" s="10">
        <v>1</v>
      </c>
      <c r="J1148" s="4" t="s">
        <v>64</v>
      </c>
      <c r="K1148" s="4">
        <v>36727</v>
      </c>
      <c r="L1148" s="4" t="s">
        <v>31</v>
      </c>
      <c r="M1148" s="6" t="s">
        <v>2926</v>
      </c>
      <c r="N1148" s="25" t="s">
        <v>33</v>
      </c>
      <c r="O1148" s="6" t="s">
        <v>33</v>
      </c>
      <c r="P1148" s="6">
        <v>2</v>
      </c>
      <c r="Q1148" s="32" t="s">
        <v>2927</v>
      </c>
      <c r="R1148" s="56" t="s">
        <v>2928</v>
      </c>
      <c r="S1148" s="32" t="s">
        <v>2929</v>
      </c>
    </row>
    <row r="1149" spans="1:19" ht="15.75" customHeight="1">
      <c r="A1149" s="10">
        <v>5</v>
      </c>
      <c r="B1149" s="10">
        <v>2023</v>
      </c>
      <c r="C1149" s="6" t="s">
        <v>102</v>
      </c>
      <c r="D1149" s="48">
        <v>44971</v>
      </c>
      <c r="E1149" s="6" t="s">
        <v>20</v>
      </c>
      <c r="F1149" s="6" t="s">
        <v>37</v>
      </c>
      <c r="G1149" s="10">
        <v>1</v>
      </c>
      <c r="H1149" s="10">
        <v>2</v>
      </c>
      <c r="I1149" s="10">
        <v>2</v>
      </c>
      <c r="J1149" s="4" t="s">
        <v>64</v>
      </c>
      <c r="K1149" s="4">
        <v>36729</v>
      </c>
      <c r="L1149" s="4" t="s">
        <v>31</v>
      </c>
      <c r="M1149" s="6" t="s">
        <v>2930</v>
      </c>
      <c r="N1149" s="25" t="s">
        <v>33</v>
      </c>
      <c r="O1149" s="6" t="s">
        <v>23</v>
      </c>
      <c r="P1149" s="6" t="s">
        <v>23</v>
      </c>
      <c r="Q1149" s="9" t="s">
        <v>23</v>
      </c>
      <c r="R1149" s="54" t="s">
        <v>23</v>
      </c>
      <c r="S1149" s="9" t="s">
        <v>23</v>
      </c>
    </row>
    <row r="1150" spans="1:19" ht="15.75" customHeight="1">
      <c r="A1150" s="10">
        <v>6</v>
      </c>
      <c r="B1150" s="10">
        <v>2023</v>
      </c>
      <c r="C1150" s="6" t="s">
        <v>102</v>
      </c>
      <c r="D1150" s="48">
        <v>44971</v>
      </c>
      <c r="E1150" s="6" t="s">
        <v>20</v>
      </c>
      <c r="F1150" s="6" t="s">
        <v>47</v>
      </c>
      <c r="G1150" s="10">
        <v>1</v>
      </c>
      <c r="H1150" s="10">
        <v>1</v>
      </c>
      <c r="I1150" s="10">
        <v>1</v>
      </c>
      <c r="J1150" s="4" t="s">
        <v>30</v>
      </c>
      <c r="K1150" s="4">
        <v>36735</v>
      </c>
      <c r="L1150" s="4" t="s">
        <v>31</v>
      </c>
      <c r="M1150" s="6" t="s">
        <v>2931</v>
      </c>
      <c r="N1150" s="25" t="s">
        <v>33</v>
      </c>
      <c r="O1150" s="6" t="s">
        <v>33</v>
      </c>
      <c r="P1150" s="6">
        <v>1</v>
      </c>
      <c r="Q1150" s="32" t="s">
        <v>2918</v>
      </c>
      <c r="R1150" s="56" t="s">
        <v>2932</v>
      </c>
      <c r="S1150" s="32" t="s">
        <v>2933</v>
      </c>
    </row>
    <row r="1151" spans="1:19" ht="15.75" customHeight="1">
      <c r="A1151" s="10">
        <v>7</v>
      </c>
      <c r="B1151" s="10">
        <v>2023</v>
      </c>
      <c r="C1151" s="6" t="s">
        <v>102</v>
      </c>
      <c r="D1151" s="48">
        <v>44973</v>
      </c>
      <c r="E1151" s="6" t="s">
        <v>20</v>
      </c>
      <c r="F1151" s="6" t="s">
        <v>43</v>
      </c>
      <c r="G1151" s="10">
        <v>1</v>
      </c>
      <c r="H1151" s="10">
        <v>1</v>
      </c>
      <c r="I1151" s="10">
        <v>1</v>
      </c>
      <c r="J1151" s="4" t="s">
        <v>23</v>
      </c>
      <c r="K1151" s="4" t="s">
        <v>23</v>
      </c>
      <c r="L1151" s="4" t="s">
        <v>23</v>
      </c>
      <c r="M1151" s="6" t="s">
        <v>2934</v>
      </c>
      <c r="N1151" s="25" t="s">
        <v>23</v>
      </c>
      <c r="O1151" s="6" t="s">
        <v>20</v>
      </c>
      <c r="P1151" s="6">
        <v>0</v>
      </c>
      <c r="Q1151" s="32" t="s">
        <v>2935</v>
      </c>
      <c r="R1151" s="56" t="s">
        <v>2936</v>
      </c>
      <c r="S1151" s="32" t="s">
        <v>2937</v>
      </c>
    </row>
    <row r="1152" spans="1:19" ht="15.75" customHeight="1">
      <c r="A1152" s="10">
        <v>8</v>
      </c>
      <c r="B1152" s="10">
        <v>2023</v>
      </c>
      <c r="C1152" s="6" t="s">
        <v>102</v>
      </c>
      <c r="D1152" s="48">
        <v>44973</v>
      </c>
      <c r="E1152" s="6" t="s">
        <v>20</v>
      </c>
      <c r="F1152" s="6" t="s">
        <v>47</v>
      </c>
      <c r="G1152" s="10">
        <v>1</v>
      </c>
      <c r="H1152" s="10">
        <v>1</v>
      </c>
      <c r="I1152" s="10">
        <v>1</v>
      </c>
      <c r="J1152" s="4" t="s">
        <v>30</v>
      </c>
      <c r="K1152" s="4">
        <v>36791</v>
      </c>
      <c r="L1152" s="4" t="s">
        <v>31</v>
      </c>
      <c r="M1152" s="6" t="s">
        <v>2938</v>
      </c>
      <c r="N1152" s="25" t="s">
        <v>33</v>
      </c>
      <c r="O1152" s="6" t="s">
        <v>33</v>
      </c>
      <c r="P1152" s="6">
        <v>1</v>
      </c>
      <c r="Q1152" s="32" t="s">
        <v>2939</v>
      </c>
      <c r="R1152" s="54" t="s">
        <v>23</v>
      </c>
      <c r="S1152" s="32" t="s">
        <v>2940</v>
      </c>
    </row>
    <row r="1153" spans="1:19" ht="15.75" customHeight="1">
      <c r="A1153" s="10">
        <v>9</v>
      </c>
      <c r="B1153" s="10">
        <v>2023</v>
      </c>
      <c r="C1153" s="6" t="s">
        <v>102</v>
      </c>
      <c r="D1153" s="48">
        <v>44979</v>
      </c>
      <c r="E1153" s="6" t="s">
        <v>20</v>
      </c>
      <c r="F1153" s="6" t="s">
        <v>53</v>
      </c>
      <c r="G1153" s="10">
        <v>1</v>
      </c>
      <c r="H1153" s="10">
        <v>3</v>
      </c>
      <c r="I1153" s="10">
        <v>1</v>
      </c>
      <c r="J1153" s="4" t="s">
        <v>30</v>
      </c>
      <c r="K1153" s="4">
        <v>36793</v>
      </c>
      <c r="L1153" s="4" t="s">
        <v>31</v>
      </c>
      <c r="M1153" s="6" t="s">
        <v>2925</v>
      </c>
      <c r="N1153" s="25" t="s">
        <v>20</v>
      </c>
      <c r="O1153" s="6" t="s">
        <v>20</v>
      </c>
      <c r="P1153" s="6">
        <v>0</v>
      </c>
      <c r="Q1153" s="32" t="s">
        <v>2941</v>
      </c>
      <c r="R1153" s="56" t="s">
        <v>2942</v>
      </c>
      <c r="S1153" s="32" t="s">
        <v>2943</v>
      </c>
    </row>
    <row r="1154" spans="1:19" ht="15.75" customHeight="1">
      <c r="A1154" s="10">
        <v>9</v>
      </c>
      <c r="B1154" s="10">
        <v>2023</v>
      </c>
      <c r="C1154" s="6" t="s">
        <v>102</v>
      </c>
      <c r="D1154" s="48">
        <v>44979</v>
      </c>
      <c r="E1154" s="6" t="s">
        <v>20</v>
      </c>
      <c r="F1154" s="6" t="s">
        <v>53</v>
      </c>
      <c r="G1154" s="10">
        <v>1</v>
      </c>
      <c r="H1154" s="10">
        <v>3</v>
      </c>
      <c r="I1154" s="10">
        <v>2</v>
      </c>
      <c r="J1154" s="4" t="s">
        <v>30</v>
      </c>
      <c r="K1154" s="4">
        <v>36735</v>
      </c>
      <c r="L1154" s="4" t="s">
        <v>31</v>
      </c>
      <c r="M1154" s="6" t="s">
        <v>2944</v>
      </c>
      <c r="N1154" s="25" t="s">
        <v>20</v>
      </c>
      <c r="O1154" s="6" t="s">
        <v>23</v>
      </c>
      <c r="P1154" s="6" t="s">
        <v>23</v>
      </c>
      <c r="Q1154" s="9" t="s">
        <v>23</v>
      </c>
      <c r="R1154" s="54" t="s">
        <v>23</v>
      </c>
      <c r="S1154" s="9" t="s">
        <v>23</v>
      </c>
    </row>
    <row r="1155" spans="1:19" ht="15.75" customHeight="1">
      <c r="A1155" s="10">
        <v>9</v>
      </c>
      <c r="B1155" s="10">
        <v>2023</v>
      </c>
      <c r="C1155" s="6" t="s">
        <v>102</v>
      </c>
      <c r="D1155" s="48">
        <v>44979</v>
      </c>
      <c r="E1155" s="6" t="s">
        <v>20</v>
      </c>
      <c r="F1155" s="6" t="s">
        <v>53</v>
      </c>
      <c r="G1155" s="10">
        <v>1</v>
      </c>
      <c r="H1155" s="10">
        <v>3</v>
      </c>
      <c r="I1155" s="10">
        <v>3</v>
      </c>
      <c r="J1155" s="4" t="s">
        <v>30</v>
      </c>
      <c r="K1155" s="4">
        <v>36791</v>
      </c>
      <c r="L1155" s="4" t="s">
        <v>31</v>
      </c>
      <c r="M1155" s="6" t="s">
        <v>2945</v>
      </c>
      <c r="N1155" s="25" t="s">
        <v>20</v>
      </c>
      <c r="O1155" s="6" t="s">
        <v>23</v>
      </c>
      <c r="P1155" s="6" t="s">
        <v>23</v>
      </c>
      <c r="Q1155" s="9" t="s">
        <v>23</v>
      </c>
      <c r="R1155" s="54" t="s">
        <v>23</v>
      </c>
      <c r="S1155" s="9" t="s">
        <v>23</v>
      </c>
    </row>
    <row r="1156" spans="1:19" ht="15.75" customHeight="1">
      <c r="A1156" s="10">
        <v>10</v>
      </c>
      <c r="B1156" s="10">
        <v>2023</v>
      </c>
      <c r="C1156" s="6" t="s">
        <v>19</v>
      </c>
      <c r="D1156" s="48">
        <v>44980</v>
      </c>
      <c r="E1156" s="6" t="s">
        <v>33</v>
      </c>
      <c r="F1156" s="6" t="s">
        <v>2946</v>
      </c>
      <c r="G1156" s="10">
        <v>4</v>
      </c>
      <c r="H1156" s="10">
        <v>3</v>
      </c>
      <c r="I1156" s="10">
        <v>1</v>
      </c>
      <c r="J1156" s="4" t="s">
        <v>23</v>
      </c>
      <c r="K1156" s="4" t="s">
        <v>23</v>
      </c>
      <c r="L1156" s="4" t="s">
        <v>23</v>
      </c>
      <c r="M1156" s="6" t="s">
        <v>2947</v>
      </c>
      <c r="N1156" s="25" t="s">
        <v>23</v>
      </c>
      <c r="O1156" s="6" t="s">
        <v>20</v>
      </c>
      <c r="P1156" s="6">
        <v>0</v>
      </c>
      <c r="Q1156" s="9" t="s">
        <v>23</v>
      </c>
      <c r="R1156" s="54" t="s">
        <v>23</v>
      </c>
      <c r="S1156" s="34" t="s">
        <v>2948</v>
      </c>
    </row>
    <row r="1157" spans="1:19" ht="15.75" customHeight="1">
      <c r="A1157" s="10">
        <v>10</v>
      </c>
      <c r="B1157" s="10">
        <v>2023</v>
      </c>
      <c r="C1157" s="6" t="s">
        <v>19</v>
      </c>
      <c r="D1157" s="48">
        <v>44980</v>
      </c>
      <c r="E1157" s="6" t="s">
        <v>33</v>
      </c>
      <c r="F1157" s="6" t="s">
        <v>2946</v>
      </c>
      <c r="G1157" s="10">
        <v>4</v>
      </c>
      <c r="H1157" s="10">
        <v>3</v>
      </c>
      <c r="I1157" s="10">
        <v>2</v>
      </c>
      <c r="J1157" s="4" t="s">
        <v>23</v>
      </c>
      <c r="K1157" s="4" t="s">
        <v>23</v>
      </c>
      <c r="L1157" s="4" t="s">
        <v>23</v>
      </c>
      <c r="M1157" s="6" t="s">
        <v>2949</v>
      </c>
      <c r="N1157" s="25" t="s">
        <v>23</v>
      </c>
      <c r="O1157" s="6" t="s">
        <v>23</v>
      </c>
      <c r="P1157" s="6" t="s">
        <v>23</v>
      </c>
      <c r="Q1157" s="9" t="s">
        <v>23</v>
      </c>
      <c r="R1157" s="54" t="s">
        <v>23</v>
      </c>
      <c r="S1157" s="9" t="s">
        <v>23</v>
      </c>
    </row>
    <row r="1158" spans="1:19" ht="15.75" customHeight="1">
      <c r="A1158" s="10">
        <v>10</v>
      </c>
      <c r="B1158" s="10">
        <v>2023</v>
      </c>
      <c r="C1158" s="6" t="s">
        <v>19</v>
      </c>
      <c r="D1158" s="48">
        <v>44980</v>
      </c>
      <c r="E1158" s="6" t="s">
        <v>33</v>
      </c>
      <c r="F1158" s="6" t="s">
        <v>2946</v>
      </c>
      <c r="G1158" s="10">
        <v>4</v>
      </c>
      <c r="H1158" s="10">
        <v>3</v>
      </c>
      <c r="I1158" s="10">
        <v>3</v>
      </c>
      <c r="J1158" s="4" t="s">
        <v>30</v>
      </c>
      <c r="K1158" s="4">
        <v>35926</v>
      </c>
      <c r="L1158" s="4" t="s">
        <v>61</v>
      </c>
      <c r="M1158" s="6" t="s">
        <v>2950</v>
      </c>
      <c r="N1158" s="25" t="s">
        <v>20</v>
      </c>
      <c r="O1158" s="6" t="s">
        <v>23</v>
      </c>
      <c r="P1158" s="6" t="s">
        <v>23</v>
      </c>
      <c r="Q1158" s="9" t="s">
        <v>23</v>
      </c>
      <c r="R1158" s="54" t="s">
        <v>23</v>
      </c>
      <c r="S1158" s="9" t="s">
        <v>23</v>
      </c>
    </row>
    <row r="1159" spans="1:19" ht="15.75" customHeight="1">
      <c r="A1159" s="10">
        <v>11</v>
      </c>
      <c r="B1159" s="10">
        <v>2023</v>
      </c>
      <c r="C1159" s="6" t="s">
        <v>102</v>
      </c>
      <c r="D1159" s="48">
        <v>44985</v>
      </c>
      <c r="E1159" s="6" t="s">
        <v>20</v>
      </c>
      <c r="F1159" s="6" t="s">
        <v>47</v>
      </c>
      <c r="G1159" s="10">
        <v>1</v>
      </c>
      <c r="H1159" s="10">
        <v>2</v>
      </c>
      <c r="I1159" s="10">
        <v>1</v>
      </c>
      <c r="J1159" s="4" t="s">
        <v>30</v>
      </c>
      <c r="K1159" s="4">
        <v>36790</v>
      </c>
      <c r="L1159" s="4" t="s">
        <v>31</v>
      </c>
      <c r="M1159" s="6" t="s">
        <v>2951</v>
      </c>
      <c r="N1159" s="25" t="s">
        <v>33</v>
      </c>
      <c r="O1159" s="6" t="s">
        <v>33</v>
      </c>
      <c r="P1159" s="6">
        <v>2</v>
      </c>
      <c r="Q1159" s="32" t="s">
        <v>2952</v>
      </c>
      <c r="R1159" s="54" t="s">
        <v>23</v>
      </c>
      <c r="S1159" s="32" t="s">
        <v>2953</v>
      </c>
    </row>
    <row r="1160" spans="1:19" ht="15.75" customHeight="1">
      <c r="A1160" s="10">
        <v>11</v>
      </c>
      <c r="B1160" s="10">
        <v>2023</v>
      </c>
      <c r="C1160" s="6" t="s">
        <v>102</v>
      </c>
      <c r="D1160" s="48">
        <v>44985</v>
      </c>
      <c r="E1160" s="6" t="s">
        <v>20</v>
      </c>
      <c r="F1160" s="6" t="s">
        <v>47</v>
      </c>
      <c r="G1160" s="10">
        <v>1</v>
      </c>
      <c r="H1160" s="10">
        <v>2</v>
      </c>
      <c r="I1160" s="10">
        <v>2</v>
      </c>
      <c r="J1160" s="4" t="s">
        <v>30</v>
      </c>
      <c r="K1160" s="4">
        <v>36792</v>
      </c>
      <c r="L1160" s="4" t="s">
        <v>31</v>
      </c>
      <c r="M1160" s="6" t="s">
        <v>2954</v>
      </c>
      <c r="N1160" s="25" t="s">
        <v>33</v>
      </c>
      <c r="O1160" s="6" t="s">
        <v>23</v>
      </c>
      <c r="P1160" s="6" t="s">
        <v>23</v>
      </c>
      <c r="Q1160" s="9" t="s">
        <v>23</v>
      </c>
      <c r="R1160" s="54" t="s">
        <v>23</v>
      </c>
      <c r="S1160" s="9" t="s">
        <v>23</v>
      </c>
    </row>
    <row r="1161" spans="1:19" ht="15.75" customHeight="1">
      <c r="A1161" s="10">
        <v>12</v>
      </c>
      <c r="B1161" s="10">
        <v>2023</v>
      </c>
      <c r="C1161" s="6" t="s">
        <v>102</v>
      </c>
      <c r="D1161" s="48">
        <v>44985</v>
      </c>
      <c r="E1161" s="6" t="s">
        <v>20</v>
      </c>
      <c r="F1161" s="6" t="s">
        <v>37</v>
      </c>
      <c r="G1161" s="10">
        <v>1</v>
      </c>
      <c r="H1161" s="10">
        <v>1</v>
      </c>
      <c r="I1161" s="10">
        <v>1</v>
      </c>
      <c r="J1161" s="4" t="s">
        <v>30</v>
      </c>
      <c r="K1161" s="4">
        <v>36726</v>
      </c>
      <c r="L1161" s="4" t="s">
        <v>31</v>
      </c>
      <c r="M1161" s="6" t="s">
        <v>2955</v>
      </c>
      <c r="N1161" s="25" t="s">
        <v>33</v>
      </c>
      <c r="O1161" s="6" t="s">
        <v>33</v>
      </c>
      <c r="P1161" s="6">
        <v>1</v>
      </c>
      <c r="Q1161" s="32" t="s">
        <v>2956</v>
      </c>
      <c r="R1161" s="56" t="s">
        <v>2957</v>
      </c>
      <c r="S1161" s="32" t="s">
        <v>2958</v>
      </c>
    </row>
    <row r="1162" spans="1:19" ht="15.75" customHeight="1">
      <c r="A1162" s="10">
        <v>13</v>
      </c>
      <c r="B1162" s="10">
        <v>2023</v>
      </c>
      <c r="C1162" s="6" t="s">
        <v>102</v>
      </c>
      <c r="D1162" s="48">
        <v>44985</v>
      </c>
      <c r="E1162" s="6" t="s">
        <v>33</v>
      </c>
      <c r="F1162" s="6" t="s">
        <v>2959</v>
      </c>
      <c r="G1162" s="10">
        <v>3</v>
      </c>
      <c r="H1162" s="10">
        <v>1</v>
      </c>
      <c r="I1162" s="10">
        <v>1</v>
      </c>
      <c r="J1162" s="4" t="s">
        <v>30</v>
      </c>
      <c r="K1162" s="4">
        <v>36882</v>
      </c>
      <c r="L1162" s="4" t="s">
        <v>31</v>
      </c>
      <c r="M1162" s="6" t="s">
        <v>2960</v>
      </c>
      <c r="N1162" s="25" t="s">
        <v>20</v>
      </c>
      <c r="O1162" s="6" t="s">
        <v>20</v>
      </c>
      <c r="P1162" s="6">
        <v>0</v>
      </c>
      <c r="Q1162" s="32" t="s">
        <v>2961</v>
      </c>
      <c r="R1162" s="56" t="s">
        <v>2962</v>
      </c>
      <c r="S1162" s="34" t="s">
        <v>2963</v>
      </c>
    </row>
    <row r="1163" spans="1:19" ht="15.75" customHeight="1">
      <c r="A1163" s="10">
        <v>14</v>
      </c>
      <c r="B1163" s="10">
        <v>2023</v>
      </c>
      <c r="C1163" s="6" t="s">
        <v>102</v>
      </c>
      <c r="D1163" s="48">
        <v>44987</v>
      </c>
      <c r="E1163" s="6" t="s">
        <v>20</v>
      </c>
      <c r="F1163" s="6" t="s">
        <v>21</v>
      </c>
      <c r="G1163" s="10">
        <v>1</v>
      </c>
      <c r="H1163" s="10">
        <v>1</v>
      </c>
      <c r="I1163" s="10">
        <v>1</v>
      </c>
      <c r="J1163" s="4" t="s">
        <v>23</v>
      </c>
      <c r="K1163" s="4" t="s">
        <v>23</v>
      </c>
      <c r="L1163" s="4" t="s">
        <v>23</v>
      </c>
      <c r="M1163" s="6" t="s">
        <v>983</v>
      </c>
      <c r="N1163" s="25" t="s">
        <v>23</v>
      </c>
      <c r="O1163" s="6" t="s">
        <v>20</v>
      </c>
      <c r="P1163" s="6">
        <v>0</v>
      </c>
      <c r="Q1163" s="32" t="s">
        <v>2964</v>
      </c>
      <c r="R1163" s="56" t="s">
        <v>2965</v>
      </c>
      <c r="S1163" s="34" t="s">
        <v>2966</v>
      </c>
    </row>
    <row r="1164" spans="1:19" ht="15.75" customHeight="1">
      <c r="A1164" s="10">
        <v>15</v>
      </c>
      <c r="B1164" s="10">
        <v>2023</v>
      </c>
      <c r="C1164" s="6" t="s">
        <v>1824</v>
      </c>
      <c r="D1164" s="48">
        <v>44987</v>
      </c>
      <c r="E1164" s="6" t="s">
        <v>20</v>
      </c>
      <c r="F1164" s="6" t="s">
        <v>148</v>
      </c>
      <c r="G1164" s="10">
        <v>1</v>
      </c>
      <c r="H1164" s="10">
        <v>5</v>
      </c>
      <c r="I1164" s="10">
        <v>1</v>
      </c>
      <c r="J1164" s="4" t="s">
        <v>71</v>
      </c>
      <c r="K1164" s="4">
        <v>36443</v>
      </c>
      <c r="L1164" s="4" t="s">
        <v>61</v>
      </c>
      <c r="M1164" s="6" t="s">
        <v>2967</v>
      </c>
      <c r="N1164" s="25" t="s">
        <v>33</v>
      </c>
      <c r="O1164" s="6" t="s">
        <v>33</v>
      </c>
      <c r="P1164" s="6">
        <v>4</v>
      </c>
      <c r="Q1164" s="32" t="s">
        <v>2968</v>
      </c>
      <c r="R1164" s="56" t="s">
        <v>2969</v>
      </c>
      <c r="S1164" s="34" t="s">
        <v>2970</v>
      </c>
    </row>
    <row r="1165" spans="1:19" ht="15.75" customHeight="1">
      <c r="A1165" s="10">
        <v>15</v>
      </c>
      <c r="B1165" s="10">
        <v>2023</v>
      </c>
      <c r="C1165" s="6" t="s">
        <v>1824</v>
      </c>
      <c r="D1165" s="48">
        <v>44987</v>
      </c>
      <c r="E1165" s="6" t="s">
        <v>20</v>
      </c>
      <c r="F1165" s="6" t="s">
        <v>148</v>
      </c>
      <c r="G1165" s="10">
        <v>1</v>
      </c>
      <c r="H1165" s="10">
        <v>5</v>
      </c>
      <c r="I1165" s="10">
        <v>2</v>
      </c>
      <c r="J1165" s="4" t="s">
        <v>71</v>
      </c>
      <c r="K1165" s="4">
        <v>36682</v>
      </c>
      <c r="L1165" s="4" t="s">
        <v>61</v>
      </c>
      <c r="M1165" s="6" t="s">
        <v>2971</v>
      </c>
      <c r="N1165" s="25" t="s">
        <v>33</v>
      </c>
      <c r="O1165" s="6" t="s">
        <v>23</v>
      </c>
      <c r="P1165" s="6" t="s">
        <v>23</v>
      </c>
      <c r="Q1165" s="9" t="s">
        <v>23</v>
      </c>
      <c r="R1165" s="54" t="s">
        <v>23</v>
      </c>
      <c r="S1165" s="17" t="s">
        <v>23</v>
      </c>
    </row>
    <row r="1166" spans="1:19" ht="15.75" customHeight="1">
      <c r="A1166" s="10">
        <v>15</v>
      </c>
      <c r="B1166" s="10">
        <v>2023</v>
      </c>
      <c r="C1166" s="6" t="s">
        <v>1824</v>
      </c>
      <c r="D1166" s="48">
        <v>44987</v>
      </c>
      <c r="E1166" s="6" t="s">
        <v>20</v>
      </c>
      <c r="F1166" s="6" t="s">
        <v>148</v>
      </c>
      <c r="G1166" s="10">
        <v>1</v>
      </c>
      <c r="H1166" s="10">
        <v>5</v>
      </c>
      <c r="I1166" s="10">
        <v>3</v>
      </c>
      <c r="J1166" s="4" t="s">
        <v>71</v>
      </c>
      <c r="K1166" s="4">
        <v>36758</v>
      </c>
      <c r="L1166" s="4" t="s">
        <v>61</v>
      </c>
      <c r="M1166" s="6" t="s">
        <v>2972</v>
      </c>
      <c r="N1166" s="25" t="s">
        <v>33</v>
      </c>
      <c r="O1166" s="6" t="s">
        <v>23</v>
      </c>
      <c r="P1166" s="6" t="s">
        <v>23</v>
      </c>
      <c r="Q1166" s="9" t="s">
        <v>23</v>
      </c>
      <c r="R1166" s="54" t="s">
        <v>23</v>
      </c>
      <c r="S1166" s="17" t="s">
        <v>23</v>
      </c>
    </row>
    <row r="1167" spans="1:19" ht="15.75" customHeight="1">
      <c r="A1167" s="10">
        <v>15</v>
      </c>
      <c r="B1167" s="10">
        <v>2023</v>
      </c>
      <c r="C1167" s="6" t="s">
        <v>1824</v>
      </c>
      <c r="D1167" s="48">
        <v>44987</v>
      </c>
      <c r="E1167" s="6" t="s">
        <v>20</v>
      </c>
      <c r="F1167" s="6" t="s">
        <v>148</v>
      </c>
      <c r="G1167" s="10">
        <v>1</v>
      </c>
      <c r="H1167" s="10">
        <v>5</v>
      </c>
      <c r="I1167" s="10">
        <v>4</v>
      </c>
      <c r="J1167" s="4" t="s">
        <v>71</v>
      </c>
      <c r="K1167" s="4">
        <v>36759</v>
      </c>
      <c r="L1167" s="4" t="s">
        <v>61</v>
      </c>
      <c r="M1167" s="6" t="s">
        <v>2973</v>
      </c>
      <c r="N1167" s="25" t="s">
        <v>33</v>
      </c>
      <c r="O1167" s="6" t="s">
        <v>23</v>
      </c>
      <c r="P1167" s="6" t="s">
        <v>23</v>
      </c>
      <c r="Q1167" s="9" t="s">
        <v>23</v>
      </c>
      <c r="R1167" s="54" t="s">
        <v>23</v>
      </c>
      <c r="S1167" s="17" t="s">
        <v>23</v>
      </c>
    </row>
    <row r="1168" spans="1:19" ht="15.75" customHeight="1">
      <c r="A1168" s="10">
        <v>15</v>
      </c>
      <c r="B1168" s="10">
        <v>2023</v>
      </c>
      <c r="C1168" s="6" t="s">
        <v>1824</v>
      </c>
      <c r="D1168" s="48">
        <v>44987</v>
      </c>
      <c r="E1168" s="6" t="s">
        <v>20</v>
      </c>
      <c r="F1168" s="6" t="s">
        <v>148</v>
      </c>
      <c r="G1168" s="10">
        <v>1</v>
      </c>
      <c r="H1168" s="10">
        <v>5</v>
      </c>
      <c r="I1168" s="10">
        <v>5</v>
      </c>
      <c r="J1168" s="4" t="s">
        <v>71</v>
      </c>
      <c r="K1168" s="4">
        <v>36858</v>
      </c>
      <c r="L1168" s="4" t="s">
        <v>61</v>
      </c>
      <c r="M1168" s="6" t="s">
        <v>2974</v>
      </c>
      <c r="N1168" s="25" t="s">
        <v>33</v>
      </c>
      <c r="O1168" s="6" t="s">
        <v>23</v>
      </c>
      <c r="P1168" s="6" t="s">
        <v>23</v>
      </c>
      <c r="Q1168" s="9" t="s">
        <v>23</v>
      </c>
      <c r="R1168" s="54" t="s">
        <v>23</v>
      </c>
      <c r="S1168" s="17" t="s">
        <v>23</v>
      </c>
    </row>
    <row r="1169" spans="1:19" ht="15.75" customHeight="1">
      <c r="A1169" s="10">
        <v>16</v>
      </c>
      <c r="B1169" s="10">
        <v>2023</v>
      </c>
      <c r="C1169" s="6" t="s">
        <v>102</v>
      </c>
      <c r="D1169" s="48">
        <v>44992</v>
      </c>
      <c r="E1169" s="6" t="s">
        <v>20</v>
      </c>
      <c r="F1169" s="6" t="s">
        <v>53</v>
      </c>
      <c r="G1169" s="10">
        <v>1</v>
      </c>
      <c r="H1169" s="10">
        <v>3</v>
      </c>
      <c r="I1169" s="10">
        <v>1</v>
      </c>
      <c r="J1169" s="4" t="s">
        <v>30</v>
      </c>
      <c r="K1169" s="4">
        <v>36730</v>
      </c>
      <c r="L1169" s="4" t="s">
        <v>31</v>
      </c>
      <c r="M1169" s="6" t="s">
        <v>2917</v>
      </c>
      <c r="N1169" s="25" t="s">
        <v>20</v>
      </c>
      <c r="O1169" s="6" t="s">
        <v>20</v>
      </c>
      <c r="P1169" s="6">
        <v>0</v>
      </c>
      <c r="Q1169" s="32" t="s">
        <v>2975</v>
      </c>
      <c r="R1169" s="56" t="s">
        <v>2976</v>
      </c>
      <c r="S1169" s="34" t="s">
        <v>2977</v>
      </c>
    </row>
    <row r="1170" spans="1:19" ht="15.75" customHeight="1">
      <c r="A1170" s="10">
        <v>16</v>
      </c>
      <c r="B1170" s="10">
        <v>2023</v>
      </c>
      <c r="C1170" s="6" t="s">
        <v>102</v>
      </c>
      <c r="D1170" s="48">
        <v>44992</v>
      </c>
      <c r="E1170" s="6" t="s">
        <v>20</v>
      </c>
      <c r="F1170" s="6" t="s">
        <v>53</v>
      </c>
      <c r="G1170" s="10">
        <v>1</v>
      </c>
      <c r="H1170" s="10">
        <v>3</v>
      </c>
      <c r="I1170" s="10">
        <v>2</v>
      </c>
      <c r="J1170" s="4" t="s">
        <v>30</v>
      </c>
      <c r="K1170" s="4">
        <v>36790</v>
      </c>
      <c r="L1170" s="4" t="s">
        <v>31</v>
      </c>
      <c r="M1170" s="6" t="s">
        <v>2951</v>
      </c>
      <c r="N1170" s="25" t="s">
        <v>20</v>
      </c>
      <c r="O1170" s="6" t="s">
        <v>23</v>
      </c>
      <c r="P1170" s="6" t="s">
        <v>23</v>
      </c>
      <c r="Q1170" s="9" t="s">
        <v>23</v>
      </c>
      <c r="R1170" s="54" t="s">
        <v>23</v>
      </c>
      <c r="S1170" s="17" t="s">
        <v>23</v>
      </c>
    </row>
    <row r="1171" spans="1:19" ht="15.75" customHeight="1">
      <c r="A1171" s="10">
        <v>16</v>
      </c>
      <c r="B1171" s="10">
        <v>2023</v>
      </c>
      <c r="C1171" s="6" t="s">
        <v>102</v>
      </c>
      <c r="D1171" s="48">
        <v>44992</v>
      </c>
      <c r="E1171" s="6" t="s">
        <v>20</v>
      </c>
      <c r="F1171" s="6" t="s">
        <v>53</v>
      </c>
      <c r="G1171" s="10">
        <v>1</v>
      </c>
      <c r="H1171" s="10">
        <v>3</v>
      </c>
      <c r="I1171" s="10">
        <v>3</v>
      </c>
      <c r="J1171" s="4" t="s">
        <v>30</v>
      </c>
      <c r="K1171" s="4">
        <v>36792</v>
      </c>
      <c r="L1171" s="4" t="s">
        <v>31</v>
      </c>
      <c r="M1171" s="6" t="s">
        <v>2954</v>
      </c>
      <c r="N1171" s="25" t="s">
        <v>20</v>
      </c>
      <c r="O1171" s="6" t="s">
        <v>23</v>
      </c>
      <c r="P1171" s="6" t="s">
        <v>23</v>
      </c>
      <c r="Q1171" s="9" t="s">
        <v>23</v>
      </c>
      <c r="R1171" s="54" t="s">
        <v>23</v>
      </c>
      <c r="S1171" s="17" t="s">
        <v>23</v>
      </c>
    </row>
    <row r="1172" spans="1:19" ht="15.75" customHeight="1">
      <c r="A1172" s="18">
        <v>17</v>
      </c>
      <c r="B1172" s="10">
        <v>2023</v>
      </c>
      <c r="C1172" s="6" t="s">
        <v>102</v>
      </c>
      <c r="D1172" s="48">
        <v>44992</v>
      </c>
      <c r="E1172" s="6" t="s">
        <v>20</v>
      </c>
      <c r="F1172" s="6" t="s">
        <v>43</v>
      </c>
      <c r="G1172" s="18">
        <v>1</v>
      </c>
      <c r="H1172" s="18">
        <v>1</v>
      </c>
      <c r="I1172" s="18">
        <v>1</v>
      </c>
      <c r="J1172" s="4" t="s">
        <v>23</v>
      </c>
      <c r="K1172" s="4" t="s">
        <v>23</v>
      </c>
      <c r="L1172" s="4" t="s">
        <v>23</v>
      </c>
      <c r="M1172" s="6" t="s">
        <v>2978</v>
      </c>
      <c r="N1172" s="25" t="s">
        <v>23</v>
      </c>
      <c r="O1172" s="6" t="s">
        <v>33</v>
      </c>
      <c r="P1172" s="6">
        <v>4</v>
      </c>
      <c r="Q1172" s="32" t="s">
        <v>2979</v>
      </c>
      <c r="R1172" s="54" t="s">
        <v>23</v>
      </c>
      <c r="S1172" s="34" t="s">
        <v>2980</v>
      </c>
    </row>
    <row r="1173" spans="1:19" ht="15.75" customHeight="1">
      <c r="A1173" s="18">
        <v>18</v>
      </c>
      <c r="B1173" s="10">
        <v>2023</v>
      </c>
      <c r="C1173" s="6" t="s">
        <v>102</v>
      </c>
      <c r="D1173" s="48">
        <v>44994</v>
      </c>
      <c r="E1173" s="6" t="s">
        <v>20</v>
      </c>
      <c r="F1173" s="6" t="s">
        <v>47</v>
      </c>
      <c r="G1173" s="10">
        <v>1</v>
      </c>
      <c r="H1173" s="10">
        <v>2</v>
      </c>
      <c r="I1173" s="10">
        <v>1</v>
      </c>
      <c r="J1173" s="4" t="s">
        <v>30</v>
      </c>
      <c r="K1173" s="4">
        <v>36808</v>
      </c>
      <c r="L1173" s="4" t="s">
        <v>31</v>
      </c>
      <c r="M1173" s="6" t="s">
        <v>2981</v>
      </c>
      <c r="N1173" s="25" t="s">
        <v>33</v>
      </c>
      <c r="O1173" s="6" t="s">
        <v>33</v>
      </c>
      <c r="P1173" s="6">
        <v>2</v>
      </c>
      <c r="Q1173" s="32" t="s">
        <v>2982</v>
      </c>
      <c r="R1173" s="56" t="s">
        <v>2983</v>
      </c>
      <c r="S1173" s="34" t="s">
        <v>2984</v>
      </c>
    </row>
    <row r="1174" spans="1:19" ht="15.75" customHeight="1">
      <c r="A1174" s="18">
        <v>18</v>
      </c>
      <c r="B1174" s="10">
        <v>2023</v>
      </c>
      <c r="C1174" s="6" t="s">
        <v>102</v>
      </c>
      <c r="D1174" s="48">
        <v>44994</v>
      </c>
      <c r="E1174" s="6" t="s">
        <v>20</v>
      </c>
      <c r="F1174" s="6" t="s">
        <v>47</v>
      </c>
      <c r="G1174" s="10">
        <v>1</v>
      </c>
      <c r="H1174" s="10">
        <v>2</v>
      </c>
      <c r="I1174" s="10">
        <v>2</v>
      </c>
      <c r="J1174" s="4" t="s">
        <v>30</v>
      </c>
      <c r="K1174" s="4">
        <v>36839</v>
      </c>
      <c r="L1174" s="4" t="s">
        <v>31</v>
      </c>
      <c r="M1174" s="6" t="s">
        <v>2985</v>
      </c>
      <c r="N1174" s="25" t="s">
        <v>33</v>
      </c>
      <c r="O1174" s="6" t="s">
        <v>23</v>
      </c>
      <c r="P1174" s="6" t="s">
        <v>23</v>
      </c>
      <c r="Q1174" s="9" t="s">
        <v>23</v>
      </c>
      <c r="R1174" s="54" t="s">
        <v>23</v>
      </c>
      <c r="S1174" s="17" t="s">
        <v>23</v>
      </c>
    </row>
    <row r="1175" spans="1:19" ht="15.75" customHeight="1">
      <c r="A1175" s="18">
        <v>19</v>
      </c>
      <c r="B1175" s="10">
        <v>2023</v>
      </c>
      <c r="C1175" s="6" t="s">
        <v>1824</v>
      </c>
      <c r="D1175" s="48">
        <v>44999</v>
      </c>
      <c r="E1175" s="6" t="s">
        <v>33</v>
      </c>
      <c r="F1175" s="6" t="s">
        <v>2959</v>
      </c>
      <c r="G1175" s="10">
        <v>3</v>
      </c>
      <c r="H1175" s="10">
        <v>1</v>
      </c>
      <c r="I1175" s="10">
        <v>1</v>
      </c>
      <c r="J1175" s="4" t="s">
        <v>30</v>
      </c>
      <c r="K1175" s="4">
        <v>36882</v>
      </c>
      <c r="L1175" s="4" t="s">
        <v>31</v>
      </c>
      <c r="M1175" s="6" t="s">
        <v>2960</v>
      </c>
      <c r="N1175" s="25" t="s">
        <v>20</v>
      </c>
      <c r="O1175" s="6" t="s">
        <v>33</v>
      </c>
      <c r="P1175" s="6">
        <v>3</v>
      </c>
      <c r="Q1175" s="32" t="s">
        <v>2986</v>
      </c>
      <c r="R1175" s="56" t="s">
        <v>2987</v>
      </c>
      <c r="S1175" s="34" t="s">
        <v>2988</v>
      </c>
    </row>
    <row r="1176" spans="1:19" ht="15.75" customHeight="1">
      <c r="A1176" s="18">
        <v>20</v>
      </c>
      <c r="B1176" s="10">
        <v>2023</v>
      </c>
      <c r="C1176" s="6" t="s">
        <v>102</v>
      </c>
      <c r="D1176" s="48">
        <v>44999</v>
      </c>
      <c r="E1176" s="6" t="s">
        <v>20</v>
      </c>
      <c r="F1176" s="6" t="s">
        <v>47</v>
      </c>
      <c r="G1176" s="10">
        <v>1</v>
      </c>
      <c r="H1176" s="10">
        <v>2</v>
      </c>
      <c r="I1176" s="10">
        <v>1</v>
      </c>
      <c r="J1176" s="4" t="s">
        <v>30</v>
      </c>
      <c r="K1176" s="4">
        <v>36798</v>
      </c>
      <c r="L1176" s="4" t="s">
        <v>31</v>
      </c>
      <c r="M1176" s="6" t="s">
        <v>2989</v>
      </c>
      <c r="N1176" s="25" t="s">
        <v>33</v>
      </c>
      <c r="O1176" s="6" t="s">
        <v>33</v>
      </c>
      <c r="P1176" s="6">
        <v>2</v>
      </c>
      <c r="Q1176" s="32" t="s">
        <v>2990</v>
      </c>
      <c r="R1176" s="56" t="s">
        <v>2991</v>
      </c>
      <c r="S1176" s="34" t="s">
        <v>2992</v>
      </c>
    </row>
    <row r="1177" spans="1:19" ht="15.75" customHeight="1">
      <c r="A1177" s="18">
        <v>20</v>
      </c>
      <c r="B1177" s="10">
        <v>2023</v>
      </c>
      <c r="C1177" s="6" t="s">
        <v>102</v>
      </c>
      <c r="D1177" s="48">
        <v>44999</v>
      </c>
      <c r="E1177" s="6" t="s">
        <v>20</v>
      </c>
      <c r="F1177" s="6" t="s">
        <v>47</v>
      </c>
      <c r="G1177" s="10">
        <v>1</v>
      </c>
      <c r="H1177" s="10">
        <v>2</v>
      </c>
      <c r="I1177" s="10">
        <v>2</v>
      </c>
      <c r="J1177" s="4" t="s">
        <v>30</v>
      </c>
      <c r="K1177" s="4">
        <v>36841</v>
      </c>
      <c r="L1177" s="4" t="s">
        <v>31</v>
      </c>
      <c r="M1177" s="6" t="s">
        <v>2993</v>
      </c>
      <c r="N1177" s="25" t="s">
        <v>33</v>
      </c>
      <c r="O1177" s="6" t="s">
        <v>23</v>
      </c>
      <c r="P1177" s="6" t="s">
        <v>23</v>
      </c>
      <c r="Q1177" s="9" t="s">
        <v>23</v>
      </c>
      <c r="R1177" s="54" t="s">
        <v>23</v>
      </c>
      <c r="S1177" s="17" t="s">
        <v>23</v>
      </c>
    </row>
    <row r="1178" spans="1:19" ht="15.75" customHeight="1">
      <c r="A1178" s="18">
        <v>21</v>
      </c>
      <c r="B1178" s="10">
        <v>2023</v>
      </c>
      <c r="C1178" s="6" t="s">
        <v>102</v>
      </c>
      <c r="D1178" s="48">
        <v>44999</v>
      </c>
      <c r="E1178" s="6" t="s">
        <v>20</v>
      </c>
      <c r="F1178" s="6" t="s">
        <v>37</v>
      </c>
      <c r="G1178" s="10">
        <v>1</v>
      </c>
      <c r="H1178" s="10">
        <v>5</v>
      </c>
      <c r="I1178" s="10">
        <v>1</v>
      </c>
      <c r="J1178" s="4" t="s">
        <v>64</v>
      </c>
      <c r="K1178" s="4">
        <v>36884</v>
      </c>
      <c r="L1178" s="4" t="s">
        <v>31</v>
      </c>
      <c r="M1178" s="6" t="s">
        <v>2994</v>
      </c>
      <c r="N1178" s="25" t="s">
        <v>33</v>
      </c>
      <c r="O1178" s="6" t="s">
        <v>20</v>
      </c>
      <c r="P1178" s="6">
        <v>0</v>
      </c>
      <c r="Q1178" s="32" t="s">
        <v>2995</v>
      </c>
      <c r="R1178" s="56" t="s">
        <v>2996</v>
      </c>
      <c r="S1178" s="34" t="s">
        <v>2997</v>
      </c>
    </row>
    <row r="1179" spans="1:19" ht="15.75" customHeight="1">
      <c r="A1179" s="10">
        <v>21</v>
      </c>
      <c r="B1179" s="10">
        <v>2023</v>
      </c>
      <c r="C1179" s="6" t="s">
        <v>102</v>
      </c>
      <c r="D1179" s="48">
        <v>44999</v>
      </c>
      <c r="E1179" s="6" t="s">
        <v>20</v>
      </c>
      <c r="F1179" s="6" t="s">
        <v>37</v>
      </c>
      <c r="G1179" s="10">
        <v>1</v>
      </c>
      <c r="H1179" s="10">
        <v>5</v>
      </c>
      <c r="I1179" s="10">
        <v>2</v>
      </c>
      <c r="J1179" s="4" t="s">
        <v>2862</v>
      </c>
      <c r="K1179" s="4">
        <v>36945</v>
      </c>
      <c r="L1179" s="4" t="s">
        <v>61</v>
      </c>
      <c r="M1179" s="6" t="s">
        <v>2998</v>
      </c>
      <c r="N1179" s="25" t="s">
        <v>20</v>
      </c>
      <c r="O1179" s="6" t="s">
        <v>23</v>
      </c>
      <c r="P1179" s="6" t="s">
        <v>23</v>
      </c>
      <c r="Q1179" s="9" t="s">
        <v>23</v>
      </c>
      <c r="R1179" s="54" t="s">
        <v>23</v>
      </c>
      <c r="S1179" s="17" t="s">
        <v>23</v>
      </c>
    </row>
    <row r="1180" spans="1:19" ht="15.75" customHeight="1">
      <c r="A1180" s="10">
        <v>21</v>
      </c>
      <c r="B1180" s="10">
        <v>2023</v>
      </c>
      <c r="C1180" s="6" t="s">
        <v>102</v>
      </c>
      <c r="D1180" s="48">
        <v>44999</v>
      </c>
      <c r="E1180" s="6" t="s">
        <v>20</v>
      </c>
      <c r="F1180" s="6" t="s">
        <v>37</v>
      </c>
      <c r="G1180" s="10">
        <v>1</v>
      </c>
      <c r="H1180" s="10">
        <v>5</v>
      </c>
      <c r="I1180" s="10">
        <v>3</v>
      </c>
      <c r="J1180" s="4" t="s">
        <v>2862</v>
      </c>
      <c r="K1180" s="4">
        <v>36971</v>
      </c>
      <c r="L1180" s="4" t="s">
        <v>61</v>
      </c>
      <c r="M1180" s="6" t="s">
        <v>2998</v>
      </c>
      <c r="N1180" s="25" t="s">
        <v>20</v>
      </c>
      <c r="O1180" s="6" t="s">
        <v>23</v>
      </c>
      <c r="P1180" s="6" t="s">
        <v>23</v>
      </c>
      <c r="Q1180" s="9" t="s">
        <v>23</v>
      </c>
      <c r="R1180" s="54" t="s">
        <v>23</v>
      </c>
      <c r="S1180" s="17" t="s">
        <v>23</v>
      </c>
    </row>
    <row r="1181" spans="1:19" ht="15.75" customHeight="1">
      <c r="A1181" s="10">
        <v>21</v>
      </c>
      <c r="B1181" s="10">
        <v>2023</v>
      </c>
      <c r="C1181" s="6" t="s">
        <v>102</v>
      </c>
      <c r="D1181" s="48">
        <v>44999</v>
      </c>
      <c r="E1181" s="6" t="s">
        <v>20</v>
      </c>
      <c r="F1181" s="6" t="s">
        <v>37</v>
      </c>
      <c r="G1181" s="10">
        <v>1</v>
      </c>
      <c r="H1181" s="10">
        <v>5</v>
      </c>
      <c r="I1181" s="10">
        <v>4</v>
      </c>
      <c r="J1181" s="4" t="s">
        <v>2862</v>
      </c>
      <c r="K1181" s="4">
        <v>36979</v>
      </c>
      <c r="L1181" s="4" t="s">
        <v>61</v>
      </c>
      <c r="M1181" s="6" t="s">
        <v>2998</v>
      </c>
      <c r="N1181" s="25" t="s">
        <v>20</v>
      </c>
      <c r="O1181" s="6" t="s">
        <v>23</v>
      </c>
      <c r="P1181" s="6" t="s">
        <v>23</v>
      </c>
      <c r="Q1181" s="9" t="s">
        <v>23</v>
      </c>
      <c r="R1181" s="54" t="s">
        <v>23</v>
      </c>
      <c r="S1181" s="17" t="s">
        <v>23</v>
      </c>
    </row>
    <row r="1182" spans="1:19" ht="15.75" customHeight="1">
      <c r="A1182" s="10">
        <v>21</v>
      </c>
      <c r="B1182" s="10">
        <v>2023</v>
      </c>
      <c r="C1182" s="6" t="s">
        <v>102</v>
      </c>
      <c r="D1182" s="48">
        <v>44999</v>
      </c>
      <c r="E1182" s="6" t="s">
        <v>20</v>
      </c>
      <c r="F1182" s="6" t="s">
        <v>37</v>
      </c>
      <c r="G1182" s="10">
        <v>1</v>
      </c>
      <c r="H1182" s="10">
        <v>5</v>
      </c>
      <c r="I1182" s="10">
        <v>5</v>
      </c>
      <c r="J1182" s="4" t="s">
        <v>416</v>
      </c>
      <c r="K1182" s="4">
        <v>36959</v>
      </c>
      <c r="L1182" s="4" t="s">
        <v>61</v>
      </c>
      <c r="M1182" s="6" t="s">
        <v>2999</v>
      </c>
      <c r="N1182" s="25" t="s">
        <v>20</v>
      </c>
      <c r="O1182" s="6" t="s">
        <v>23</v>
      </c>
      <c r="P1182" s="6" t="s">
        <v>23</v>
      </c>
      <c r="Q1182" s="9" t="s">
        <v>23</v>
      </c>
      <c r="R1182" s="54" t="s">
        <v>23</v>
      </c>
      <c r="S1182" s="17" t="s">
        <v>23</v>
      </c>
    </row>
    <row r="1183" spans="1:19" ht="15.75" customHeight="1">
      <c r="A1183" s="10">
        <v>22</v>
      </c>
      <c r="B1183" s="10">
        <v>2023</v>
      </c>
      <c r="C1183" s="6" t="s">
        <v>102</v>
      </c>
      <c r="D1183" s="48">
        <v>45001</v>
      </c>
      <c r="E1183" s="6" t="s">
        <v>20</v>
      </c>
      <c r="F1183" s="6" t="s">
        <v>21</v>
      </c>
      <c r="G1183" s="10">
        <v>1</v>
      </c>
      <c r="H1183" s="10">
        <v>1</v>
      </c>
      <c r="I1183" s="10">
        <v>1</v>
      </c>
      <c r="J1183" s="4" t="s">
        <v>30</v>
      </c>
      <c r="K1183" s="4">
        <v>36956</v>
      </c>
      <c r="L1183" s="4" t="s">
        <v>61</v>
      </c>
      <c r="M1183" s="6" t="s">
        <v>3000</v>
      </c>
      <c r="N1183" s="25" t="s">
        <v>33</v>
      </c>
      <c r="O1183" s="6" t="s">
        <v>20</v>
      </c>
      <c r="P1183" s="6">
        <v>0</v>
      </c>
      <c r="Q1183" s="32" t="s">
        <v>3001</v>
      </c>
      <c r="R1183" s="56" t="s">
        <v>3002</v>
      </c>
      <c r="S1183" s="34" t="s">
        <v>3003</v>
      </c>
    </row>
    <row r="1184" spans="1:19" ht="15.75" customHeight="1">
      <c r="A1184" s="10">
        <v>23</v>
      </c>
      <c r="B1184" s="10">
        <v>2023</v>
      </c>
      <c r="C1184" s="6" t="s">
        <v>1824</v>
      </c>
      <c r="D1184" s="48">
        <v>45001</v>
      </c>
      <c r="E1184" s="6" t="s">
        <v>33</v>
      </c>
      <c r="F1184" s="6" t="s">
        <v>3004</v>
      </c>
      <c r="G1184" s="10">
        <v>2</v>
      </c>
      <c r="H1184" s="10">
        <v>3</v>
      </c>
      <c r="I1184" s="10">
        <v>1</v>
      </c>
      <c r="J1184" s="4" t="s">
        <v>71</v>
      </c>
      <c r="K1184" s="4">
        <v>36977</v>
      </c>
      <c r="L1184" s="4" t="s">
        <v>61</v>
      </c>
      <c r="M1184" s="6" t="s">
        <v>3005</v>
      </c>
      <c r="N1184" s="25" t="s">
        <v>20</v>
      </c>
      <c r="O1184" s="6" t="s">
        <v>33</v>
      </c>
      <c r="P1184" s="6">
        <v>2</v>
      </c>
      <c r="Q1184" s="32" t="s">
        <v>3006</v>
      </c>
      <c r="R1184" s="56" t="s">
        <v>3007</v>
      </c>
      <c r="S1184" s="23" t="s">
        <v>3008</v>
      </c>
    </row>
    <row r="1185" spans="1:19" ht="15.75" customHeight="1">
      <c r="A1185" s="10">
        <v>23</v>
      </c>
      <c r="B1185" s="10">
        <v>2023</v>
      </c>
      <c r="C1185" s="6" t="s">
        <v>1824</v>
      </c>
      <c r="D1185" s="48">
        <v>45001</v>
      </c>
      <c r="E1185" s="6" t="s">
        <v>33</v>
      </c>
      <c r="F1185" s="6" t="s">
        <v>3004</v>
      </c>
      <c r="G1185" s="10">
        <v>2</v>
      </c>
      <c r="H1185" s="10">
        <v>3</v>
      </c>
      <c r="I1185" s="10">
        <v>2</v>
      </c>
      <c r="J1185" s="4" t="s">
        <v>23</v>
      </c>
      <c r="K1185" s="4" t="s">
        <v>23</v>
      </c>
      <c r="L1185" s="4" t="s">
        <v>23</v>
      </c>
      <c r="M1185" s="6" t="s">
        <v>3009</v>
      </c>
      <c r="N1185" s="25" t="s">
        <v>23</v>
      </c>
      <c r="O1185" s="6" t="s">
        <v>23</v>
      </c>
      <c r="P1185" s="6" t="s">
        <v>23</v>
      </c>
      <c r="Q1185" s="9" t="s">
        <v>23</v>
      </c>
      <c r="R1185" s="54" t="s">
        <v>23</v>
      </c>
      <c r="S1185" s="17" t="s">
        <v>23</v>
      </c>
    </row>
    <row r="1186" spans="1:19" ht="15.75" customHeight="1">
      <c r="A1186" s="10">
        <v>23</v>
      </c>
      <c r="B1186" s="10">
        <v>2023</v>
      </c>
      <c r="C1186" s="6" t="s">
        <v>1824</v>
      </c>
      <c r="D1186" s="48">
        <v>45001</v>
      </c>
      <c r="E1186" s="6" t="s">
        <v>33</v>
      </c>
      <c r="F1186" s="6" t="s">
        <v>3004</v>
      </c>
      <c r="G1186" s="10">
        <v>2</v>
      </c>
      <c r="H1186" s="10">
        <v>3</v>
      </c>
      <c r="I1186" s="10">
        <v>3</v>
      </c>
      <c r="J1186" s="4" t="s">
        <v>30</v>
      </c>
      <c r="K1186" s="4">
        <v>37009</v>
      </c>
      <c r="L1186" s="4" t="s">
        <v>61</v>
      </c>
      <c r="M1186" s="6" t="s">
        <v>3010</v>
      </c>
      <c r="N1186" s="25" t="s">
        <v>20</v>
      </c>
      <c r="O1186" s="6" t="s">
        <v>23</v>
      </c>
      <c r="P1186" s="6" t="s">
        <v>23</v>
      </c>
      <c r="Q1186" s="9" t="s">
        <v>23</v>
      </c>
      <c r="R1186" s="54" t="s">
        <v>23</v>
      </c>
      <c r="S1186" s="17" t="s">
        <v>23</v>
      </c>
    </row>
    <row r="1187" spans="1:19" ht="15.75" customHeight="1">
      <c r="A1187" s="10">
        <v>24</v>
      </c>
      <c r="B1187" s="10">
        <v>2023</v>
      </c>
      <c r="C1187" s="6" t="s">
        <v>1824</v>
      </c>
      <c r="D1187" s="48">
        <v>45006</v>
      </c>
      <c r="E1187" s="6" t="s">
        <v>33</v>
      </c>
      <c r="F1187" s="6" t="s">
        <v>2959</v>
      </c>
      <c r="G1187" s="10">
        <v>3</v>
      </c>
      <c r="H1187" s="10">
        <v>1</v>
      </c>
      <c r="I1187" s="10">
        <v>1</v>
      </c>
      <c r="J1187" s="4" t="s">
        <v>30</v>
      </c>
      <c r="K1187" s="4">
        <v>36882</v>
      </c>
      <c r="L1187" s="4" t="s">
        <v>31</v>
      </c>
      <c r="M1187" s="6" t="s">
        <v>2960</v>
      </c>
      <c r="N1187" s="25" t="s">
        <v>20</v>
      </c>
      <c r="O1187" s="6" t="s">
        <v>33</v>
      </c>
      <c r="P1187" s="6">
        <v>5</v>
      </c>
      <c r="Q1187" s="32" t="s">
        <v>3011</v>
      </c>
      <c r="R1187" s="56" t="s">
        <v>3012</v>
      </c>
      <c r="S1187" s="34" t="s">
        <v>3013</v>
      </c>
    </row>
    <row r="1188" spans="1:19" ht="15.75" customHeight="1">
      <c r="A1188" s="10">
        <v>25</v>
      </c>
      <c r="B1188" s="10">
        <v>2023</v>
      </c>
      <c r="C1188" s="6" t="s">
        <v>1824</v>
      </c>
      <c r="D1188" s="48">
        <v>45006</v>
      </c>
      <c r="E1188" s="6" t="s">
        <v>33</v>
      </c>
      <c r="F1188" s="6" t="s">
        <v>3014</v>
      </c>
      <c r="G1188" s="18">
        <v>3</v>
      </c>
      <c r="H1188" s="10">
        <v>2</v>
      </c>
      <c r="I1188" s="10">
        <v>1</v>
      </c>
      <c r="J1188" s="4" t="s">
        <v>71</v>
      </c>
      <c r="K1188" s="4">
        <v>36977</v>
      </c>
      <c r="L1188" s="4" t="s">
        <v>61</v>
      </c>
      <c r="M1188" s="6" t="s">
        <v>3005</v>
      </c>
      <c r="N1188" s="25" t="s">
        <v>33</v>
      </c>
      <c r="O1188" s="6" t="s">
        <v>33</v>
      </c>
      <c r="P1188" s="6">
        <v>5</v>
      </c>
      <c r="Q1188" s="32" t="s">
        <v>3015</v>
      </c>
      <c r="R1188" s="56" t="s">
        <v>3016</v>
      </c>
      <c r="S1188" s="23" t="s">
        <v>3017</v>
      </c>
    </row>
    <row r="1189" spans="1:19" ht="15.75" customHeight="1">
      <c r="A1189" s="10">
        <v>25</v>
      </c>
      <c r="B1189" s="10">
        <v>2023</v>
      </c>
      <c r="C1189" s="6" t="s">
        <v>1824</v>
      </c>
      <c r="D1189" s="48">
        <v>45006</v>
      </c>
      <c r="E1189" s="6" t="s">
        <v>33</v>
      </c>
      <c r="F1189" s="6" t="s">
        <v>3004</v>
      </c>
      <c r="G1189" s="10">
        <v>2</v>
      </c>
      <c r="H1189" s="10">
        <v>2</v>
      </c>
      <c r="I1189" s="10">
        <v>2</v>
      </c>
      <c r="J1189" s="4" t="s">
        <v>30</v>
      </c>
      <c r="K1189" s="4">
        <v>37009</v>
      </c>
      <c r="L1189" s="4" t="s">
        <v>61</v>
      </c>
      <c r="M1189" s="6" t="s">
        <v>3010</v>
      </c>
      <c r="N1189" s="25" t="s">
        <v>33</v>
      </c>
      <c r="O1189" s="6" t="s">
        <v>23</v>
      </c>
      <c r="P1189" s="6" t="s">
        <v>23</v>
      </c>
      <c r="Q1189" s="9" t="s">
        <v>23</v>
      </c>
      <c r="R1189" s="54" t="s">
        <v>23</v>
      </c>
      <c r="S1189" s="17" t="s">
        <v>23</v>
      </c>
    </row>
    <row r="1190" spans="1:19" ht="15.75" customHeight="1">
      <c r="A1190" s="10">
        <v>26</v>
      </c>
      <c r="B1190" s="10">
        <v>2023</v>
      </c>
      <c r="C1190" s="6" t="s">
        <v>102</v>
      </c>
      <c r="D1190" s="48">
        <v>45008</v>
      </c>
      <c r="E1190" s="6" t="s">
        <v>20</v>
      </c>
      <c r="F1190" s="6" t="s">
        <v>47</v>
      </c>
      <c r="G1190" s="10">
        <v>1</v>
      </c>
      <c r="H1190" s="10">
        <v>2</v>
      </c>
      <c r="I1190" s="10">
        <v>1</v>
      </c>
      <c r="J1190" s="4" t="s">
        <v>30</v>
      </c>
      <c r="K1190" s="4">
        <v>36840</v>
      </c>
      <c r="L1190" s="4" t="s">
        <v>31</v>
      </c>
      <c r="M1190" s="6" t="s">
        <v>3018</v>
      </c>
      <c r="N1190" s="25" t="s">
        <v>33</v>
      </c>
      <c r="O1190" s="6" t="s">
        <v>33</v>
      </c>
      <c r="P1190" s="6">
        <v>2</v>
      </c>
      <c r="Q1190" s="32" t="s">
        <v>3019</v>
      </c>
      <c r="R1190" s="56" t="s">
        <v>3020</v>
      </c>
      <c r="S1190" s="34" t="s">
        <v>3021</v>
      </c>
    </row>
    <row r="1191" spans="1:19" ht="15.75" customHeight="1">
      <c r="A1191" s="10">
        <v>26</v>
      </c>
      <c r="B1191" s="10">
        <v>2023</v>
      </c>
      <c r="C1191" s="6" t="s">
        <v>102</v>
      </c>
      <c r="D1191" s="48">
        <v>45008</v>
      </c>
      <c r="E1191" s="6" t="s">
        <v>20</v>
      </c>
      <c r="F1191" s="6" t="s">
        <v>47</v>
      </c>
      <c r="G1191" s="10">
        <v>1</v>
      </c>
      <c r="H1191" s="10">
        <v>2</v>
      </c>
      <c r="I1191" s="10">
        <v>2</v>
      </c>
      <c r="J1191" s="4" t="s">
        <v>30</v>
      </c>
      <c r="K1191" s="4">
        <v>36943</v>
      </c>
      <c r="L1191" s="4" t="s">
        <v>31</v>
      </c>
      <c r="M1191" s="6" t="s">
        <v>3022</v>
      </c>
      <c r="N1191" s="25" t="s">
        <v>33</v>
      </c>
      <c r="O1191" s="6" t="s">
        <v>23</v>
      </c>
      <c r="P1191" s="6" t="s">
        <v>23</v>
      </c>
      <c r="Q1191" s="9" t="s">
        <v>23</v>
      </c>
      <c r="R1191" s="54" t="s">
        <v>23</v>
      </c>
      <c r="S1191" s="17" t="s">
        <v>23</v>
      </c>
    </row>
    <row r="1192" spans="1:19" ht="15.75" customHeight="1">
      <c r="A1192" s="10">
        <v>27</v>
      </c>
      <c r="B1192" s="10">
        <v>2023</v>
      </c>
      <c r="C1192" s="6" t="s">
        <v>102</v>
      </c>
      <c r="D1192" s="48">
        <v>45013</v>
      </c>
      <c r="E1192" s="6" t="s">
        <v>20</v>
      </c>
      <c r="F1192" s="6" t="s">
        <v>53</v>
      </c>
      <c r="G1192" s="10">
        <v>1</v>
      </c>
      <c r="H1192" s="10">
        <v>7</v>
      </c>
      <c r="I1192" s="10">
        <v>1</v>
      </c>
      <c r="J1192" s="4" t="s">
        <v>30</v>
      </c>
      <c r="K1192" s="4">
        <v>36798</v>
      </c>
      <c r="L1192" s="4" t="s">
        <v>31</v>
      </c>
      <c r="M1192" s="6" t="s">
        <v>2989</v>
      </c>
      <c r="N1192" s="25" t="s">
        <v>20</v>
      </c>
      <c r="O1192" s="6" t="s">
        <v>20</v>
      </c>
      <c r="P1192" s="6">
        <v>0</v>
      </c>
      <c r="Q1192" s="32" t="s">
        <v>3023</v>
      </c>
      <c r="R1192" s="56" t="s">
        <v>3024</v>
      </c>
      <c r="S1192" s="34" t="s">
        <v>3025</v>
      </c>
    </row>
    <row r="1193" spans="1:19" ht="15.75" customHeight="1">
      <c r="A1193" s="10">
        <v>27</v>
      </c>
      <c r="B1193" s="10">
        <v>2023</v>
      </c>
      <c r="C1193" s="6" t="s">
        <v>102</v>
      </c>
      <c r="D1193" s="48">
        <v>45013</v>
      </c>
      <c r="E1193" s="6" t="s">
        <v>20</v>
      </c>
      <c r="F1193" s="6" t="s">
        <v>53</v>
      </c>
      <c r="G1193" s="10">
        <v>1</v>
      </c>
      <c r="H1193" s="10">
        <v>7</v>
      </c>
      <c r="I1193" s="10">
        <v>2</v>
      </c>
      <c r="J1193" s="4" t="s">
        <v>30</v>
      </c>
      <c r="K1193" s="4">
        <v>36808</v>
      </c>
      <c r="L1193" s="4" t="s">
        <v>31</v>
      </c>
      <c r="M1193" s="6" t="s">
        <v>2981</v>
      </c>
      <c r="N1193" s="25" t="s">
        <v>20</v>
      </c>
      <c r="O1193" s="6" t="s">
        <v>23</v>
      </c>
      <c r="P1193" s="6" t="s">
        <v>23</v>
      </c>
      <c r="Q1193" s="9" t="s">
        <v>23</v>
      </c>
      <c r="R1193" s="54" t="s">
        <v>23</v>
      </c>
      <c r="S1193" s="17" t="s">
        <v>23</v>
      </c>
    </row>
    <row r="1194" spans="1:19" ht="15.75" customHeight="1">
      <c r="A1194" s="10">
        <v>27</v>
      </c>
      <c r="B1194" s="10">
        <v>2023</v>
      </c>
      <c r="C1194" s="6" t="s">
        <v>102</v>
      </c>
      <c r="D1194" s="48">
        <v>45013</v>
      </c>
      <c r="E1194" s="6" t="s">
        <v>20</v>
      </c>
      <c r="F1194" s="6" t="s">
        <v>53</v>
      </c>
      <c r="G1194" s="10">
        <v>1</v>
      </c>
      <c r="H1194" s="10">
        <v>7</v>
      </c>
      <c r="I1194" s="10">
        <v>3</v>
      </c>
      <c r="J1194" s="4" t="s">
        <v>30</v>
      </c>
      <c r="K1194" s="4">
        <v>36839</v>
      </c>
      <c r="L1194" s="4" t="s">
        <v>31</v>
      </c>
      <c r="M1194" s="6" t="s">
        <v>2985</v>
      </c>
      <c r="N1194" s="25" t="s">
        <v>20</v>
      </c>
      <c r="O1194" s="6" t="s">
        <v>23</v>
      </c>
      <c r="P1194" s="6" t="s">
        <v>23</v>
      </c>
      <c r="Q1194" s="9" t="s">
        <v>23</v>
      </c>
      <c r="R1194" s="54" t="s">
        <v>23</v>
      </c>
      <c r="S1194" s="17" t="s">
        <v>23</v>
      </c>
    </row>
    <row r="1195" spans="1:19" ht="15.75" customHeight="1">
      <c r="A1195" s="10">
        <v>27</v>
      </c>
      <c r="B1195" s="10">
        <v>2023</v>
      </c>
      <c r="C1195" s="6" t="s">
        <v>102</v>
      </c>
      <c r="D1195" s="48">
        <v>45013</v>
      </c>
      <c r="E1195" s="6" t="s">
        <v>20</v>
      </c>
      <c r="F1195" s="6" t="s">
        <v>53</v>
      </c>
      <c r="G1195" s="10">
        <v>1</v>
      </c>
      <c r="H1195" s="10">
        <v>7</v>
      </c>
      <c r="I1195" s="10">
        <v>4</v>
      </c>
      <c r="J1195" s="4" t="s">
        <v>30</v>
      </c>
      <c r="K1195" s="4">
        <v>36840</v>
      </c>
      <c r="L1195" s="4" t="s">
        <v>31</v>
      </c>
      <c r="M1195" s="6" t="s">
        <v>3018</v>
      </c>
      <c r="N1195" s="25" t="s">
        <v>20</v>
      </c>
      <c r="O1195" s="6" t="s">
        <v>23</v>
      </c>
      <c r="P1195" s="6" t="s">
        <v>23</v>
      </c>
      <c r="Q1195" s="9" t="s">
        <v>23</v>
      </c>
      <c r="R1195" s="54" t="s">
        <v>23</v>
      </c>
      <c r="S1195" s="17" t="s">
        <v>23</v>
      </c>
    </row>
    <row r="1196" spans="1:19" ht="15.75" customHeight="1">
      <c r="A1196" s="10">
        <v>27</v>
      </c>
      <c r="B1196" s="10">
        <v>2023</v>
      </c>
      <c r="C1196" s="6" t="s">
        <v>102</v>
      </c>
      <c r="D1196" s="48">
        <v>45013</v>
      </c>
      <c r="E1196" s="6" t="s">
        <v>20</v>
      </c>
      <c r="F1196" s="6" t="s">
        <v>53</v>
      </c>
      <c r="G1196" s="10">
        <v>1</v>
      </c>
      <c r="H1196" s="10">
        <v>7</v>
      </c>
      <c r="I1196" s="10">
        <v>5</v>
      </c>
      <c r="J1196" s="4" t="s">
        <v>30</v>
      </c>
      <c r="K1196" s="4">
        <v>36841</v>
      </c>
      <c r="L1196" s="4" t="s">
        <v>31</v>
      </c>
      <c r="M1196" s="6" t="s">
        <v>2993</v>
      </c>
      <c r="N1196" s="25" t="s">
        <v>20</v>
      </c>
      <c r="O1196" s="6" t="s">
        <v>23</v>
      </c>
      <c r="P1196" s="6" t="s">
        <v>23</v>
      </c>
      <c r="Q1196" s="9" t="s">
        <v>23</v>
      </c>
      <c r="R1196" s="54" t="s">
        <v>23</v>
      </c>
      <c r="S1196" s="17" t="s">
        <v>23</v>
      </c>
    </row>
    <row r="1197" spans="1:19" ht="15.75" customHeight="1">
      <c r="A1197" s="10">
        <v>27</v>
      </c>
      <c r="B1197" s="10">
        <v>2023</v>
      </c>
      <c r="C1197" s="6" t="s">
        <v>102</v>
      </c>
      <c r="D1197" s="48">
        <v>45013</v>
      </c>
      <c r="E1197" s="6" t="s">
        <v>20</v>
      </c>
      <c r="F1197" s="6" t="s">
        <v>53</v>
      </c>
      <c r="G1197" s="10">
        <v>1</v>
      </c>
      <c r="H1197" s="10">
        <v>7</v>
      </c>
      <c r="I1197" s="10">
        <v>6</v>
      </c>
      <c r="J1197" s="4" t="s">
        <v>30</v>
      </c>
      <c r="K1197" s="4">
        <v>36943</v>
      </c>
      <c r="L1197" s="4" t="s">
        <v>31</v>
      </c>
      <c r="M1197" s="6" t="s">
        <v>3022</v>
      </c>
      <c r="N1197" s="25" t="s">
        <v>20</v>
      </c>
      <c r="O1197" s="6" t="s">
        <v>23</v>
      </c>
      <c r="P1197" s="6" t="s">
        <v>23</v>
      </c>
      <c r="Q1197" s="9" t="s">
        <v>23</v>
      </c>
      <c r="R1197" s="54" t="s">
        <v>23</v>
      </c>
      <c r="S1197" s="17" t="s">
        <v>23</v>
      </c>
    </row>
    <row r="1198" spans="1:19" ht="15.75" customHeight="1">
      <c r="A1198" s="10">
        <v>27</v>
      </c>
      <c r="B1198" s="10">
        <v>2023</v>
      </c>
      <c r="C1198" s="6" t="s">
        <v>102</v>
      </c>
      <c r="D1198" s="48">
        <v>45013</v>
      </c>
      <c r="E1198" s="6" t="s">
        <v>20</v>
      </c>
      <c r="F1198" s="6" t="s">
        <v>53</v>
      </c>
      <c r="G1198" s="10">
        <v>1</v>
      </c>
      <c r="H1198" s="10">
        <v>7</v>
      </c>
      <c r="I1198" s="10">
        <v>7</v>
      </c>
      <c r="J1198" s="4" t="s">
        <v>30</v>
      </c>
      <c r="K1198" s="4">
        <v>36956</v>
      </c>
      <c r="L1198" s="4" t="s">
        <v>61</v>
      </c>
      <c r="M1198" s="6" t="s">
        <v>3000</v>
      </c>
      <c r="N1198" s="25" t="s">
        <v>20</v>
      </c>
      <c r="O1198" s="6" t="s">
        <v>23</v>
      </c>
      <c r="P1198" s="6" t="s">
        <v>23</v>
      </c>
      <c r="Q1198" s="9" t="s">
        <v>23</v>
      </c>
      <c r="R1198" s="54" t="s">
        <v>23</v>
      </c>
      <c r="S1198" s="17" t="s">
        <v>23</v>
      </c>
    </row>
    <row r="1199" spans="1:19" ht="15.75" customHeight="1">
      <c r="A1199" s="10">
        <v>28</v>
      </c>
      <c r="B1199" s="10">
        <v>2023</v>
      </c>
      <c r="C1199" s="6" t="s">
        <v>1824</v>
      </c>
      <c r="D1199" s="48">
        <v>45013</v>
      </c>
      <c r="E1199" s="6" t="s">
        <v>20</v>
      </c>
      <c r="F1199" s="6" t="s">
        <v>51</v>
      </c>
      <c r="G1199" s="10">
        <v>1</v>
      </c>
      <c r="H1199" s="10">
        <v>1</v>
      </c>
      <c r="I1199" s="10">
        <v>1</v>
      </c>
      <c r="J1199" s="4" t="s">
        <v>30</v>
      </c>
      <c r="K1199" s="4">
        <v>37067</v>
      </c>
      <c r="L1199" s="4" t="s">
        <v>31</v>
      </c>
      <c r="M1199" s="6" t="s">
        <v>3026</v>
      </c>
      <c r="N1199" s="25" t="s">
        <v>33</v>
      </c>
      <c r="O1199" s="6" t="s">
        <v>33</v>
      </c>
      <c r="P1199" s="6">
        <v>1</v>
      </c>
      <c r="Q1199" s="32" t="s">
        <v>3027</v>
      </c>
      <c r="R1199" s="56" t="s">
        <v>3028</v>
      </c>
      <c r="S1199" s="34" t="s">
        <v>3029</v>
      </c>
    </row>
    <row r="1200" spans="1:19" ht="15.75" customHeight="1">
      <c r="A1200" s="10">
        <v>29</v>
      </c>
      <c r="B1200" s="10">
        <v>2023</v>
      </c>
      <c r="C1200" s="6" t="s">
        <v>102</v>
      </c>
      <c r="D1200" s="48">
        <v>45015</v>
      </c>
      <c r="E1200" s="6" t="s">
        <v>20</v>
      </c>
      <c r="F1200" s="6" t="s">
        <v>47</v>
      </c>
      <c r="G1200" s="10">
        <v>1</v>
      </c>
      <c r="H1200" s="10">
        <v>2</v>
      </c>
      <c r="I1200" s="10">
        <v>1</v>
      </c>
      <c r="J1200" s="4" t="s">
        <v>30</v>
      </c>
      <c r="K1200" s="4">
        <v>36944</v>
      </c>
      <c r="L1200" s="4" t="s">
        <v>31</v>
      </c>
      <c r="M1200" s="6" t="s">
        <v>3030</v>
      </c>
      <c r="N1200" s="25" t="s">
        <v>33</v>
      </c>
      <c r="O1200" s="6" t="s">
        <v>33</v>
      </c>
      <c r="P1200" s="6">
        <v>2</v>
      </c>
      <c r="Q1200" s="32" t="s">
        <v>3031</v>
      </c>
      <c r="R1200" s="56" t="s">
        <v>3032</v>
      </c>
      <c r="S1200" s="34" t="s">
        <v>3033</v>
      </c>
    </row>
    <row r="1201" spans="1:19" ht="15.75" customHeight="1">
      <c r="A1201" s="10">
        <v>29</v>
      </c>
      <c r="B1201" s="10">
        <v>2023</v>
      </c>
      <c r="C1201" s="6" t="s">
        <v>102</v>
      </c>
      <c r="D1201" s="48">
        <v>45015</v>
      </c>
      <c r="E1201" s="6" t="s">
        <v>20</v>
      </c>
      <c r="F1201" s="6" t="s">
        <v>47</v>
      </c>
      <c r="G1201" s="10">
        <v>1</v>
      </c>
      <c r="H1201" s="10">
        <v>2</v>
      </c>
      <c r="I1201" s="10">
        <v>2</v>
      </c>
      <c r="J1201" s="4" t="s">
        <v>30</v>
      </c>
      <c r="K1201" s="4">
        <v>37008</v>
      </c>
      <c r="L1201" s="4" t="s">
        <v>31</v>
      </c>
      <c r="M1201" s="6" t="s">
        <v>3034</v>
      </c>
      <c r="N1201" s="25" t="s">
        <v>33</v>
      </c>
      <c r="O1201" s="6" t="s">
        <v>23</v>
      </c>
      <c r="P1201" s="6" t="s">
        <v>23</v>
      </c>
      <c r="Q1201" s="9" t="s">
        <v>23</v>
      </c>
      <c r="R1201" s="54" t="s">
        <v>23</v>
      </c>
      <c r="S1201" s="17" t="s">
        <v>23</v>
      </c>
    </row>
    <row r="1202" spans="1:19" ht="15.75" customHeight="1">
      <c r="A1202" s="10">
        <v>30</v>
      </c>
      <c r="B1202" s="10">
        <v>2023</v>
      </c>
      <c r="C1202" s="6" t="s">
        <v>102</v>
      </c>
      <c r="D1202" s="48">
        <v>45015</v>
      </c>
      <c r="E1202" s="6" t="s">
        <v>20</v>
      </c>
      <c r="F1202" s="6" t="s">
        <v>55</v>
      </c>
      <c r="G1202" s="10">
        <v>1</v>
      </c>
      <c r="H1202" s="10">
        <v>5</v>
      </c>
      <c r="I1202" s="10">
        <v>1</v>
      </c>
      <c r="J1202" s="4" t="s">
        <v>71</v>
      </c>
      <c r="K1202" s="4">
        <v>35488</v>
      </c>
      <c r="L1202" s="4" t="s">
        <v>61</v>
      </c>
      <c r="M1202" s="6" t="s">
        <v>3035</v>
      </c>
      <c r="N1202" s="25" t="s">
        <v>33</v>
      </c>
      <c r="O1202" s="6" t="s">
        <v>20</v>
      </c>
      <c r="P1202" s="6">
        <v>0</v>
      </c>
      <c r="Q1202" s="32" t="s">
        <v>3036</v>
      </c>
      <c r="R1202" s="56" t="s">
        <v>3037</v>
      </c>
      <c r="S1202" s="34" t="s">
        <v>3038</v>
      </c>
    </row>
    <row r="1203" spans="1:19" ht="15.75" customHeight="1">
      <c r="A1203" s="10">
        <v>30</v>
      </c>
      <c r="B1203" s="10">
        <v>2023</v>
      </c>
      <c r="C1203" s="6" t="s">
        <v>102</v>
      </c>
      <c r="D1203" s="48">
        <v>45015</v>
      </c>
      <c r="E1203" s="6" t="s">
        <v>20</v>
      </c>
      <c r="F1203" s="6" t="s">
        <v>55</v>
      </c>
      <c r="G1203" s="10">
        <v>1</v>
      </c>
      <c r="H1203" s="10">
        <v>5</v>
      </c>
      <c r="I1203" s="10">
        <v>2</v>
      </c>
      <c r="J1203" s="4" t="s">
        <v>71</v>
      </c>
      <c r="K1203" s="4">
        <v>36563</v>
      </c>
      <c r="L1203" s="4" t="s">
        <v>61</v>
      </c>
      <c r="M1203" s="6" t="s">
        <v>3039</v>
      </c>
      <c r="N1203" s="25" t="s">
        <v>33</v>
      </c>
      <c r="O1203" s="6" t="s">
        <v>23</v>
      </c>
      <c r="P1203" s="6" t="s">
        <v>23</v>
      </c>
      <c r="Q1203" s="9" t="s">
        <v>23</v>
      </c>
      <c r="R1203" s="54" t="s">
        <v>23</v>
      </c>
      <c r="S1203" s="17" t="s">
        <v>23</v>
      </c>
    </row>
    <row r="1204" spans="1:19" ht="15.75" customHeight="1">
      <c r="A1204" s="10">
        <v>30</v>
      </c>
      <c r="B1204" s="10">
        <v>2023</v>
      </c>
      <c r="C1204" s="6" t="s">
        <v>102</v>
      </c>
      <c r="D1204" s="48">
        <v>45015</v>
      </c>
      <c r="E1204" s="6" t="s">
        <v>20</v>
      </c>
      <c r="F1204" s="6" t="s">
        <v>55</v>
      </c>
      <c r="G1204" s="10">
        <v>1</v>
      </c>
      <c r="H1204" s="10">
        <v>5</v>
      </c>
      <c r="I1204" s="10">
        <v>3</v>
      </c>
      <c r="J1204" s="4" t="s">
        <v>71</v>
      </c>
      <c r="K1204" s="4">
        <v>36724</v>
      </c>
      <c r="L1204" s="4" t="s">
        <v>61</v>
      </c>
      <c r="M1204" s="6" t="s">
        <v>3040</v>
      </c>
      <c r="N1204" s="25" t="s">
        <v>33</v>
      </c>
      <c r="O1204" s="6" t="s">
        <v>23</v>
      </c>
      <c r="P1204" s="6" t="s">
        <v>23</v>
      </c>
      <c r="Q1204" s="9" t="s">
        <v>23</v>
      </c>
      <c r="R1204" s="54" t="s">
        <v>23</v>
      </c>
      <c r="S1204" s="17" t="s">
        <v>23</v>
      </c>
    </row>
    <row r="1205" spans="1:19" ht="15.75" customHeight="1">
      <c r="A1205" s="10">
        <v>30</v>
      </c>
      <c r="B1205" s="10">
        <v>2023</v>
      </c>
      <c r="C1205" s="6" t="s">
        <v>102</v>
      </c>
      <c r="D1205" s="48">
        <v>45015</v>
      </c>
      <c r="E1205" s="6" t="s">
        <v>20</v>
      </c>
      <c r="F1205" s="6" t="s">
        <v>55</v>
      </c>
      <c r="G1205" s="10">
        <v>1</v>
      </c>
      <c r="H1205" s="10">
        <v>5</v>
      </c>
      <c r="I1205" s="10">
        <v>4</v>
      </c>
      <c r="J1205" s="4" t="s">
        <v>71</v>
      </c>
      <c r="K1205" s="4">
        <v>36742</v>
      </c>
      <c r="L1205" s="4" t="s">
        <v>61</v>
      </c>
      <c r="M1205" s="6" t="s">
        <v>3041</v>
      </c>
      <c r="N1205" s="25" t="s">
        <v>33</v>
      </c>
      <c r="O1205" s="6" t="s">
        <v>23</v>
      </c>
      <c r="P1205" s="6" t="s">
        <v>23</v>
      </c>
      <c r="Q1205" s="9" t="s">
        <v>23</v>
      </c>
      <c r="R1205" s="54" t="s">
        <v>23</v>
      </c>
      <c r="S1205" s="17" t="s">
        <v>23</v>
      </c>
    </row>
    <row r="1206" spans="1:19" ht="15.75" customHeight="1">
      <c r="A1206" s="10">
        <v>30</v>
      </c>
      <c r="B1206" s="10">
        <v>2023</v>
      </c>
      <c r="C1206" s="6" t="s">
        <v>102</v>
      </c>
      <c r="D1206" s="48">
        <v>45015</v>
      </c>
      <c r="E1206" s="6" t="s">
        <v>20</v>
      </c>
      <c r="F1206" s="6" t="s">
        <v>55</v>
      </c>
      <c r="G1206" s="10">
        <v>1</v>
      </c>
      <c r="H1206" s="10">
        <v>5</v>
      </c>
      <c r="I1206" s="10">
        <v>5</v>
      </c>
      <c r="J1206" s="4" t="s">
        <v>71</v>
      </c>
      <c r="K1206" s="4">
        <v>36852</v>
      </c>
      <c r="L1206" s="4" t="s">
        <v>61</v>
      </c>
      <c r="M1206" s="6" t="s">
        <v>3042</v>
      </c>
      <c r="N1206" s="25" t="s">
        <v>33</v>
      </c>
      <c r="O1206" s="6" t="s">
        <v>23</v>
      </c>
      <c r="P1206" s="6" t="s">
        <v>23</v>
      </c>
      <c r="Q1206" s="9" t="s">
        <v>23</v>
      </c>
      <c r="R1206" s="54" t="s">
        <v>23</v>
      </c>
      <c r="S1206" s="17" t="s">
        <v>23</v>
      </c>
    </row>
    <row r="1207" spans="1:19" ht="15.75" customHeight="1">
      <c r="A1207" s="10">
        <v>31</v>
      </c>
      <c r="B1207" s="10">
        <v>2023</v>
      </c>
      <c r="C1207" s="6" t="s">
        <v>102</v>
      </c>
      <c r="D1207" s="48">
        <v>45015</v>
      </c>
      <c r="E1207" s="6" t="s">
        <v>20</v>
      </c>
      <c r="F1207" s="6" t="s">
        <v>43</v>
      </c>
      <c r="G1207" s="10">
        <v>1</v>
      </c>
      <c r="H1207" s="10">
        <v>1</v>
      </c>
      <c r="I1207" s="10">
        <v>1</v>
      </c>
      <c r="J1207" s="4" t="s">
        <v>30</v>
      </c>
      <c r="K1207" s="4">
        <v>36883</v>
      </c>
      <c r="L1207" s="4" t="s">
        <v>31</v>
      </c>
      <c r="M1207" s="6" t="s">
        <v>3043</v>
      </c>
      <c r="N1207" s="25" t="s">
        <v>20</v>
      </c>
      <c r="O1207" s="6" t="s">
        <v>33</v>
      </c>
      <c r="P1207" s="6">
        <v>5</v>
      </c>
      <c r="Q1207" s="9" t="s">
        <v>23</v>
      </c>
      <c r="R1207" s="56" t="s">
        <v>3044</v>
      </c>
      <c r="S1207" s="17" t="s">
        <v>23</v>
      </c>
    </row>
    <row r="1208" spans="1:19" ht="15.75" customHeight="1">
      <c r="A1208" s="10">
        <v>32</v>
      </c>
      <c r="B1208" s="10">
        <v>2023</v>
      </c>
      <c r="C1208" s="6" t="s">
        <v>102</v>
      </c>
      <c r="D1208" s="48">
        <v>45020</v>
      </c>
      <c r="E1208" s="6" t="s">
        <v>33</v>
      </c>
      <c r="F1208" s="6" t="s">
        <v>2959</v>
      </c>
      <c r="G1208" s="10">
        <v>3</v>
      </c>
      <c r="H1208" s="10">
        <v>1</v>
      </c>
      <c r="I1208" s="10">
        <v>1</v>
      </c>
      <c r="J1208" s="4" t="s">
        <v>30</v>
      </c>
      <c r="K1208" s="4">
        <v>36882</v>
      </c>
      <c r="L1208" s="4" t="s">
        <v>31</v>
      </c>
      <c r="M1208" s="6" t="s">
        <v>2960</v>
      </c>
      <c r="N1208" s="25" t="s">
        <v>33</v>
      </c>
      <c r="O1208" s="6" t="s">
        <v>20</v>
      </c>
      <c r="P1208" s="6">
        <v>0</v>
      </c>
      <c r="Q1208" s="32" t="s">
        <v>3045</v>
      </c>
      <c r="R1208" s="56" t="s">
        <v>3037</v>
      </c>
      <c r="S1208" s="34" t="s">
        <v>3046</v>
      </c>
    </row>
    <row r="1209" spans="1:19" ht="15.75" customHeight="1">
      <c r="A1209" s="10">
        <v>33</v>
      </c>
      <c r="B1209" s="10">
        <v>2023</v>
      </c>
      <c r="C1209" s="6" t="s">
        <v>102</v>
      </c>
      <c r="D1209" s="48">
        <v>45020</v>
      </c>
      <c r="E1209" s="6" t="s">
        <v>20</v>
      </c>
      <c r="F1209" s="6" t="s">
        <v>37</v>
      </c>
      <c r="G1209" s="10">
        <v>1</v>
      </c>
      <c r="H1209" s="10">
        <v>4</v>
      </c>
      <c r="I1209" s="10">
        <v>1</v>
      </c>
      <c r="J1209" s="4" t="s">
        <v>2862</v>
      </c>
      <c r="K1209" s="4">
        <v>36945</v>
      </c>
      <c r="L1209" s="4" t="s">
        <v>61</v>
      </c>
      <c r="M1209" s="6" t="s">
        <v>2998</v>
      </c>
      <c r="N1209" s="25" t="s">
        <v>33</v>
      </c>
      <c r="O1209" s="6" t="s">
        <v>20</v>
      </c>
      <c r="P1209" s="6">
        <v>0</v>
      </c>
      <c r="Q1209" s="32" t="s">
        <v>3047</v>
      </c>
      <c r="R1209" s="56" t="s">
        <v>3048</v>
      </c>
      <c r="S1209" s="34" t="s">
        <v>3049</v>
      </c>
    </row>
    <row r="1210" spans="1:19" ht="15.75" customHeight="1">
      <c r="A1210" s="10">
        <v>33</v>
      </c>
      <c r="B1210" s="10">
        <v>2023</v>
      </c>
      <c r="C1210" s="6" t="s">
        <v>102</v>
      </c>
      <c r="D1210" s="48">
        <v>45020</v>
      </c>
      <c r="E1210" s="6" t="s">
        <v>20</v>
      </c>
      <c r="F1210" s="6" t="s">
        <v>37</v>
      </c>
      <c r="G1210" s="10">
        <v>1</v>
      </c>
      <c r="H1210" s="10">
        <v>4</v>
      </c>
      <c r="I1210" s="10">
        <v>2</v>
      </c>
      <c r="J1210" s="4" t="s">
        <v>2862</v>
      </c>
      <c r="K1210" s="4">
        <v>36971</v>
      </c>
      <c r="L1210" s="4" t="s">
        <v>61</v>
      </c>
      <c r="M1210" s="6" t="s">
        <v>2998</v>
      </c>
      <c r="N1210" s="25" t="s">
        <v>33</v>
      </c>
      <c r="O1210" s="6" t="s">
        <v>23</v>
      </c>
      <c r="P1210" s="6" t="s">
        <v>23</v>
      </c>
      <c r="Q1210" s="9" t="s">
        <v>23</v>
      </c>
      <c r="R1210" s="54" t="s">
        <v>23</v>
      </c>
      <c r="S1210" s="17" t="s">
        <v>23</v>
      </c>
    </row>
    <row r="1211" spans="1:19" ht="15.75" customHeight="1">
      <c r="A1211" s="10">
        <v>33</v>
      </c>
      <c r="B1211" s="10">
        <v>2023</v>
      </c>
      <c r="C1211" s="6" t="s">
        <v>102</v>
      </c>
      <c r="D1211" s="48">
        <v>45020</v>
      </c>
      <c r="E1211" s="6" t="s">
        <v>20</v>
      </c>
      <c r="F1211" s="6" t="s">
        <v>37</v>
      </c>
      <c r="G1211" s="10">
        <v>1</v>
      </c>
      <c r="H1211" s="10">
        <v>4</v>
      </c>
      <c r="I1211" s="10">
        <v>3</v>
      </c>
      <c r="J1211" s="4" t="s">
        <v>2862</v>
      </c>
      <c r="K1211" s="4">
        <v>36979</v>
      </c>
      <c r="L1211" s="4" t="s">
        <v>61</v>
      </c>
      <c r="M1211" s="6" t="s">
        <v>2998</v>
      </c>
      <c r="N1211" s="25" t="s">
        <v>33</v>
      </c>
      <c r="O1211" s="6" t="s">
        <v>23</v>
      </c>
      <c r="P1211" s="6" t="s">
        <v>23</v>
      </c>
      <c r="Q1211" s="9" t="s">
        <v>23</v>
      </c>
      <c r="R1211" s="54" t="s">
        <v>23</v>
      </c>
      <c r="S1211" s="17" t="s">
        <v>23</v>
      </c>
    </row>
    <row r="1212" spans="1:19" ht="15.75" customHeight="1">
      <c r="A1212" s="10">
        <v>33</v>
      </c>
      <c r="B1212" s="10">
        <v>2023</v>
      </c>
      <c r="C1212" s="6" t="s">
        <v>102</v>
      </c>
      <c r="D1212" s="48">
        <v>45020</v>
      </c>
      <c r="E1212" s="6" t="s">
        <v>20</v>
      </c>
      <c r="F1212" s="6" t="s">
        <v>37</v>
      </c>
      <c r="G1212" s="10">
        <v>1</v>
      </c>
      <c r="H1212" s="10">
        <v>4</v>
      </c>
      <c r="I1212" s="10">
        <v>4</v>
      </c>
      <c r="J1212" s="4" t="s">
        <v>416</v>
      </c>
      <c r="K1212" s="4">
        <v>36959</v>
      </c>
      <c r="L1212" s="4" t="s">
        <v>61</v>
      </c>
      <c r="M1212" s="6" t="s">
        <v>2999</v>
      </c>
      <c r="N1212" s="25" t="s">
        <v>33</v>
      </c>
      <c r="O1212" s="6" t="s">
        <v>23</v>
      </c>
      <c r="P1212" s="6" t="s">
        <v>23</v>
      </c>
      <c r="Q1212" s="9" t="s">
        <v>23</v>
      </c>
      <c r="R1212" s="54" t="s">
        <v>23</v>
      </c>
      <c r="S1212" s="17" t="s">
        <v>23</v>
      </c>
    </row>
    <row r="1213" spans="1:19" ht="15.75" customHeight="1">
      <c r="A1213" s="10">
        <v>34</v>
      </c>
      <c r="B1213" s="10">
        <v>2023</v>
      </c>
      <c r="C1213" s="6" t="s">
        <v>102</v>
      </c>
      <c r="D1213" s="48">
        <v>45027</v>
      </c>
      <c r="E1213" s="6" t="s">
        <v>20</v>
      </c>
      <c r="F1213" s="6" t="s">
        <v>47</v>
      </c>
      <c r="G1213" s="10">
        <v>1</v>
      </c>
      <c r="H1213" s="10">
        <v>1</v>
      </c>
      <c r="I1213" s="10">
        <v>1</v>
      </c>
      <c r="J1213" s="4" t="s">
        <v>30</v>
      </c>
      <c r="K1213" s="4">
        <v>37117</v>
      </c>
      <c r="L1213" s="4" t="s">
        <v>31</v>
      </c>
      <c r="M1213" s="6" t="s">
        <v>3050</v>
      </c>
      <c r="N1213" s="25" t="s">
        <v>33</v>
      </c>
      <c r="O1213" s="6" t="s">
        <v>33</v>
      </c>
      <c r="P1213" s="6">
        <v>1</v>
      </c>
      <c r="Q1213" s="32" t="s">
        <v>3051</v>
      </c>
      <c r="R1213" s="56" t="s">
        <v>3052</v>
      </c>
      <c r="S1213" s="34" t="s">
        <v>3053</v>
      </c>
    </row>
    <row r="1214" spans="1:19" ht="15.75" customHeight="1">
      <c r="A1214" s="10">
        <v>35</v>
      </c>
      <c r="B1214" s="10">
        <v>2023</v>
      </c>
      <c r="C1214" s="6" t="s">
        <v>102</v>
      </c>
      <c r="D1214" s="48">
        <v>45027</v>
      </c>
      <c r="E1214" s="6" t="s">
        <v>33</v>
      </c>
      <c r="F1214" s="6" t="s">
        <v>1943</v>
      </c>
      <c r="G1214" s="10">
        <v>2</v>
      </c>
      <c r="H1214" s="10">
        <v>1</v>
      </c>
      <c r="I1214" s="10">
        <v>1</v>
      </c>
      <c r="J1214" s="4" t="s">
        <v>30</v>
      </c>
      <c r="K1214" s="4">
        <v>36883</v>
      </c>
      <c r="L1214" s="4" t="s">
        <v>31</v>
      </c>
      <c r="M1214" s="6" t="s">
        <v>3043</v>
      </c>
      <c r="N1214" s="25" t="s">
        <v>33</v>
      </c>
      <c r="O1214" s="6" t="s">
        <v>20</v>
      </c>
      <c r="P1214" s="6">
        <v>0</v>
      </c>
      <c r="Q1214" s="32" t="s">
        <v>3054</v>
      </c>
      <c r="R1214" s="56" t="s">
        <v>3055</v>
      </c>
      <c r="S1214" s="34" t="s">
        <v>3056</v>
      </c>
    </row>
    <row r="1215" spans="1:19" ht="15.75" customHeight="1">
      <c r="A1215" s="10">
        <v>36</v>
      </c>
      <c r="B1215" s="10">
        <v>2023</v>
      </c>
      <c r="C1215" s="6" t="s">
        <v>1824</v>
      </c>
      <c r="D1215" s="48">
        <v>45029</v>
      </c>
      <c r="E1215" s="6" t="s">
        <v>33</v>
      </c>
      <c r="F1215" s="6" t="s">
        <v>3057</v>
      </c>
      <c r="G1215" s="10">
        <v>2</v>
      </c>
      <c r="H1215" s="10">
        <v>1</v>
      </c>
      <c r="I1215" s="10">
        <v>1</v>
      </c>
      <c r="J1215" s="4" t="s">
        <v>30</v>
      </c>
      <c r="K1215" s="4">
        <v>34982</v>
      </c>
      <c r="L1215" s="4" t="s">
        <v>61</v>
      </c>
      <c r="M1215" s="6" t="s">
        <v>3058</v>
      </c>
      <c r="N1215" s="25" t="s">
        <v>33</v>
      </c>
      <c r="O1215" s="6" t="s">
        <v>33</v>
      </c>
      <c r="P1215" s="6">
        <v>13</v>
      </c>
      <c r="Q1215" s="9" t="s">
        <v>23</v>
      </c>
      <c r="R1215" s="56" t="s">
        <v>3059</v>
      </c>
      <c r="S1215" s="34" t="s">
        <v>3060</v>
      </c>
    </row>
    <row r="1216" spans="1:19" ht="15.75" customHeight="1">
      <c r="A1216" s="10">
        <v>37</v>
      </c>
      <c r="B1216" s="10">
        <v>2023</v>
      </c>
      <c r="C1216" s="6" t="s">
        <v>102</v>
      </c>
      <c r="D1216" s="48">
        <v>45034</v>
      </c>
      <c r="E1216" s="6" t="s">
        <v>20</v>
      </c>
      <c r="F1216" s="6" t="s">
        <v>53</v>
      </c>
      <c r="G1216" s="10">
        <v>1</v>
      </c>
      <c r="H1216" s="10">
        <v>4</v>
      </c>
      <c r="I1216" s="10">
        <v>1</v>
      </c>
      <c r="J1216" s="4" t="s">
        <v>30</v>
      </c>
      <c r="K1216" s="4">
        <v>36944</v>
      </c>
      <c r="L1216" s="4" t="s">
        <v>31</v>
      </c>
      <c r="M1216" s="6" t="s">
        <v>3030</v>
      </c>
      <c r="N1216" s="25" t="s">
        <v>20</v>
      </c>
      <c r="O1216" s="6" t="s">
        <v>20</v>
      </c>
      <c r="P1216" s="6">
        <v>0</v>
      </c>
      <c r="Q1216" s="32" t="s">
        <v>3061</v>
      </c>
      <c r="R1216" s="56" t="s">
        <v>3062</v>
      </c>
      <c r="S1216" s="34" t="s">
        <v>3063</v>
      </c>
    </row>
    <row r="1217" spans="1:19" ht="15.75" customHeight="1">
      <c r="A1217" s="10">
        <v>37</v>
      </c>
      <c r="B1217" s="10">
        <v>2023</v>
      </c>
      <c r="C1217" s="6" t="s">
        <v>102</v>
      </c>
      <c r="D1217" s="48">
        <v>45034</v>
      </c>
      <c r="E1217" s="6" t="s">
        <v>20</v>
      </c>
      <c r="F1217" s="6" t="s">
        <v>53</v>
      </c>
      <c r="G1217" s="10">
        <v>1</v>
      </c>
      <c r="H1217" s="10">
        <v>4</v>
      </c>
      <c r="I1217" s="10">
        <v>2</v>
      </c>
      <c r="J1217" s="4" t="s">
        <v>30</v>
      </c>
      <c r="K1217" s="4">
        <v>37008</v>
      </c>
      <c r="L1217" s="4" t="s">
        <v>31</v>
      </c>
      <c r="M1217" s="6" t="s">
        <v>3034</v>
      </c>
      <c r="N1217" s="25" t="s">
        <v>20</v>
      </c>
      <c r="O1217" s="6" t="s">
        <v>23</v>
      </c>
      <c r="P1217" s="6" t="s">
        <v>23</v>
      </c>
      <c r="Q1217" s="9" t="s">
        <v>23</v>
      </c>
      <c r="R1217" s="54" t="s">
        <v>23</v>
      </c>
      <c r="S1217" s="17" t="s">
        <v>23</v>
      </c>
    </row>
    <row r="1218" spans="1:19" ht="15.75" customHeight="1">
      <c r="A1218" s="10">
        <v>37</v>
      </c>
      <c r="B1218" s="10">
        <v>2023</v>
      </c>
      <c r="C1218" s="6" t="s">
        <v>102</v>
      </c>
      <c r="D1218" s="48">
        <v>45034</v>
      </c>
      <c r="E1218" s="6" t="s">
        <v>20</v>
      </c>
      <c r="F1218" s="6" t="s">
        <v>53</v>
      </c>
      <c r="G1218" s="10">
        <v>1</v>
      </c>
      <c r="H1218" s="10">
        <v>4</v>
      </c>
      <c r="I1218" s="10">
        <v>3</v>
      </c>
      <c r="J1218" s="4" t="s">
        <v>30</v>
      </c>
      <c r="K1218" s="4">
        <v>37117</v>
      </c>
      <c r="L1218" s="4" t="s">
        <v>31</v>
      </c>
      <c r="M1218" s="6" t="s">
        <v>3050</v>
      </c>
      <c r="N1218" s="25" t="s">
        <v>20</v>
      </c>
      <c r="O1218" s="6" t="s">
        <v>23</v>
      </c>
      <c r="P1218" s="6" t="s">
        <v>23</v>
      </c>
      <c r="Q1218" s="9" t="s">
        <v>23</v>
      </c>
      <c r="R1218" s="54" t="s">
        <v>23</v>
      </c>
      <c r="S1218" s="17" t="s">
        <v>23</v>
      </c>
    </row>
    <row r="1219" spans="1:19" ht="15.75" customHeight="1">
      <c r="A1219" s="10">
        <v>37</v>
      </c>
      <c r="B1219" s="10">
        <v>2023</v>
      </c>
      <c r="C1219" s="6" t="s">
        <v>102</v>
      </c>
      <c r="D1219" s="48">
        <v>45034</v>
      </c>
      <c r="E1219" s="6" t="s">
        <v>20</v>
      </c>
      <c r="F1219" s="6" t="s">
        <v>53</v>
      </c>
      <c r="G1219" s="10">
        <v>1</v>
      </c>
      <c r="H1219" s="10">
        <v>4</v>
      </c>
      <c r="I1219" s="10">
        <v>4</v>
      </c>
      <c r="J1219" s="4" t="s">
        <v>30</v>
      </c>
      <c r="K1219" s="4">
        <v>34982</v>
      </c>
      <c r="L1219" s="4" t="s">
        <v>61</v>
      </c>
      <c r="M1219" s="6" t="s">
        <v>3058</v>
      </c>
      <c r="N1219" s="25" t="s">
        <v>20</v>
      </c>
      <c r="O1219" s="6" t="s">
        <v>23</v>
      </c>
      <c r="P1219" s="6" t="s">
        <v>23</v>
      </c>
      <c r="Q1219" s="9" t="s">
        <v>23</v>
      </c>
      <c r="R1219" s="54" t="s">
        <v>23</v>
      </c>
      <c r="S1219" s="17" t="s">
        <v>23</v>
      </c>
    </row>
    <row r="1220" spans="1:19" ht="15.75" customHeight="1">
      <c r="A1220" s="10">
        <v>38</v>
      </c>
      <c r="B1220" s="10">
        <v>2023</v>
      </c>
      <c r="C1220" s="6" t="s">
        <v>102</v>
      </c>
      <c r="D1220" s="48">
        <v>45034</v>
      </c>
      <c r="E1220" s="6" t="s">
        <v>20</v>
      </c>
      <c r="F1220" s="6" t="s">
        <v>55</v>
      </c>
      <c r="G1220" s="10">
        <v>1</v>
      </c>
      <c r="H1220" s="10">
        <v>1</v>
      </c>
      <c r="I1220" s="10">
        <v>1</v>
      </c>
      <c r="J1220" s="4" t="s">
        <v>30</v>
      </c>
      <c r="K1220" s="4">
        <v>37160</v>
      </c>
      <c r="L1220" s="4" t="s">
        <v>31</v>
      </c>
      <c r="M1220" s="6" t="s">
        <v>3064</v>
      </c>
      <c r="N1220" s="25" t="s">
        <v>33</v>
      </c>
      <c r="O1220" s="6" t="s">
        <v>20</v>
      </c>
      <c r="P1220" s="6">
        <v>0</v>
      </c>
      <c r="Q1220" s="9" t="s">
        <v>23</v>
      </c>
      <c r="R1220" s="56" t="s">
        <v>3065</v>
      </c>
      <c r="S1220" s="17" t="s">
        <v>23</v>
      </c>
    </row>
    <row r="1221" spans="1:19" ht="15.75" customHeight="1">
      <c r="A1221" s="10">
        <v>39</v>
      </c>
      <c r="B1221" s="10">
        <v>2023</v>
      </c>
      <c r="C1221" s="6" t="s">
        <v>1824</v>
      </c>
      <c r="D1221" s="48">
        <v>45034</v>
      </c>
      <c r="E1221" s="6" t="s">
        <v>33</v>
      </c>
      <c r="F1221" s="6" t="s">
        <v>3066</v>
      </c>
      <c r="G1221" s="10">
        <v>2</v>
      </c>
      <c r="H1221" s="10">
        <v>1</v>
      </c>
      <c r="I1221" s="10">
        <v>1</v>
      </c>
      <c r="J1221" s="4" t="s">
        <v>23</v>
      </c>
      <c r="K1221" s="4" t="s">
        <v>23</v>
      </c>
      <c r="L1221" s="4" t="s">
        <v>23</v>
      </c>
      <c r="M1221" s="6" t="s">
        <v>3067</v>
      </c>
      <c r="N1221" s="25" t="s">
        <v>23</v>
      </c>
      <c r="O1221" s="6" t="s">
        <v>33</v>
      </c>
      <c r="P1221" s="6">
        <v>6</v>
      </c>
      <c r="Q1221" s="32" t="s">
        <v>3068</v>
      </c>
      <c r="R1221" s="56" t="s">
        <v>3069</v>
      </c>
      <c r="S1221" s="34" t="s">
        <v>3070</v>
      </c>
    </row>
    <row r="1222" spans="1:19" ht="15.75" customHeight="1">
      <c r="A1222" s="10">
        <v>40</v>
      </c>
      <c r="B1222" s="10">
        <v>2023</v>
      </c>
      <c r="C1222" s="6" t="s">
        <v>102</v>
      </c>
      <c r="D1222" s="48">
        <v>45036</v>
      </c>
      <c r="E1222" s="6" t="s">
        <v>20</v>
      </c>
      <c r="F1222" s="6" t="s">
        <v>28</v>
      </c>
      <c r="G1222" s="10">
        <v>1</v>
      </c>
      <c r="H1222" s="10">
        <v>5</v>
      </c>
      <c r="I1222" s="10">
        <v>1</v>
      </c>
      <c r="J1222" s="4" t="s">
        <v>71</v>
      </c>
      <c r="K1222" s="4">
        <v>36329</v>
      </c>
      <c r="L1222" s="4" t="s">
        <v>61</v>
      </c>
      <c r="M1222" s="6" t="s">
        <v>3071</v>
      </c>
      <c r="N1222" s="25" t="s">
        <v>33</v>
      </c>
      <c r="O1222" s="6" t="s">
        <v>20</v>
      </c>
      <c r="P1222" s="6">
        <v>0</v>
      </c>
      <c r="Q1222" s="9" t="s">
        <v>23</v>
      </c>
      <c r="R1222" s="56" t="s">
        <v>3072</v>
      </c>
      <c r="S1222" s="17" t="s">
        <v>23</v>
      </c>
    </row>
    <row r="1223" spans="1:19" ht="15.75" customHeight="1">
      <c r="A1223" s="10">
        <v>40</v>
      </c>
      <c r="B1223" s="10">
        <v>2023</v>
      </c>
      <c r="C1223" s="6" t="s">
        <v>102</v>
      </c>
      <c r="D1223" s="48">
        <v>45036</v>
      </c>
      <c r="E1223" s="6" t="s">
        <v>20</v>
      </c>
      <c r="F1223" s="6" t="s">
        <v>28</v>
      </c>
      <c r="G1223" s="10">
        <v>1</v>
      </c>
      <c r="H1223" s="10">
        <v>5</v>
      </c>
      <c r="I1223" s="10">
        <v>2</v>
      </c>
      <c r="J1223" s="4" t="s">
        <v>71</v>
      </c>
      <c r="K1223" s="4">
        <v>36781</v>
      </c>
      <c r="L1223" s="4" t="s">
        <v>61</v>
      </c>
      <c r="M1223" s="6" t="s">
        <v>3073</v>
      </c>
      <c r="N1223" s="25" t="s">
        <v>33</v>
      </c>
      <c r="O1223" s="6" t="s">
        <v>23</v>
      </c>
      <c r="P1223" s="6" t="s">
        <v>23</v>
      </c>
      <c r="Q1223" s="9" t="s">
        <v>23</v>
      </c>
      <c r="R1223" s="54" t="s">
        <v>23</v>
      </c>
      <c r="S1223" s="17" t="s">
        <v>23</v>
      </c>
    </row>
    <row r="1224" spans="1:19" ht="15.75" customHeight="1">
      <c r="A1224" s="10">
        <v>40</v>
      </c>
      <c r="B1224" s="10">
        <v>2023</v>
      </c>
      <c r="C1224" s="6" t="s">
        <v>102</v>
      </c>
      <c r="D1224" s="48">
        <v>45036</v>
      </c>
      <c r="E1224" s="6" t="s">
        <v>20</v>
      </c>
      <c r="F1224" s="6" t="s">
        <v>28</v>
      </c>
      <c r="G1224" s="10">
        <v>1</v>
      </c>
      <c r="H1224" s="10">
        <v>5</v>
      </c>
      <c r="I1224" s="10">
        <v>3</v>
      </c>
      <c r="J1224" s="4" t="s">
        <v>71</v>
      </c>
      <c r="K1224" s="4">
        <v>36891</v>
      </c>
      <c r="L1224" s="4" t="s">
        <v>61</v>
      </c>
      <c r="M1224" s="6" t="s">
        <v>3074</v>
      </c>
      <c r="N1224" s="25" t="s">
        <v>33</v>
      </c>
      <c r="O1224" s="6" t="s">
        <v>23</v>
      </c>
      <c r="P1224" s="6" t="s">
        <v>23</v>
      </c>
      <c r="Q1224" s="9" t="s">
        <v>23</v>
      </c>
      <c r="R1224" s="54" t="s">
        <v>23</v>
      </c>
      <c r="S1224" s="17" t="s">
        <v>23</v>
      </c>
    </row>
    <row r="1225" spans="1:19" ht="15.75" customHeight="1">
      <c r="A1225" s="10">
        <v>40</v>
      </c>
      <c r="B1225" s="10">
        <v>2023</v>
      </c>
      <c r="C1225" s="6" t="s">
        <v>102</v>
      </c>
      <c r="D1225" s="48">
        <v>45036</v>
      </c>
      <c r="E1225" s="6" t="s">
        <v>20</v>
      </c>
      <c r="F1225" s="6" t="s">
        <v>28</v>
      </c>
      <c r="G1225" s="10">
        <v>1</v>
      </c>
      <c r="H1225" s="10">
        <v>5</v>
      </c>
      <c r="I1225" s="10">
        <v>4</v>
      </c>
      <c r="J1225" s="4" t="s">
        <v>71</v>
      </c>
      <c r="K1225" s="4">
        <v>36892</v>
      </c>
      <c r="L1225" s="4" t="s">
        <v>61</v>
      </c>
      <c r="M1225" s="6" t="s">
        <v>3075</v>
      </c>
      <c r="N1225" s="25" t="s">
        <v>33</v>
      </c>
      <c r="O1225" s="6" t="s">
        <v>23</v>
      </c>
      <c r="P1225" s="6" t="s">
        <v>23</v>
      </c>
      <c r="Q1225" s="9" t="s">
        <v>23</v>
      </c>
      <c r="R1225" s="54" t="s">
        <v>23</v>
      </c>
      <c r="S1225" s="17" t="s">
        <v>23</v>
      </c>
    </row>
    <row r="1226" spans="1:19" ht="15.75" customHeight="1">
      <c r="A1226" s="10">
        <v>40</v>
      </c>
      <c r="B1226" s="10">
        <v>2023</v>
      </c>
      <c r="C1226" s="6" t="s">
        <v>102</v>
      </c>
      <c r="D1226" s="48">
        <v>45036</v>
      </c>
      <c r="E1226" s="6" t="s">
        <v>20</v>
      </c>
      <c r="F1226" s="6" t="s">
        <v>28</v>
      </c>
      <c r="G1226" s="10">
        <v>1</v>
      </c>
      <c r="H1226" s="10">
        <v>5</v>
      </c>
      <c r="I1226" s="10">
        <v>5</v>
      </c>
      <c r="J1226" s="4" t="s">
        <v>71</v>
      </c>
      <c r="K1226" s="4">
        <v>36893</v>
      </c>
      <c r="L1226" s="4" t="s">
        <v>61</v>
      </c>
      <c r="M1226" s="6" t="s">
        <v>3076</v>
      </c>
      <c r="N1226" s="25" t="s">
        <v>33</v>
      </c>
      <c r="O1226" s="6" t="s">
        <v>23</v>
      </c>
      <c r="P1226" s="6" t="s">
        <v>23</v>
      </c>
      <c r="Q1226" s="9" t="s">
        <v>23</v>
      </c>
      <c r="R1226" s="54" t="s">
        <v>23</v>
      </c>
      <c r="S1226" s="17" t="s">
        <v>23</v>
      </c>
    </row>
    <row r="1227" spans="1:19" ht="15.75" customHeight="1">
      <c r="A1227" s="10">
        <v>41</v>
      </c>
      <c r="B1227" s="10">
        <v>2023</v>
      </c>
      <c r="C1227" s="6" t="s">
        <v>102</v>
      </c>
      <c r="D1227" s="48">
        <v>45041</v>
      </c>
      <c r="E1227" s="6" t="s">
        <v>20</v>
      </c>
      <c r="F1227" s="6" t="s">
        <v>37</v>
      </c>
      <c r="G1227" s="10">
        <v>1</v>
      </c>
      <c r="H1227" s="10">
        <v>1</v>
      </c>
      <c r="I1227" s="10">
        <v>1</v>
      </c>
      <c r="J1227" s="4" t="s">
        <v>30</v>
      </c>
      <c r="K1227" s="4">
        <v>37320</v>
      </c>
      <c r="L1227" s="4" t="s">
        <v>31</v>
      </c>
      <c r="M1227" s="6" t="s">
        <v>3077</v>
      </c>
      <c r="N1227" s="25" t="s">
        <v>33</v>
      </c>
      <c r="O1227" s="6" t="s">
        <v>33</v>
      </c>
      <c r="P1227" s="6">
        <v>1</v>
      </c>
      <c r="Q1227" s="32" t="s">
        <v>3078</v>
      </c>
      <c r="R1227" s="56" t="s">
        <v>3079</v>
      </c>
      <c r="S1227" s="23" t="s">
        <v>3080</v>
      </c>
    </row>
    <row r="1228" spans="1:19" ht="15.75" customHeight="1">
      <c r="A1228" s="10">
        <v>42</v>
      </c>
      <c r="B1228" s="10">
        <v>2023</v>
      </c>
      <c r="C1228" s="6" t="s">
        <v>1824</v>
      </c>
      <c r="D1228" s="48">
        <v>45041</v>
      </c>
      <c r="E1228" s="6" t="s">
        <v>20</v>
      </c>
      <c r="F1228" s="6" t="s">
        <v>190</v>
      </c>
      <c r="G1228" s="10">
        <v>1</v>
      </c>
      <c r="H1228" s="10">
        <v>1</v>
      </c>
      <c r="I1228" s="10">
        <v>1</v>
      </c>
      <c r="J1228" s="4" t="s">
        <v>416</v>
      </c>
      <c r="K1228" s="4">
        <v>37198</v>
      </c>
      <c r="L1228" s="4" t="s">
        <v>31</v>
      </c>
      <c r="M1228" s="6" t="s">
        <v>3081</v>
      </c>
      <c r="N1228" s="25" t="s">
        <v>33</v>
      </c>
      <c r="O1228" s="6" t="s">
        <v>33</v>
      </c>
      <c r="P1228" s="6">
        <v>8</v>
      </c>
      <c r="Q1228" s="32" t="s">
        <v>3082</v>
      </c>
      <c r="R1228" s="56" t="s">
        <v>3083</v>
      </c>
      <c r="S1228" s="34" t="s">
        <v>3084</v>
      </c>
    </row>
    <row r="1229" spans="1:19" ht="15.75" customHeight="1">
      <c r="A1229" s="10">
        <v>43</v>
      </c>
      <c r="B1229" s="10">
        <v>2023</v>
      </c>
      <c r="C1229" s="6" t="s">
        <v>1824</v>
      </c>
      <c r="D1229" s="48">
        <v>45041</v>
      </c>
      <c r="E1229" s="6" t="s">
        <v>33</v>
      </c>
      <c r="F1229" s="6" t="s">
        <v>3085</v>
      </c>
      <c r="G1229" s="10">
        <v>2</v>
      </c>
      <c r="H1229" s="10">
        <v>1</v>
      </c>
      <c r="I1229" s="10">
        <v>1</v>
      </c>
      <c r="J1229" s="4" t="s">
        <v>71</v>
      </c>
      <c r="K1229" s="4">
        <v>36864</v>
      </c>
      <c r="L1229" s="4" t="s">
        <v>61</v>
      </c>
      <c r="M1229" s="6" t="s">
        <v>3086</v>
      </c>
      <c r="N1229" s="25" t="s">
        <v>33</v>
      </c>
      <c r="O1229" s="6" t="s">
        <v>33</v>
      </c>
      <c r="P1229" s="6">
        <v>2</v>
      </c>
      <c r="Q1229" s="32" t="s">
        <v>3087</v>
      </c>
      <c r="R1229" s="56" t="s">
        <v>3088</v>
      </c>
      <c r="S1229" s="17" t="s">
        <v>3089</v>
      </c>
    </row>
    <row r="1230" spans="1:19" ht="15.75" customHeight="1">
      <c r="A1230" s="10">
        <v>44</v>
      </c>
      <c r="B1230" s="10">
        <v>2023</v>
      </c>
      <c r="C1230" s="6" t="s">
        <v>102</v>
      </c>
      <c r="D1230" s="48">
        <v>45042</v>
      </c>
      <c r="E1230" s="6" t="s">
        <v>20</v>
      </c>
      <c r="F1230" s="6" t="s">
        <v>53</v>
      </c>
      <c r="G1230" s="10">
        <v>1</v>
      </c>
      <c r="H1230" s="10">
        <v>1</v>
      </c>
      <c r="I1230" s="10">
        <v>1</v>
      </c>
      <c r="J1230" s="4" t="s">
        <v>30</v>
      </c>
      <c r="K1230" s="4">
        <v>37160</v>
      </c>
      <c r="L1230" s="4" t="s">
        <v>31</v>
      </c>
      <c r="M1230" s="6" t="s">
        <v>3064</v>
      </c>
      <c r="N1230" s="25" t="s">
        <v>20</v>
      </c>
      <c r="O1230" s="6" t="s">
        <v>20</v>
      </c>
      <c r="P1230" s="6">
        <v>0</v>
      </c>
      <c r="Q1230" s="9" t="s">
        <v>23</v>
      </c>
      <c r="R1230" s="56" t="s">
        <v>3090</v>
      </c>
      <c r="S1230" s="34" t="s">
        <v>3091</v>
      </c>
    </row>
    <row r="1231" spans="1:19" ht="15.75" customHeight="1">
      <c r="A1231" s="10">
        <v>45</v>
      </c>
      <c r="B1231" s="10">
        <v>2023</v>
      </c>
      <c r="C1231" s="6" t="s">
        <v>1824</v>
      </c>
      <c r="D1231" s="48">
        <v>45043</v>
      </c>
      <c r="E1231" s="6" t="s">
        <v>33</v>
      </c>
      <c r="F1231" s="6" t="s">
        <v>1591</v>
      </c>
      <c r="G1231" s="10">
        <v>2</v>
      </c>
      <c r="H1231" s="10">
        <v>1</v>
      </c>
      <c r="I1231" s="10">
        <v>1</v>
      </c>
      <c r="J1231" s="4" t="s">
        <v>30</v>
      </c>
      <c r="K1231" s="4">
        <v>37057</v>
      </c>
      <c r="L1231" s="4" t="s">
        <v>31</v>
      </c>
      <c r="M1231" s="6" t="s">
        <v>3092</v>
      </c>
      <c r="N1231" s="25" t="s">
        <v>20</v>
      </c>
      <c r="O1231" s="6" t="s">
        <v>33</v>
      </c>
      <c r="P1231" s="6">
        <v>9</v>
      </c>
      <c r="Q1231" s="57" t="s">
        <v>3093</v>
      </c>
      <c r="R1231" s="56" t="s">
        <v>3094</v>
      </c>
      <c r="S1231" s="23" t="s">
        <v>3095</v>
      </c>
    </row>
    <row r="1232" spans="1:19" ht="15.75" customHeight="1">
      <c r="A1232" s="10">
        <v>46</v>
      </c>
      <c r="B1232" s="10">
        <v>2023</v>
      </c>
      <c r="C1232" s="6" t="s">
        <v>102</v>
      </c>
      <c r="D1232" s="48">
        <v>45048</v>
      </c>
      <c r="E1232" s="6" t="s">
        <v>20</v>
      </c>
      <c r="F1232" s="6" t="s">
        <v>47</v>
      </c>
      <c r="G1232" s="10">
        <v>1</v>
      </c>
      <c r="H1232" s="10">
        <v>1</v>
      </c>
      <c r="I1232" s="10">
        <v>1</v>
      </c>
      <c r="J1232" s="4" t="s">
        <v>30</v>
      </c>
      <c r="K1232" s="4">
        <v>37236</v>
      </c>
      <c r="L1232" s="4" t="s">
        <v>31</v>
      </c>
      <c r="M1232" s="6" t="s">
        <v>3096</v>
      </c>
      <c r="N1232" s="25" t="s">
        <v>33</v>
      </c>
      <c r="O1232" s="6" t="s">
        <v>33</v>
      </c>
      <c r="P1232" s="6">
        <v>1</v>
      </c>
      <c r="Q1232" s="34" t="s">
        <v>3097</v>
      </c>
      <c r="R1232" s="56" t="s">
        <v>3098</v>
      </c>
      <c r="S1232" s="32" t="s">
        <v>3099</v>
      </c>
    </row>
    <row r="1233" spans="1:19" ht="15.75" customHeight="1">
      <c r="A1233" s="10">
        <v>47</v>
      </c>
      <c r="B1233" s="10">
        <v>2023</v>
      </c>
      <c r="C1233" s="6" t="s">
        <v>1824</v>
      </c>
      <c r="D1233" s="48">
        <v>45050</v>
      </c>
      <c r="E1233" s="6" t="s">
        <v>33</v>
      </c>
      <c r="F1233" s="6" t="s">
        <v>3100</v>
      </c>
      <c r="G1233" s="10">
        <v>3</v>
      </c>
      <c r="H1233" s="10">
        <v>1</v>
      </c>
      <c r="I1233" s="10">
        <v>1</v>
      </c>
      <c r="J1233" s="4" t="s">
        <v>30</v>
      </c>
      <c r="K1233" s="4">
        <v>37057</v>
      </c>
      <c r="L1233" s="4" t="s">
        <v>31</v>
      </c>
      <c r="M1233" s="6" t="s">
        <v>3092</v>
      </c>
      <c r="N1233" s="25" t="s">
        <v>20</v>
      </c>
      <c r="O1233" s="6" t="s">
        <v>33</v>
      </c>
      <c r="P1233" s="6">
        <v>3</v>
      </c>
      <c r="Q1233" s="63" t="s">
        <v>3101</v>
      </c>
      <c r="R1233" s="56" t="s">
        <v>3102</v>
      </c>
      <c r="S1233" s="39" t="s">
        <v>3103</v>
      </c>
    </row>
    <row r="1234" spans="1:19" ht="15.75" customHeight="1">
      <c r="A1234" s="10">
        <v>48</v>
      </c>
      <c r="B1234" s="10">
        <v>2023</v>
      </c>
      <c r="C1234" s="6" t="s">
        <v>1824</v>
      </c>
      <c r="D1234" s="48">
        <v>45050</v>
      </c>
      <c r="E1234" s="6" t="s">
        <v>20</v>
      </c>
      <c r="F1234" s="6" t="s">
        <v>51</v>
      </c>
      <c r="G1234" s="10">
        <v>1</v>
      </c>
      <c r="H1234" s="10">
        <v>20</v>
      </c>
      <c r="I1234" s="10">
        <v>1</v>
      </c>
      <c r="J1234" s="4" t="s">
        <v>71</v>
      </c>
      <c r="K1234" s="4">
        <v>34979</v>
      </c>
      <c r="L1234" s="4" t="s">
        <v>61</v>
      </c>
      <c r="M1234" s="6" t="s">
        <v>3104</v>
      </c>
      <c r="N1234" s="25" t="s">
        <v>33</v>
      </c>
      <c r="O1234" s="6" t="s">
        <v>33</v>
      </c>
      <c r="P1234" s="6">
        <v>3</v>
      </c>
      <c r="Q1234" s="32" t="s">
        <v>3105</v>
      </c>
      <c r="R1234" s="56" t="s">
        <v>3106</v>
      </c>
      <c r="S1234" s="23" t="s">
        <v>3107</v>
      </c>
    </row>
    <row r="1235" spans="1:19" ht="15.75" customHeight="1">
      <c r="A1235" s="10">
        <v>48</v>
      </c>
      <c r="B1235" s="10">
        <v>2023</v>
      </c>
      <c r="C1235" s="6" t="s">
        <v>1824</v>
      </c>
      <c r="D1235" s="48">
        <v>45050</v>
      </c>
      <c r="E1235" s="6" t="s">
        <v>20</v>
      </c>
      <c r="F1235" s="6" t="s">
        <v>51</v>
      </c>
      <c r="G1235" s="10">
        <v>1</v>
      </c>
      <c r="H1235" s="10">
        <v>20</v>
      </c>
      <c r="I1235" s="10">
        <v>2</v>
      </c>
      <c r="J1235" s="4" t="s">
        <v>71</v>
      </c>
      <c r="K1235" s="4">
        <v>35126</v>
      </c>
      <c r="L1235" s="4" t="s">
        <v>61</v>
      </c>
      <c r="M1235" s="6" t="s">
        <v>3108</v>
      </c>
      <c r="N1235" s="25" t="s">
        <v>33</v>
      </c>
      <c r="O1235" s="6" t="s">
        <v>23</v>
      </c>
      <c r="P1235" s="6" t="s">
        <v>23</v>
      </c>
      <c r="Q1235" s="9" t="s">
        <v>23</v>
      </c>
      <c r="R1235" s="54" t="s">
        <v>23</v>
      </c>
      <c r="S1235" s="17" t="s">
        <v>23</v>
      </c>
    </row>
    <row r="1236" spans="1:19" ht="15.75" customHeight="1">
      <c r="A1236" s="10">
        <v>48</v>
      </c>
      <c r="B1236" s="10">
        <v>2023</v>
      </c>
      <c r="C1236" s="6" t="s">
        <v>1824</v>
      </c>
      <c r="D1236" s="48">
        <v>45050</v>
      </c>
      <c r="E1236" s="6" t="s">
        <v>20</v>
      </c>
      <c r="F1236" s="6" t="s">
        <v>51</v>
      </c>
      <c r="G1236" s="10">
        <v>1</v>
      </c>
      <c r="H1236" s="10">
        <v>20</v>
      </c>
      <c r="I1236" s="10">
        <v>3</v>
      </c>
      <c r="J1236" s="4" t="s">
        <v>71</v>
      </c>
      <c r="K1236" s="4">
        <v>35465</v>
      </c>
      <c r="L1236" s="4" t="s">
        <v>61</v>
      </c>
      <c r="M1236" s="6" t="s">
        <v>3109</v>
      </c>
      <c r="N1236" s="25" t="s">
        <v>33</v>
      </c>
      <c r="O1236" s="6" t="s">
        <v>23</v>
      </c>
      <c r="P1236" s="6" t="s">
        <v>23</v>
      </c>
      <c r="Q1236" s="9" t="s">
        <v>23</v>
      </c>
      <c r="R1236" s="54" t="s">
        <v>23</v>
      </c>
      <c r="S1236" s="54" t="s">
        <v>23</v>
      </c>
    </row>
    <row r="1237" spans="1:19" ht="15.75" customHeight="1">
      <c r="A1237" s="10">
        <v>48</v>
      </c>
      <c r="B1237" s="10">
        <v>2023</v>
      </c>
      <c r="C1237" s="6" t="s">
        <v>1824</v>
      </c>
      <c r="D1237" s="48">
        <v>45050</v>
      </c>
      <c r="E1237" s="6" t="s">
        <v>20</v>
      </c>
      <c r="F1237" s="6" t="s">
        <v>51</v>
      </c>
      <c r="G1237" s="10">
        <v>1</v>
      </c>
      <c r="H1237" s="10">
        <v>20</v>
      </c>
      <c r="I1237" s="10">
        <v>4</v>
      </c>
      <c r="J1237" s="4" t="s">
        <v>71</v>
      </c>
      <c r="K1237" s="4">
        <v>35468</v>
      </c>
      <c r="L1237" s="4" t="s">
        <v>61</v>
      </c>
      <c r="M1237" s="6" t="s">
        <v>3110</v>
      </c>
      <c r="N1237" s="25" t="s">
        <v>33</v>
      </c>
      <c r="O1237" s="6" t="s">
        <v>23</v>
      </c>
      <c r="P1237" s="6" t="s">
        <v>23</v>
      </c>
      <c r="Q1237" s="9" t="s">
        <v>23</v>
      </c>
      <c r="R1237" s="54" t="s">
        <v>23</v>
      </c>
      <c r="S1237" s="17" t="s">
        <v>23</v>
      </c>
    </row>
    <row r="1238" spans="1:19" ht="15.75" customHeight="1">
      <c r="A1238" s="10">
        <v>48</v>
      </c>
      <c r="B1238" s="10">
        <v>2023</v>
      </c>
      <c r="C1238" s="6" t="s">
        <v>1824</v>
      </c>
      <c r="D1238" s="48">
        <v>45050</v>
      </c>
      <c r="E1238" s="6" t="s">
        <v>20</v>
      </c>
      <c r="F1238" s="6" t="s">
        <v>51</v>
      </c>
      <c r="G1238" s="10">
        <v>1</v>
      </c>
      <c r="H1238" s="10">
        <v>20</v>
      </c>
      <c r="I1238" s="10">
        <v>5</v>
      </c>
      <c r="J1238" s="4" t="s">
        <v>71</v>
      </c>
      <c r="K1238" s="4">
        <v>35549</v>
      </c>
      <c r="L1238" s="4" t="s">
        <v>61</v>
      </c>
      <c r="M1238" s="6" t="s">
        <v>3111</v>
      </c>
      <c r="N1238" s="25" t="s">
        <v>33</v>
      </c>
      <c r="O1238" s="6" t="s">
        <v>23</v>
      </c>
      <c r="P1238" s="6" t="s">
        <v>23</v>
      </c>
      <c r="Q1238" s="9" t="s">
        <v>23</v>
      </c>
      <c r="R1238" s="54" t="s">
        <v>23</v>
      </c>
      <c r="S1238" s="17" t="s">
        <v>23</v>
      </c>
    </row>
    <row r="1239" spans="1:19" ht="15.75" customHeight="1">
      <c r="A1239" s="10">
        <v>48</v>
      </c>
      <c r="B1239" s="10">
        <v>2023</v>
      </c>
      <c r="C1239" s="6" t="s">
        <v>1824</v>
      </c>
      <c r="D1239" s="48">
        <v>45050</v>
      </c>
      <c r="E1239" s="6" t="s">
        <v>20</v>
      </c>
      <c r="F1239" s="6" t="s">
        <v>51</v>
      </c>
      <c r="G1239" s="10">
        <v>1</v>
      </c>
      <c r="H1239" s="10">
        <v>20</v>
      </c>
      <c r="I1239" s="10">
        <v>6</v>
      </c>
      <c r="J1239" s="4" t="s">
        <v>71</v>
      </c>
      <c r="K1239" s="4">
        <v>35568</v>
      </c>
      <c r="L1239" s="4" t="s">
        <v>61</v>
      </c>
      <c r="M1239" s="6" t="s">
        <v>3112</v>
      </c>
      <c r="N1239" s="25" t="s">
        <v>33</v>
      </c>
      <c r="O1239" s="6" t="s">
        <v>23</v>
      </c>
      <c r="P1239" s="6" t="s">
        <v>23</v>
      </c>
      <c r="Q1239" s="9" t="s">
        <v>23</v>
      </c>
      <c r="R1239" s="54" t="s">
        <v>23</v>
      </c>
      <c r="S1239" s="17" t="s">
        <v>23</v>
      </c>
    </row>
    <row r="1240" spans="1:19" ht="15.75" customHeight="1">
      <c r="A1240" s="10">
        <v>48</v>
      </c>
      <c r="B1240" s="10">
        <v>2023</v>
      </c>
      <c r="C1240" s="6" t="s">
        <v>1824</v>
      </c>
      <c r="D1240" s="48">
        <v>45050</v>
      </c>
      <c r="E1240" s="6" t="s">
        <v>20</v>
      </c>
      <c r="F1240" s="6" t="s">
        <v>51</v>
      </c>
      <c r="G1240" s="10">
        <v>1</v>
      </c>
      <c r="H1240" s="10">
        <v>20</v>
      </c>
      <c r="I1240" s="10">
        <v>7</v>
      </c>
      <c r="J1240" s="4" t="s">
        <v>71</v>
      </c>
      <c r="K1240" s="4">
        <v>35682</v>
      </c>
      <c r="L1240" s="4" t="s">
        <v>61</v>
      </c>
      <c r="M1240" s="6" t="s">
        <v>3113</v>
      </c>
      <c r="N1240" s="25" t="s">
        <v>33</v>
      </c>
      <c r="O1240" s="6" t="s">
        <v>23</v>
      </c>
      <c r="P1240" s="6" t="s">
        <v>23</v>
      </c>
      <c r="Q1240" s="9" t="s">
        <v>23</v>
      </c>
      <c r="R1240" s="54" t="s">
        <v>23</v>
      </c>
      <c r="S1240" s="17" t="s">
        <v>23</v>
      </c>
    </row>
    <row r="1241" spans="1:19" ht="15.75" customHeight="1">
      <c r="A1241" s="10">
        <v>48</v>
      </c>
      <c r="B1241" s="10">
        <v>2023</v>
      </c>
      <c r="C1241" s="6" t="s">
        <v>1824</v>
      </c>
      <c r="D1241" s="48">
        <v>45050</v>
      </c>
      <c r="E1241" s="6" t="s">
        <v>20</v>
      </c>
      <c r="F1241" s="6" t="s">
        <v>51</v>
      </c>
      <c r="G1241" s="10">
        <v>1</v>
      </c>
      <c r="H1241" s="10">
        <v>20</v>
      </c>
      <c r="I1241" s="10">
        <v>8</v>
      </c>
      <c r="J1241" s="4" t="s">
        <v>71</v>
      </c>
      <c r="K1241" s="4">
        <v>36016</v>
      </c>
      <c r="L1241" s="4" t="s">
        <v>61</v>
      </c>
      <c r="M1241" s="6" t="s">
        <v>3114</v>
      </c>
      <c r="N1241" s="25" t="s">
        <v>33</v>
      </c>
      <c r="O1241" s="6" t="s">
        <v>23</v>
      </c>
      <c r="P1241" s="6" t="s">
        <v>23</v>
      </c>
      <c r="Q1241" s="9" t="s">
        <v>23</v>
      </c>
      <c r="R1241" s="54" t="s">
        <v>23</v>
      </c>
      <c r="S1241" s="17" t="s">
        <v>23</v>
      </c>
    </row>
    <row r="1242" spans="1:19" ht="15.75" customHeight="1">
      <c r="A1242" s="10">
        <v>48</v>
      </c>
      <c r="B1242" s="10">
        <v>2023</v>
      </c>
      <c r="C1242" s="6" t="s">
        <v>1824</v>
      </c>
      <c r="D1242" s="48">
        <v>45050</v>
      </c>
      <c r="E1242" s="6" t="s">
        <v>20</v>
      </c>
      <c r="F1242" s="6" t="s">
        <v>51</v>
      </c>
      <c r="G1242" s="10">
        <v>1</v>
      </c>
      <c r="H1242" s="10">
        <v>20</v>
      </c>
      <c r="I1242" s="10">
        <v>9</v>
      </c>
      <c r="J1242" s="4" t="s">
        <v>71</v>
      </c>
      <c r="K1242" s="4">
        <v>36304</v>
      </c>
      <c r="L1242" s="4" t="s">
        <v>61</v>
      </c>
      <c r="M1242" s="6" t="s">
        <v>3115</v>
      </c>
      <c r="N1242" s="25" t="s">
        <v>33</v>
      </c>
      <c r="O1242" s="6" t="s">
        <v>23</v>
      </c>
      <c r="P1242" s="6" t="s">
        <v>23</v>
      </c>
      <c r="Q1242" s="9" t="s">
        <v>23</v>
      </c>
      <c r="R1242" s="54" t="s">
        <v>23</v>
      </c>
      <c r="S1242" s="17" t="s">
        <v>23</v>
      </c>
    </row>
    <row r="1243" spans="1:19" ht="15.75" customHeight="1">
      <c r="A1243" s="10">
        <v>48</v>
      </c>
      <c r="B1243" s="10">
        <v>2023</v>
      </c>
      <c r="C1243" s="6" t="s">
        <v>1824</v>
      </c>
      <c r="D1243" s="48">
        <v>45050</v>
      </c>
      <c r="E1243" s="6" t="s">
        <v>20</v>
      </c>
      <c r="F1243" s="6" t="s">
        <v>51</v>
      </c>
      <c r="G1243" s="10">
        <v>1</v>
      </c>
      <c r="H1243" s="10">
        <v>20</v>
      </c>
      <c r="I1243" s="10">
        <v>10</v>
      </c>
      <c r="J1243" s="4" t="s">
        <v>71</v>
      </c>
      <c r="K1243" s="4">
        <v>36666</v>
      </c>
      <c r="L1243" s="4" t="s">
        <v>61</v>
      </c>
      <c r="M1243" s="6" t="s">
        <v>3116</v>
      </c>
      <c r="N1243" s="25" t="s">
        <v>33</v>
      </c>
      <c r="O1243" s="6" t="s">
        <v>23</v>
      </c>
      <c r="P1243" s="6" t="s">
        <v>23</v>
      </c>
      <c r="Q1243" s="9" t="s">
        <v>23</v>
      </c>
      <c r="R1243" s="54" t="s">
        <v>23</v>
      </c>
      <c r="S1243" s="17" t="s">
        <v>23</v>
      </c>
    </row>
    <row r="1244" spans="1:19" ht="15.75" customHeight="1">
      <c r="A1244" s="10">
        <v>48</v>
      </c>
      <c r="B1244" s="10">
        <v>2023</v>
      </c>
      <c r="C1244" s="6" t="s">
        <v>1824</v>
      </c>
      <c r="D1244" s="48">
        <v>45050</v>
      </c>
      <c r="E1244" s="6" t="s">
        <v>20</v>
      </c>
      <c r="F1244" s="6" t="s">
        <v>51</v>
      </c>
      <c r="G1244" s="10">
        <v>1</v>
      </c>
      <c r="H1244" s="10">
        <v>20</v>
      </c>
      <c r="I1244" s="10">
        <v>11</v>
      </c>
      <c r="J1244" s="4" t="s">
        <v>71</v>
      </c>
      <c r="K1244" s="4">
        <v>36810</v>
      </c>
      <c r="L1244" s="4" t="s">
        <v>61</v>
      </c>
      <c r="M1244" s="6" t="s">
        <v>3117</v>
      </c>
      <c r="N1244" s="25" t="s">
        <v>33</v>
      </c>
      <c r="O1244" s="6" t="s">
        <v>23</v>
      </c>
      <c r="P1244" s="6" t="s">
        <v>23</v>
      </c>
      <c r="Q1244" s="9" t="s">
        <v>23</v>
      </c>
      <c r="R1244" s="54" t="s">
        <v>23</v>
      </c>
      <c r="S1244" s="17" t="s">
        <v>23</v>
      </c>
    </row>
    <row r="1245" spans="1:19" ht="15.75" customHeight="1">
      <c r="A1245" s="10">
        <v>48</v>
      </c>
      <c r="B1245" s="10">
        <v>2023</v>
      </c>
      <c r="C1245" s="6" t="s">
        <v>1824</v>
      </c>
      <c r="D1245" s="48">
        <v>45050</v>
      </c>
      <c r="E1245" s="6" t="s">
        <v>20</v>
      </c>
      <c r="F1245" s="6" t="s">
        <v>51</v>
      </c>
      <c r="G1245" s="10">
        <v>1</v>
      </c>
      <c r="H1245" s="10">
        <v>20</v>
      </c>
      <c r="I1245" s="10">
        <v>12</v>
      </c>
      <c r="J1245" s="4" t="s">
        <v>71</v>
      </c>
      <c r="K1245" s="4">
        <v>36862</v>
      </c>
      <c r="L1245" s="4" t="s">
        <v>61</v>
      </c>
      <c r="M1245" s="6" t="s">
        <v>3118</v>
      </c>
      <c r="N1245" s="25" t="s">
        <v>33</v>
      </c>
      <c r="O1245" s="6" t="s">
        <v>23</v>
      </c>
      <c r="P1245" s="6" t="s">
        <v>23</v>
      </c>
      <c r="Q1245" s="9" t="s">
        <v>23</v>
      </c>
      <c r="R1245" s="54" t="s">
        <v>23</v>
      </c>
      <c r="S1245" s="17" t="s">
        <v>23</v>
      </c>
    </row>
    <row r="1246" spans="1:19" ht="15.75" customHeight="1">
      <c r="A1246" s="10">
        <v>48</v>
      </c>
      <c r="B1246" s="10">
        <v>2023</v>
      </c>
      <c r="C1246" s="6" t="s">
        <v>1824</v>
      </c>
      <c r="D1246" s="48">
        <v>45050</v>
      </c>
      <c r="E1246" s="6" t="s">
        <v>20</v>
      </c>
      <c r="F1246" s="6" t="s">
        <v>51</v>
      </c>
      <c r="G1246" s="10">
        <v>1</v>
      </c>
      <c r="H1246" s="10">
        <v>20</v>
      </c>
      <c r="I1246" s="10">
        <v>13</v>
      </c>
      <c r="J1246" s="4" t="s">
        <v>71</v>
      </c>
      <c r="K1246" s="4">
        <v>36886</v>
      </c>
      <c r="L1246" s="4" t="s">
        <v>61</v>
      </c>
      <c r="M1246" s="6" t="s">
        <v>3119</v>
      </c>
      <c r="N1246" s="25" t="s">
        <v>33</v>
      </c>
      <c r="O1246" s="6" t="s">
        <v>23</v>
      </c>
      <c r="P1246" s="6" t="s">
        <v>23</v>
      </c>
      <c r="Q1246" s="9" t="s">
        <v>23</v>
      </c>
      <c r="R1246" s="54" t="s">
        <v>23</v>
      </c>
      <c r="S1246" s="17" t="s">
        <v>23</v>
      </c>
    </row>
    <row r="1247" spans="1:19" ht="15.75" customHeight="1">
      <c r="A1247" s="10">
        <v>48</v>
      </c>
      <c r="B1247" s="10">
        <v>2023</v>
      </c>
      <c r="C1247" s="6" t="s">
        <v>1824</v>
      </c>
      <c r="D1247" s="48">
        <v>45050</v>
      </c>
      <c r="E1247" s="6" t="s">
        <v>20</v>
      </c>
      <c r="F1247" s="6" t="s">
        <v>51</v>
      </c>
      <c r="G1247" s="10">
        <v>1</v>
      </c>
      <c r="H1247" s="10">
        <v>20</v>
      </c>
      <c r="I1247" s="10">
        <v>14</v>
      </c>
      <c r="J1247" s="4" t="s">
        <v>71</v>
      </c>
      <c r="K1247" s="4">
        <v>36919</v>
      </c>
      <c r="L1247" s="4" t="s">
        <v>61</v>
      </c>
      <c r="M1247" s="6" t="s">
        <v>3120</v>
      </c>
      <c r="N1247" s="25" t="s">
        <v>33</v>
      </c>
      <c r="O1247" s="6" t="s">
        <v>23</v>
      </c>
      <c r="P1247" s="6" t="s">
        <v>23</v>
      </c>
      <c r="Q1247" s="9" t="s">
        <v>23</v>
      </c>
      <c r="R1247" s="54" t="s">
        <v>23</v>
      </c>
      <c r="S1247" s="17" t="s">
        <v>23</v>
      </c>
    </row>
    <row r="1248" spans="1:19" ht="15.75" customHeight="1">
      <c r="A1248" s="10">
        <v>48</v>
      </c>
      <c r="B1248" s="10">
        <v>2023</v>
      </c>
      <c r="C1248" s="6" t="s">
        <v>1824</v>
      </c>
      <c r="D1248" s="48">
        <v>45050</v>
      </c>
      <c r="E1248" s="6" t="s">
        <v>20</v>
      </c>
      <c r="F1248" s="6" t="s">
        <v>51</v>
      </c>
      <c r="G1248" s="10">
        <v>1</v>
      </c>
      <c r="H1248" s="10">
        <v>20</v>
      </c>
      <c r="I1248" s="10">
        <v>15</v>
      </c>
      <c r="J1248" s="4" t="s">
        <v>71</v>
      </c>
      <c r="K1248" s="4">
        <v>36923</v>
      </c>
      <c r="L1248" s="4" t="s">
        <v>61</v>
      </c>
      <c r="M1248" s="6" t="s">
        <v>3121</v>
      </c>
      <c r="N1248" s="25" t="s">
        <v>33</v>
      </c>
      <c r="O1248" s="6" t="s">
        <v>23</v>
      </c>
      <c r="P1248" s="6" t="s">
        <v>23</v>
      </c>
      <c r="Q1248" s="9" t="s">
        <v>23</v>
      </c>
      <c r="R1248" s="54" t="s">
        <v>23</v>
      </c>
      <c r="S1248" s="17" t="s">
        <v>23</v>
      </c>
    </row>
    <row r="1249" spans="1:19" ht="15.75" customHeight="1">
      <c r="A1249" s="10">
        <v>48</v>
      </c>
      <c r="B1249" s="10">
        <v>2023</v>
      </c>
      <c r="C1249" s="6" t="s">
        <v>1824</v>
      </c>
      <c r="D1249" s="48">
        <v>45050</v>
      </c>
      <c r="E1249" s="6" t="s">
        <v>20</v>
      </c>
      <c r="F1249" s="6" t="s">
        <v>51</v>
      </c>
      <c r="G1249" s="10">
        <v>1</v>
      </c>
      <c r="H1249" s="10">
        <v>20</v>
      </c>
      <c r="I1249" s="10">
        <v>16</v>
      </c>
      <c r="J1249" s="4" t="s">
        <v>71</v>
      </c>
      <c r="K1249" s="4">
        <v>37002</v>
      </c>
      <c r="L1249" s="4" t="s">
        <v>61</v>
      </c>
      <c r="M1249" s="6" t="s">
        <v>3122</v>
      </c>
      <c r="N1249" s="25" t="s">
        <v>33</v>
      </c>
      <c r="O1249" s="6" t="s">
        <v>23</v>
      </c>
      <c r="P1249" s="6" t="s">
        <v>23</v>
      </c>
      <c r="Q1249" s="9" t="s">
        <v>23</v>
      </c>
      <c r="R1249" s="54" t="s">
        <v>23</v>
      </c>
      <c r="S1249" s="17" t="s">
        <v>23</v>
      </c>
    </row>
    <row r="1250" spans="1:19" ht="15.75" customHeight="1">
      <c r="A1250" s="10">
        <v>48</v>
      </c>
      <c r="B1250" s="10">
        <v>2023</v>
      </c>
      <c r="C1250" s="6" t="s">
        <v>1824</v>
      </c>
      <c r="D1250" s="48">
        <v>45050</v>
      </c>
      <c r="E1250" s="6" t="s">
        <v>20</v>
      </c>
      <c r="F1250" s="6" t="s">
        <v>51</v>
      </c>
      <c r="G1250" s="10">
        <v>1</v>
      </c>
      <c r="H1250" s="10">
        <v>20</v>
      </c>
      <c r="I1250" s="10">
        <v>17</v>
      </c>
      <c r="J1250" s="4" t="s">
        <v>71</v>
      </c>
      <c r="K1250" s="4">
        <v>37082</v>
      </c>
      <c r="L1250" s="4" t="s">
        <v>61</v>
      </c>
      <c r="M1250" s="6" t="s">
        <v>3123</v>
      </c>
      <c r="N1250" s="25" t="s">
        <v>33</v>
      </c>
      <c r="O1250" s="6" t="s">
        <v>23</v>
      </c>
      <c r="P1250" s="6" t="s">
        <v>23</v>
      </c>
      <c r="Q1250" s="9" t="s">
        <v>23</v>
      </c>
      <c r="R1250" s="54" t="s">
        <v>23</v>
      </c>
      <c r="S1250" s="17" t="s">
        <v>23</v>
      </c>
    </row>
    <row r="1251" spans="1:19" ht="15.75" customHeight="1">
      <c r="A1251" s="10">
        <v>48</v>
      </c>
      <c r="B1251" s="10">
        <v>2023</v>
      </c>
      <c r="C1251" s="6" t="s">
        <v>1824</v>
      </c>
      <c r="D1251" s="48">
        <v>45050</v>
      </c>
      <c r="E1251" s="6" t="s">
        <v>20</v>
      </c>
      <c r="F1251" s="6" t="s">
        <v>51</v>
      </c>
      <c r="G1251" s="10">
        <v>1</v>
      </c>
      <c r="H1251" s="10">
        <v>20</v>
      </c>
      <c r="I1251" s="10">
        <v>18</v>
      </c>
      <c r="J1251" s="4" t="s">
        <v>71</v>
      </c>
      <c r="K1251" s="4">
        <v>37211</v>
      </c>
      <c r="L1251" s="4" t="s">
        <v>61</v>
      </c>
      <c r="M1251" s="6" t="s">
        <v>3124</v>
      </c>
      <c r="N1251" s="25" t="s">
        <v>33</v>
      </c>
      <c r="O1251" s="6" t="s">
        <v>23</v>
      </c>
      <c r="P1251" s="6" t="s">
        <v>23</v>
      </c>
      <c r="Q1251" s="9" t="s">
        <v>23</v>
      </c>
      <c r="R1251" s="54" t="s">
        <v>23</v>
      </c>
      <c r="S1251" s="17" t="s">
        <v>23</v>
      </c>
    </row>
    <row r="1252" spans="1:19" ht="15.75" customHeight="1">
      <c r="A1252" s="10">
        <v>48</v>
      </c>
      <c r="B1252" s="10">
        <v>2023</v>
      </c>
      <c r="C1252" s="6" t="s">
        <v>1824</v>
      </c>
      <c r="D1252" s="48">
        <v>45050</v>
      </c>
      <c r="E1252" s="6" t="s">
        <v>20</v>
      </c>
      <c r="F1252" s="6" t="s">
        <v>51</v>
      </c>
      <c r="G1252" s="10">
        <v>1</v>
      </c>
      <c r="H1252" s="10">
        <v>20</v>
      </c>
      <c r="I1252" s="10">
        <v>19</v>
      </c>
      <c r="J1252" s="4" t="s">
        <v>71</v>
      </c>
      <c r="K1252" s="4">
        <v>37245</v>
      </c>
      <c r="L1252" s="4" t="s">
        <v>61</v>
      </c>
      <c r="M1252" s="6" t="s">
        <v>3125</v>
      </c>
      <c r="N1252" s="25" t="s">
        <v>33</v>
      </c>
      <c r="O1252" s="6" t="s">
        <v>23</v>
      </c>
      <c r="P1252" s="6" t="s">
        <v>23</v>
      </c>
      <c r="Q1252" s="9" t="s">
        <v>23</v>
      </c>
      <c r="R1252" s="54" t="s">
        <v>23</v>
      </c>
      <c r="S1252" s="17" t="s">
        <v>23</v>
      </c>
    </row>
    <row r="1253" spans="1:19" ht="15.75" customHeight="1">
      <c r="A1253" s="10">
        <v>48</v>
      </c>
      <c r="B1253" s="10">
        <v>2023</v>
      </c>
      <c r="C1253" s="6" t="s">
        <v>1824</v>
      </c>
      <c r="D1253" s="48">
        <v>45050</v>
      </c>
      <c r="E1253" s="6" t="s">
        <v>20</v>
      </c>
      <c r="F1253" s="6" t="s">
        <v>51</v>
      </c>
      <c r="G1253" s="10">
        <v>1</v>
      </c>
      <c r="H1253" s="10">
        <v>20</v>
      </c>
      <c r="I1253" s="10">
        <v>20</v>
      </c>
      <c r="J1253" s="4" t="s">
        <v>71</v>
      </c>
      <c r="K1253" s="4">
        <v>37256</v>
      </c>
      <c r="L1253" s="4" t="s">
        <v>61</v>
      </c>
      <c r="M1253" s="6" t="s">
        <v>3126</v>
      </c>
      <c r="N1253" s="25" t="s">
        <v>33</v>
      </c>
      <c r="O1253" s="6" t="s">
        <v>23</v>
      </c>
      <c r="P1253" s="6" t="s">
        <v>23</v>
      </c>
      <c r="Q1253" s="9" t="s">
        <v>23</v>
      </c>
      <c r="R1253" s="54" t="s">
        <v>23</v>
      </c>
      <c r="S1253" s="17" t="s">
        <v>23</v>
      </c>
    </row>
    <row r="1254" spans="1:19" ht="15.75" customHeight="1">
      <c r="A1254" s="10">
        <v>49</v>
      </c>
      <c r="B1254" s="10">
        <v>2023</v>
      </c>
      <c r="C1254" s="6" t="s">
        <v>1824</v>
      </c>
      <c r="D1254" s="48">
        <v>45055</v>
      </c>
      <c r="E1254" s="6" t="s">
        <v>33</v>
      </c>
      <c r="F1254" s="6" t="s">
        <v>3100</v>
      </c>
      <c r="G1254" s="10">
        <v>3</v>
      </c>
      <c r="H1254" s="10">
        <v>1</v>
      </c>
      <c r="I1254" s="10">
        <v>1</v>
      </c>
      <c r="J1254" s="4" t="s">
        <v>30</v>
      </c>
      <c r="K1254" s="4">
        <v>37057</v>
      </c>
      <c r="L1254" s="4" t="s">
        <v>31</v>
      </c>
      <c r="M1254" s="6" t="s">
        <v>3092</v>
      </c>
      <c r="N1254" s="25" t="s">
        <v>20</v>
      </c>
      <c r="O1254" s="6" t="s">
        <v>33</v>
      </c>
      <c r="P1254" s="6">
        <v>12</v>
      </c>
      <c r="Q1254" s="32" t="s">
        <v>3127</v>
      </c>
      <c r="R1254" s="56" t="s">
        <v>3128</v>
      </c>
      <c r="S1254" s="39" t="s">
        <v>3129</v>
      </c>
    </row>
    <row r="1255" spans="1:19" ht="15.75" customHeight="1">
      <c r="A1255" s="10">
        <v>50</v>
      </c>
      <c r="B1255" s="10">
        <v>2023</v>
      </c>
      <c r="C1255" s="6" t="s">
        <v>1824</v>
      </c>
      <c r="D1255" s="48">
        <v>45055</v>
      </c>
      <c r="E1255" s="6" t="s">
        <v>33</v>
      </c>
      <c r="F1255" s="6" t="s">
        <v>1039</v>
      </c>
      <c r="G1255" s="10">
        <v>2</v>
      </c>
      <c r="H1255" s="10">
        <v>1</v>
      </c>
      <c r="I1255" s="10">
        <v>1</v>
      </c>
      <c r="J1255" s="4" t="s">
        <v>30</v>
      </c>
      <c r="K1255" s="4">
        <v>37218</v>
      </c>
      <c r="L1255" s="4" t="s">
        <v>31</v>
      </c>
      <c r="M1255" s="6" t="s">
        <v>3130</v>
      </c>
      <c r="N1255" s="25" t="s">
        <v>33</v>
      </c>
      <c r="O1255" s="6" t="s">
        <v>33</v>
      </c>
      <c r="P1255" s="6">
        <v>1</v>
      </c>
      <c r="Q1255" s="9" t="s">
        <v>23</v>
      </c>
      <c r="R1255" s="56" t="s">
        <v>3131</v>
      </c>
      <c r="S1255" s="17" t="s">
        <v>3132</v>
      </c>
    </row>
    <row r="1256" spans="1:19" ht="15.75" customHeight="1">
      <c r="A1256" s="10">
        <v>51</v>
      </c>
      <c r="B1256" s="10">
        <v>2023</v>
      </c>
      <c r="C1256" s="6" t="s">
        <v>102</v>
      </c>
      <c r="D1256" s="48">
        <v>45055</v>
      </c>
      <c r="E1256" s="6" t="s">
        <v>20</v>
      </c>
      <c r="F1256" s="6" t="s">
        <v>47</v>
      </c>
      <c r="G1256" s="10">
        <v>1</v>
      </c>
      <c r="H1256" s="10">
        <v>3</v>
      </c>
      <c r="I1256" s="10">
        <v>1</v>
      </c>
      <c r="J1256" s="4" t="s">
        <v>30</v>
      </c>
      <c r="K1256" s="4">
        <v>37286</v>
      </c>
      <c r="L1256" s="4" t="s">
        <v>31</v>
      </c>
      <c r="M1256" s="6" t="s">
        <v>3133</v>
      </c>
      <c r="N1256" s="25" t="s">
        <v>33</v>
      </c>
      <c r="O1256" s="6" t="s">
        <v>33</v>
      </c>
      <c r="P1256" s="6">
        <v>3</v>
      </c>
      <c r="Q1256" s="32" t="s">
        <v>3134</v>
      </c>
      <c r="R1256" s="56" t="s">
        <v>3135</v>
      </c>
      <c r="S1256" s="34" t="s">
        <v>3136</v>
      </c>
    </row>
    <row r="1257" spans="1:19" ht="15.75" customHeight="1">
      <c r="A1257" s="10">
        <v>51</v>
      </c>
      <c r="B1257" s="10">
        <v>2023</v>
      </c>
      <c r="C1257" s="6" t="s">
        <v>102</v>
      </c>
      <c r="D1257" s="48">
        <v>45055</v>
      </c>
      <c r="E1257" s="6" t="s">
        <v>20</v>
      </c>
      <c r="F1257" s="6" t="s">
        <v>47</v>
      </c>
      <c r="G1257" s="10">
        <v>1</v>
      </c>
      <c r="H1257" s="10">
        <v>3</v>
      </c>
      <c r="I1257" s="10">
        <v>2</v>
      </c>
      <c r="J1257" s="4" t="s">
        <v>30</v>
      </c>
      <c r="K1257" s="4">
        <v>37287</v>
      </c>
      <c r="L1257" s="4" t="s">
        <v>31</v>
      </c>
      <c r="M1257" s="6" t="s">
        <v>3137</v>
      </c>
      <c r="N1257" s="25" t="s">
        <v>33</v>
      </c>
      <c r="O1257" s="6" t="s">
        <v>23</v>
      </c>
      <c r="P1257" s="6" t="s">
        <v>23</v>
      </c>
      <c r="Q1257" s="9" t="s">
        <v>23</v>
      </c>
      <c r="R1257" s="54" t="s">
        <v>23</v>
      </c>
      <c r="S1257" s="17" t="s">
        <v>23</v>
      </c>
    </row>
    <row r="1258" spans="1:19" ht="15.75" customHeight="1">
      <c r="A1258" s="10">
        <v>51</v>
      </c>
      <c r="B1258" s="10">
        <v>2023</v>
      </c>
      <c r="C1258" s="6" t="s">
        <v>102</v>
      </c>
      <c r="D1258" s="48">
        <v>45055</v>
      </c>
      <c r="E1258" s="6" t="s">
        <v>20</v>
      </c>
      <c r="F1258" s="6" t="s">
        <v>47</v>
      </c>
      <c r="G1258" s="10">
        <v>1</v>
      </c>
      <c r="H1258" s="10">
        <v>3</v>
      </c>
      <c r="I1258" s="10">
        <v>3</v>
      </c>
      <c r="J1258" s="4" t="s">
        <v>30</v>
      </c>
      <c r="K1258" s="4">
        <v>37288</v>
      </c>
      <c r="L1258" s="4" t="s">
        <v>31</v>
      </c>
      <c r="M1258" s="6" t="s">
        <v>3138</v>
      </c>
      <c r="N1258" s="25" t="s">
        <v>33</v>
      </c>
      <c r="O1258" s="6" t="s">
        <v>23</v>
      </c>
      <c r="P1258" s="6" t="s">
        <v>23</v>
      </c>
      <c r="Q1258" s="9" t="s">
        <v>23</v>
      </c>
      <c r="R1258" s="54" t="s">
        <v>23</v>
      </c>
      <c r="S1258" s="17" t="s">
        <v>23</v>
      </c>
    </row>
    <row r="1259" spans="1:19" ht="15.75" customHeight="1">
      <c r="A1259" s="10">
        <v>52</v>
      </c>
      <c r="B1259" s="10">
        <v>2023</v>
      </c>
      <c r="C1259" s="6" t="s">
        <v>1824</v>
      </c>
      <c r="D1259" s="48">
        <v>45057</v>
      </c>
      <c r="E1259" s="6" t="s">
        <v>33</v>
      </c>
      <c r="F1259" s="6" t="s">
        <v>3100</v>
      </c>
      <c r="G1259" s="10">
        <v>3</v>
      </c>
      <c r="H1259" s="10">
        <v>1</v>
      </c>
      <c r="I1259" s="10">
        <v>1</v>
      </c>
      <c r="J1259" s="4" t="s">
        <v>30</v>
      </c>
      <c r="K1259" s="4">
        <v>37057</v>
      </c>
      <c r="L1259" s="4" t="s">
        <v>31</v>
      </c>
      <c r="M1259" s="6" t="s">
        <v>3092</v>
      </c>
      <c r="N1259" s="25" t="s">
        <v>20</v>
      </c>
      <c r="O1259" s="6" t="s">
        <v>33</v>
      </c>
      <c r="P1259" s="6">
        <v>3</v>
      </c>
      <c r="Q1259" s="32" t="s">
        <v>3139</v>
      </c>
      <c r="R1259" s="56" t="s">
        <v>3140</v>
      </c>
      <c r="S1259" s="34" t="s">
        <v>3141</v>
      </c>
    </row>
    <row r="1260" spans="1:19" ht="15.75" customHeight="1">
      <c r="A1260" s="10">
        <v>53</v>
      </c>
      <c r="B1260" s="10">
        <v>2023</v>
      </c>
      <c r="C1260" s="6" t="s">
        <v>1824</v>
      </c>
      <c r="D1260" s="48">
        <v>45057</v>
      </c>
      <c r="E1260" s="6" t="s">
        <v>20</v>
      </c>
      <c r="F1260" s="6" t="s">
        <v>73</v>
      </c>
      <c r="G1260" s="10">
        <v>1</v>
      </c>
      <c r="H1260" s="10">
        <v>6</v>
      </c>
      <c r="I1260" s="10">
        <v>1</v>
      </c>
      <c r="J1260" s="4" t="s">
        <v>71</v>
      </c>
      <c r="K1260" s="4">
        <v>35624</v>
      </c>
      <c r="L1260" s="4" t="s">
        <v>61</v>
      </c>
      <c r="M1260" s="6" t="s">
        <v>3142</v>
      </c>
      <c r="N1260" s="25" t="s">
        <v>33</v>
      </c>
      <c r="O1260" s="6" t="s">
        <v>33</v>
      </c>
      <c r="P1260" s="6">
        <v>1</v>
      </c>
      <c r="Q1260" s="9" t="s">
        <v>23</v>
      </c>
      <c r="R1260" s="56" t="s">
        <v>3143</v>
      </c>
      <c r="S1260" s="17" t="s">
        <v>23</v>
      </c>
    </row>
    <row r="1261" spans="1:19" ht="15.75" customHeight="1">
      <c r="A1261" s="10">
        <v>53</v>
      </c>
      <c r="B1261" s="10">
        <v>2023</v>
      </c>
      <c r="C1261" s="6" t="s">
        <v>1824</v>
      </c>
      <c r="D1261" s="48">
        <v>45057</v>
      </c>
      <c r="E1261" s="6" t="s">
        <v>20</v>
      </c>
      <c r="F1261" s="6" t="s">
        <v>73</v>
      </c>
      <c r="G1261" s="10">
        <v>1</v>
      </c>
      <c r="H1261" s="10">
        <v>6</v>
      </c>
      <c r="I1261" s="10">
        <v>2</v>
      </c>
      <c r="J1261" s="4" t="s">
        <v>71</v>
      </c>
      <c r="K1261" s="4">
        <v>36314</v>
      </c>
      <c r="L1261" s="4" t="s">
        <v>61</v>
      </c>
      <c r="M1261" s="6" t="s">
        <v>3144</v>
      </c>
      <c r="N1261" s="25" t="s">
        <v>33</v>
      </c>
      <c r="O1261" s="6" t="s">
        <v>23</v>
      </c>
      <c r="P1261" s="6" t="s">
        <v>23</v>
      </c>
      <c r="Q1261" s="9" t="s">
        <v>23</v>
      </c>
      <c r="R1261" s="54" t="s">
        <v>23</v>
      </c>
      <c r="S1261" s="17" t="s">
        <v>23</v>
      </c>
    </row>
    <row r="1262" spans="1:19" ht="15.75" customHeight="1">
      <c r="A1262" s="10">
        <v>53</v>
      </c>
      <c r="B1262" s="10">
        <v>2023</v>
      </c>
      <c r="C1262" s="6" t="s">
        <v>1824</v>
      </c>
      <c r="D1262" s="48">
        <v>45057</v>
      </c>
      <c r="E1262" s="6" t="s">
        <v>20</v>
      </c>
      <c r="F1262" s="6" t="s">
        <v>73</v>
      </c>
      <c r="G1262" s="10">
        <v>1</v>
      </c>
      <c r="H1262" s="10">
        <v>6</v>
      </c>
      <c r="I1262" s="10">
        <v>3</v>
      </c>
      <c r="J1262" s="4" t="s">
        <v>71</v>
      </c>
      <c r="K1262" s="4">
        <v>36770</v>
      </c>
      <c r="L1262" s="4" t="s">
        <v>61</v>
      </c>
      <c r="M1262" s="6" t="s">
        <v>3145</v>
      </c>
      <c r="N1262" s="25" t="s">
        <v>33</v>
      </c>
      <c r="O1262" s="6" t="s">
        <v>23</v>
      </c>
      <c r="P1262" s="6" t="s">
        <v>23</v>
      </c>
      <c r="Q1262" s="9" t="s">
        <v>23</v>
      </c>
      <c r="R1262" s="54" t="s">
        <v>23</v>
      </c>
      <c r="S1262" s="17" t="s">
        <v>23</v>
      </c>
    </row>
    <row r="1263" spans="1:19" ht="15.75" customHeight="1">
      <c r="A1263" s="10">
        <v>53</v>
      </c>
      <c r="B1263" s="10">
        <v>2023</v>
      </c>
      <c r="C1263" s="6" t="s">
        <v>1824</v>
      </c>
      <c r="D1263" s="48">
        <v>45057</v>
      </c>
      <c r="E1263" s="6" t="s">
        <v>20</v>
      </c>
      <c r="F1263" s="6" t="s">
        <v>73</v>
      </c>
      <c r="G1263" s="10">
        <v>1</v>
      </c>
      <c r="H1263" s="10">
        <v>6</v>
      </c>
      <c r="I1263" s="10">
        <v>4</v>
      </c>
      <c r="J1263" s="4" t="s">
        <v>71</v>
      </c>
      <c r="K1263" s="4">
        <v>36815</v>
      </c>
      <c r="L1263" s="4" t="s">
        <v>61</v>
      </c>
      <c r="M1263" s="6" t="s">
        <v>3146</v>
      </c>
      <c r="N1263" s="25" t="s">
        <v>33</v>
      </c>
      <c r="O1263" s="6" t="s">
        <v>23</v>
      </c>
      <c r="P1263" s="6" t="s">
        <v>23</v>
      </c>
      <c r="Q1263" s="9" t="s">
        <v>23</v>
      </c>
      <c r="R1263" s="54" t="s">
        <v>23</v>
      </c>
      <c r="S1263" s="17" t="s">
        <v>23</v>
      </c>
    </row>
    <row r="1264" spans="1:19" ht="15.75" customHeight="1">
      <c r="A1264" s="10">
        <v>53</v>
      </c>
      <c r="B1264" s="10">
        <v>2023</v>
      </c>
      <c r="C1264" s="6" t="s">
        <v>1824</v>
      </c>
      <c r="D1264" s="48">
        <v>45057</v>
      </c>
      <c r="E1264" s="6" t="s">
        <v>20</v>
      </c>
      <c r="F1264" s="6" t="s">
        <v>73</v>
      </c>
      <c r="G1264" s="10">
        <v>1</v>
      </c>
      <c r="H1264" s="10">
        <v>6</v>
      </c>
      <c r="I1264" s="10">
        <v>5</v>
      </c>
      <c r="J1264" s="4" t="s">
        <v>71</v>
      </c>
      <c r="K1264" s="4">
        <v>36874</v>
      </c>
      <c r="L1264" s="4" t="s">
        <v>61</v>
      </c>
      <c r="M1264" s="6" t="s">
        <v>3147</v>
      </c>
      <c r="N1264" s="25" t="s">
        <v>33</v>
      </c>
      <c r="O1264" s="6" t="s">
        <v>23</v>
      </c>
      <c r="P1264" s="6" t="s">
        <v>23</v>
      </c>
      <c r="Q1264" s="9" t="s">
        <v>23</v>
      </c>
      <c r="R1264" s="54" t="s">
        <v>23</v>
      </c>
      <c r="S1264" s="17" t="s">
        <v>23</v>
      </c>
    </row>
    <row r="1265" spans="1:19" ht="15.75" customHeight="1">
      <c r="A1265" s="10">
        <v>53</v>
      </c>
      <c r="B1265" s="10">
        <v>2023</v>
      </c>
      <c r="C1265" s="6" t="s">
        <v>1824</v>
      </c>
      <c r="D1265" s="48">
        <v>45057</v>
      </c>
      <c r="E1265" s="6" t="s">
        <v>20</v>
      </c>
      <c r="F1265" s="6" t="s">
        <v>73</v>
      </c>
      <c r="G1265" s="10">
        <v>1</v>
      </c>
      <c r="H1265" s="10">
        <v>6</v>
      </c>
      <c r="I1265" s="10">
        <v>6</v>
      </c>
      <c r="J1265" s="4" t="s">
        <v>71</v>
      </c>
      <c r="K1265" s="4">
        <v>37195</v>
      </c>
      <c r="L1265" s="4" t="s">
        <v>61</v>
      </c>
      <c r="M1265" s="6" t="s">
        <v>3148</v>
      </c>
      <c r="N1265" s="25" t="s">
        <v>33</v>
      </c>
      <c r="O1265" s="6" t="s">
        <v>23</v>
      </c>
      <c r="P1265" s="6" t="s">
        <v>23</v>
      </c>
      <c r="Q1265" s="9" t="s">
        <v>23</v>
      </c>
      <c r="R1265" s="54" t="s">
        <v>23</v>
      </c>
      <c r="S1265" s="17" t="s">
        <v>23</v>
      </c>
    </row>
    <row r="1266" spans="1:19" ht="15.75" customHeight="1">
      <c r="A1266" s="10">
        <v>54</v>
      </c>
      <c r="B1266" s="10">
        <v>2023</v>
      </c>
      <c r="C1266" s="6" t="s">
        <v>1824</v>
      </c>
      <c r="D1266" s="48">
        <v>45062</v>
      </c>
      <c r="E1266" s="6" t="s">
        <v>33</v>
      </c>
      <c r="F1266" s="6" t="s">
        <v>3100</v>
      </c>
      <c r="G1266" s="10">
        <v>3</v>
      </c>
      <c r="H1266" s="10">
        <v>1</v>
      </c>
      <c r="I1266" s="10">
        <v>1</v>
      </c>
      <c r="J1266" s="4" t="s">
        <v>30</v>
      </c>
      <c r="K1266" s="4">
        <v>37057</v>
      </c>
      <c r="L1266" s="4" t="s">
        <v>31</v>
      </c>
      <c r="M1266" s="6" t="s">
        <v>3092</v>
      </c>
      <c r="N1266" s="25" t="s">
        <v>20</v>
      </c>
      <c r="O1266" s="6" t="s">
        <v>33</v>
      </c>
      <c r="P1266" s="6">
        <v>19</v>
      </c>
      <c r="Q1266" s="32" t="s">
        <v>3149</v>
      </c>
      <c r="R1266" s="56" t="s">
        <v>3150</v>
      </c>
      <c r="S1266" s="34" t="s">
        <v>3151</v>
      </c>
    </row>
    <row r="1267" spans="1:19" ht="15.75" customHeight="1">
      <c r="A1267" s="10">
        <v>55</v>
      </c>
      <c r="B1267" s="10">
        <v>2023</v>
      </c>
      <c r="C1267" s="6" t="s">
        <v>1824</v>
      </c>
      <c r="D1267" s="48">
        <v>45062</v>
      </c>
      <c r="E1267" s="6" t="s">
        <v>20</v>
      </c>
      <c r="F1267" s="6" t="s">
        <v>26</v>
      </c>
      <c r="G1267" s="10">
        <v>1</v>
      </c>
      <c r="H1267" s="10">
        <v>1</v>
      </c>
      <c r="I1267" s="10">
        <v>1</v>
      </c>
      <c r="J1267" s="4" t="s">
        <v>23</v>
      </c>
      <c r="K1267" s="4" t="s">
        <v>23</v>
      </c>
      <c r="L1267" s="4" t="s">
        <v>23</v>
      </c>
      <c r="M1267" s="6" t="s">
        <v>3152</v>
      </c>
      <c r="N1267" s="25" t="s">
        <v>23</v>
      </c>
      <c r="O1267" s="6" t="s">
        <v>33</v>
      </c>
      <c r="P1267" s="6">
        <v>1</v>
      </c>
      <c r="Q1267" s="32" t="s">
        <v>3153</v>
      </c>
      <c r="R1267" s="56" t="s">
        <v>3150</v>
      </c>
      <c r="S1267" s="34" t="s">
        <v>3154</v>
      </c>
    </row>
    <row r="1268" spans="1:19" ht="15.75" customHeight="1">
      <c r="A1268" s="10">
        <v>56</v>
      </c>
      <c r="B1268" s="10">
        <v>2023</v>
      </c>
      <c r="C1268" s="6" t="s">
        <v>19</v>
      </c>
      <c r="D1268" s="48">
        <v>45062</v>
      </c>
      <c r="E1268" s="6" t="s">
        <v>33</v>
      </c>
      <c r="F1268" s="6" t="s">
        <v>2466</v>
      </c>
      <c r="G1268" s="10">
        <v>3</v>
      </c>
      <c r="H1268" s="10">
        <v>1</v>
      </c>
      <c r="I1268" s="10">
        <v>1</v>
      </c>
      <c r="J1268" s="4" t="s">
        <v>23</v>
      </c>
      <c r="K1268" s="4" t="s">
        <v>23</v>
      </c>
      <c r="L1268" s="4" t="s">
        <v>23</v>
      </c>
      <c r="M1268" s="6" t="s">
        <v>3155</v>
      </c>
      <c r="N1268" s="25" t="s">
        <v>23</v>
      </c>
      <c r="O1268" s="6" t="s">
        <v>20</v>
      </c>
      <c r="P1268" s="6">
        <v>0</v>
      </c>
      <c r="Q1268" s="9" t="s">
        <v>23</v>
      </c>
      <c r="R1268" s="54" t="s">
        <v>23</v>
      </c>
      <c r="S1268" s="34" t="s">
        <v>3156</v>
      </c>
    </row>
    <row r="1269" spans="1:19" ht="15.75" customHeight="1">
      <c r="A1269" s="10">
        <v>57</v>
      </c>
      <c r="B1269" s="10">
        <v>2023</v>
      </c>
      <c r="C1269" s="6" t="s">
        <v>1824</v>
      </c>
      <c r="D1269" s="48">
        <v>45063</v>
      </c>
      <c r="E1269" s="6" t="s">
        <v>33</v>
      </c>
      <c r="F1269" s="6" t="s">
        <v>3100</v>
      </c>
      <c r="G1269" s="10">
        <v>3</v>
      </c>
      <c r="H1269" s="10">
        <v>1</v>
      </c>
      <c r="I1269" s="10">
        <v>1</v>
      </c>
      <c r="J1269" s="4" t="s">
        <v>30</v>
      </c>
      <c r="K1269" s="4">
        <v>37057</v>
      </c>
      <c r="L1269" s="4" t="s">
        <v>31</v>
      </c>
      <c r="M1269" s="6" t="s">
        <v>3092</v>
      </c>
      <c r="N1269" s="25" t="s">
        <v>33</v>
      </c>
      <c r="O1269" s="6" t="s">
        <v>20</v>
      </c>
      <c r="P1269" s="6">
        <v>0</v>
      </c>
      <c r="Q1269" s="32" t="s">
        <v>3157</v>
      </c>
      <c r="R1269" s="56" t="s">
        <v>3158</v>
      </c>
      <c r="S1269" s="34" t="s">
        <v>3159</v>
      </c>
    </row>
    <row r="1270" spans="1:19" ht="15.75" customHeight="1">
      <c r="A1270" s="10">
        <v>58</v>
      </c>
      <c r="B1270" s="10">
        <v>2023</v>
      </c>
      <c r="C1270" s="6" t="s">
        <v>102</v>
      </c>
      <c r="D1270" s="48">
        <v>45064</v>
      </c>
      <c r="E1270" s="6" t="s">
        <v>20</v>
      </c>
      <c r="F1270" s="6" t="s">
        <v>47</v>
      </c>
      <c r="G1270" s="10">
        <v>1</v>
      </c>
      <c r="H1270" s="10">
        <v>2</v>
      </c>
      <c r="I1270" s="10">
        <v>1</v>
      </c>
      <c r="J1270" s="4" t="s">
        <v>30</v>
      </c>
      <c r="K1270" s="4">
        <v>37316</v>
      </c>
      <c r="L1270" s="4" t="s">
        <v>31</v>
      </c>
      <c r="M1270" s="6" t="s">
        <v>3160</v>
      </c>
      <c r="N1270" s="25" t="s">
        <v>33</v>
      </c>
      <c r="O1270" s="6" t="s">
        <v>33</v>
      </c>
      <c r="P1270" s="6">
        <v>2</v>
      </c>
      <c r="Q1270" s="32" t="s">
        <v>3161</v>
      </c>
      <c r="R1270" s="56" t="s">
        <v>3162</v>
      </c>
      <c r="S1270" s="34" t="s">
        <v>3163</v>
      </c>
    </row>
    <row r="1271" spans="1:19" ht="15.75" customHeight="1">
      <c r="A1271" s="10">
        <v>58</v>
      </c>
      <c r="B1271" s="10">
        <v>2023</v>
      </c>
      <c r="C1271" s="6" t="s">
        <v>102</v>
      </c>
      <c r="D1271" s="48">
        <v>45064</v>
      </c>
      <c r="E1271" s="6" t="s">
        <v>20</v>
      </c>
      <c r="F1271" s="6" t="s">
        <v>47</v>
      </c>
      <c r="G1271" s="10">
        <v>1</v>
      </c>
      <c r="H1271" s="10">
        <v>2</v>
      </c>
      <c r="I1271" s="10">
        <v>2</v>
      </c>
      <c r="J1271" s="4" t="s">
        <v>30</v>
      </c>
      <c r="K1271" s="4">
        <v>37329</v>
      </c>
      <c r="L1271" s="4" t="s">
        <v>31</v>
      </c>
      <c r="M1271" s="6" t="s">
        <v>3164</v>
      </c>
      <c r="N1271" s="25" t="s">
        <v>33</v>
      </c>
      <c r="O1271" s="6" t="s">
        <v>23</v>
      </c>
      <c r="P1271" s="6" t="s">
        <v>23</v>
      </c>
      <c r="Q1271" s="9" t="s">
        <v>23</v>
      </c>
      <c r="R1271" s="54" t="s">
        <v>23</v>
      </c>
      <c r="S1271" s="17" t="s">
        <v>23</v>
      </c>
    </row>
    <row r="1272" spans="1:19" ht="15.75" customHeight="1">
      <c r="A1272" s="10">
        <v>59</v>
      </c>
      <c r="B1272" s="10">
        <v>2023</v>
      </c>
      <c r="C1272" s="6" t="s">
        <v>19</v>
      </c>
      <c r="D1272" s="48">
        <v>45064</v>
      </c>
      <c r="E1272" s="6" t="s">
        <v>33</v>
      </c>
      <c r="F1272" s="6" t="s">
        <v>2325</v>
      </c>
      <c r="G1272" s="10">
        <v>2</v>
      </c>
      <c r="H1272" s="10">
        <v>1</v>
      </c>
      <c r="I1272" s="10">
        <v>1</v>
      </c>
      <c r="J1272" s="4" t="s">
        <v>23</v>
      </c>
      <c r="K1272" s="4" t="s">
        <v>23</v>
      </c>
      <c r="L1272" s="4" t="s">
        <v>23</v>
      </c>
      <c r="M1272" s="6" t="s">
        <v>3165</v>
      </c>
      <c r="N1272" s="25" t="s">
        <v>23</v>
      </c>
      <c r="O1272" s="6" t="s">
        <v>33</v>
      </c>
      <c r="P1272" s="6">
        <v>3</v>
      </c>
      <c r="Q1272" s="9" t="s">
        <v>23</v>
      </c>
      <c r="R1272" s="54" t="s">
        <v>23</v>
      </c>
      <c r="S1272" s="34" t="s">
        <v>3166</v>
      </c>
    </row>
    <row r="1273" spans="1:19" ht="15.75" customHeight="1">
      <c r="A1273" s="10">
        <v>60</v>
      </c>
      <c r="B1273" s="10">
        <v>2023</v>
      </c>
      <c r="C1273" s="6" t="s">
        <v>102</v>
      </c>
      <c r="D1273" s="48">
        <v>45069</v>
      </c>
      <c r="E1273" s="6" t="s">
        <v>20</v>
      </c>
      <c r="F1273" s="6" t="s">
        <v>53</v>
      </c>
      <c r="G1273" s="10">
        <v>1</v>
      </c>
      <c r="H1273" s="10">
        <v>7</v>
      </c>
      <c r="I1273" s="10">
        <v>1</v>
      </c>
      <c r="J1273" s="4" t="s">
        <v>30</v>
      </c>
      <c r="K1273" s="4">
        <v>37315</v>
      </c>
      <c r="L1273" s="4" t="s">
        <v>31</v>
      </c>
      <c r="M1273" s="6" t="s">
        <v>3167</v>
      </c>
      <c r="N1273" s="25" t="s">
        <v>20</v>
      </c>
      <c r="O1273" s="6" t="s">
        <v>20</v>
      </c>
      <c r="P1273" s="6">
        <v>0</v>
      </c>
      <c r="Q1273" s="32" t="s">
        <v>3168</v>
      </c>
      <c r="R1273" s="56" t="s">
        <v>3169</v>
      </c>
      <c r="S1273" s="34" t="s">
        <v>3170</v>
      </c>
    </row>
    <row r="1274" spans="1:19" ht="15.75" customHeight="1">
      <c r="A1274" s="10">
        <v>60</v>
      </c>
      <c r="B1274" s="10">
        <v>2023</v>
      </c>
      <c r="C1274" s="6" t="s">
        <v>102</v>
      </c>
      <c r="D1274" s="48">
        <v>45069</v>
      </c>
      <c r="E1274" s="6" t="s">
        <v>20</v>
      </c>
      <c r="F1274" s="6" t="s">
        <v>53</v>
      </c>
      <c r="G1274" s="10">
        <v>1</v>
      </c>
      <c r="H1274" s="10">
        <v>7</v>
      </c>
      <c r="I1274" s="10">
        <v>2</v>
      </c>
      <c r="J1274" s="4" t="s">
        <v>30</v>
      </c>
      <c r="K1274" s="4">
        <v>37236</v>
      </c>
      <c r="L1274" s="4" t="s">
        <v>31</v>
      </c>
      <c r="M1274" s="6" t="s">
        <v>3171</v>
      </c>
      <c r="N1274" s="25" t="s">
        <v>33</v>
      </c>
      <c r="O1274" s="6" t="s">
        <v>23</v>
      </c>
      <c r="P1274" s="6" t="s">
        <v>23</v>
      </c>
      <c r="Q1274" s="9" t="s">
        <v>23</v>
      </c>
      <c r="R1274" s="54" t="s">
        <v>23</v>
      </c>
      <c r="S1274" s="17" t="s">
        <v>23</v>
      </c>
    </row>
    <row r="1275" spans="1:19" ht="15.75" customHeight="1">
      <c r="A1275" s="10">
        <v>60</v>
      </c>
      <c r="B1275" s="10">
        <v>2023</v>
      </c>
      <c r="C1275" s="6" t="s">
        <v>102</v>
      </c>
      <c r="D1275" s="48">
        <v>45069</v>
      </c>
      <c r="E1275" s="6" t="s">
        <v>20</v>
      </c>
      <c r="F1275" s="6" t="s">
        <v>53</v>
      </c>
      <c r="G1275" s="10">
        <v>1</v>
      </c>
      <c r="H1275" s="10">
        <v>7</v>
      </c>
      <c r="I1275" s="10">
        <v>3</v>
      </c>
      <c r="J1275" s="4" t="s">
        <v>30</v>
      </c>
      <c r="K1275" s="4">
        <v>37286</v>
      </c>
      <c r="L1275" s="4" t="s">
        <v>31</v>
      </c>
      <c r="M1275" s="6" t="s">
        <v>3172</v>
      </c>
      <c r="N1275" s="25" t="s">
        <v>33</v>
      </c>
      <c r="O1275" s="6" t="s">
        <v>23</v>
      </c>
      <c r="P1275" s="6" t="s">
        <v>23</v>
      </c>
      <c r="Q1275" s="9" t="s">
        <v>23</v>
      </c>
      <c r="R1275" s="54" t="s">
        <v>23</v>
      </c>
      <c r="S1275" s="17" t="s">
        <v>23</v>
      </c>
    </row>
    <row r="1276" spans="1:19" ht="15.75" customHeight="1">
      <c r="A1276" s="10">
        <v>60</v>
      </c>
      <c r="B1276" s="10">
        <v>2023</v>
      </c>
      <c r="C1276" s="6" t="s">
        <v>102</v>
      </c>
      <c r="D1276" s="48">
        <v>45069</v>
      </c>
      <c r="E1276" s="6" t="s">
        <v>20</v>
      </c>
      <c r="F1276" s="6" t="s">
        <v>53</v>
      </c>
      <c r="G1276" s="10">
        <v>1</v>
      </c>
      <c r="H1276" s="10">
        <v>7</v>
      </c>
      <c r="I1276" s="10">
        <v>4</v>
      </c>
      <c r="J1276" s="4" t="s">
        <v>30</v>
      </c>
      <c r="K1276" s="4">
        <v>37287</v>
      </c>
      <c r="L1276" s="4" t="s">
        <v>31</v>
      </c>
      <c r="M1276" s="6" t="s">
        <v>3173</v>
      </c>
      <c r="N1276" s="25" t="s">
        <v>33</v>
      </c>
      <c r="O1276" s="6" t="s">
        <v>23</v>
      </c>
      <c r="P1276" s="6" t="s">
        <v>23</v>
      </c>
      <c r="Q1276" s="9" t="s">
        <v>23</v>
      </c>
      <c r="R1276" s="54" t="s">
        <v>23</v>
      </c>
      <c r="S1276" s="17" t="s">
        <v>23</v>
      </c>
    </row>
    <row r="1277" spans="1:19" ht="15.75" customHeight="1">
      <c r="A1277" s="10">
        <v>60</v>
      </c>
      <c r="B1277" s="10">
        <v>2023</v>
      </c>
      <c r="C1277" s="6" t="s">
        <v>102</v>
      </c>
      <c r="D1277" s="48">
        <v>45069</v>
      </c>
      <c r="E1277" s="6" t="s">
        <v>20</v>
      </c>
      <c r="F1277" s="6" t="s">
        <v>53</v>
      </c>
      <c r="G1277" s="10">
        <v>1</v>
      </c>
      <c r="H1277" s="10">
        <v>7</v>
      </c>
      <c r="I1277" s="10">
        <v>5</v>
      </c>
      <c r="J1277" s="4" t="s">
        <v>30</v>
      </c>
      <c r="K1277" s="4">
        <v>37288</v>
      </c>
      <c r="L1277" s="4" t="s">
        <v>31</v>
      </c>
      <c r="M1277" s="6" t="s">
        <v>3174</v>
      </c>
      <c r="N1277" s="25" t="s">
        <v>33</v>
      </c>
      <c r="O1277" s="6" t="s">
        <v>23</v>
      </c>
      <c r="P1277" s="6" t="s">
        <v>23</v>
      </c>
      <c r="Q1277" s="9" t="s">
        <v>23</v>
      </c>
      <c r="R1277" s="54" t="s">
        <v>23</v>
      </c>
      <c r="S1277" s="17" t="s">
        <v>23</v>
      </c>
    </row>
    <row r="1278" spans="1:19" ht="15.75" customHeight="1">
      <c r="A1278" s="10">
        <v>60</v>
      </c>
      <c r="B1278" s="10">
        <v>2023</v>
      </c>
      <c r="C1278" s="6" t="s">
        <v>102</v>
      </c>
      <c r="D1278" s="48">
        <v>45069</v>
      </c>
      <c r="E1278" s="6" t="s">
        <v>20</v>
      </c>
      <c r="F1278" s="6" t="s">
        <v>53</v>
      </c>
      <c r="G1278" s="10">
        <v>1</v>
      </c>
      <c r="H1278" s="10">
        <v>7</v>
      </c>
      <c r="I1278" s="10">
        <v>6</v>
      </c>
      <c r="J1278" s="4" t="s">
        <v>30</v>
      </c>
      <c r="K1278" s="4">
        <v>37316</v>
      </c>
      <c r="L1278" s="4" t="s">
        <v>31</v>
      </c>
      <c r="M1278" s="6" t="s">
        <v>3175</v>
      </c>
      <c r="N1278" s="25" t="s">
        <v>33</v>
      </c>
      <c r="O1278" s="6" t="s">
        <v>23</v>
      </c>
      <c r="P1278" s="6" t="s">
        <v>23</v>
      </c>
      <c r="Q1278" s="9" t="s">
        <v>23</v>
      </c>
      <c r="R1278" s="54" t="s">
        <v>23</v>
      </c>
      <c r="S1278" s="17" t="s">
        <v>23</v>
      </c>
    </row>
    <row r="1279" spans="1:19" ht="15.75" customHeight="1">
      <c r="A1279" s="10">
        <v>60</v>
      </c>
      <c r="B1279" s="10">
        <v>2023</v>
      </c>
      <c r="C1279" s="6" t="s">
        <v>102</v>
      </c>
      <c r="D1279" s="48">
        <v>45069</v>
      </c>
      <c r="E1279" s="6" t="s">
        <v>20</v>
      </c>
      <c r="F1279" s="6" t="s">
        <v>53</v>
      </c>
      <c r="G1279" s="10">
        <v>1</v>
      </c>
      <c r="H1279" s="10">
        <v>7</v>
      </c>
      <c r="I1279" s="10">
        <v>7</v>
      </c>
      <c r="J1279" s="4" t="s">
        <v>30</v>
      </c>
      <c r="K1279" s="4">
        <v>37329</v>
      </c>
      <c r="L1279" s="4" t="s">
        <v>31</v>
      </c>
      <c r="M1279" s="6" t="s">
        <v>3164</v>
      </c>
      <c r="N1279" s="25" t="s">
        <v>33</v>
      </c>
      <c r="O1279" s="6" t="s">
        <v>23</v>
      </c>
      <c r="P1279" s="6" t="s">
        <v>23</v>
      </c>
      <c r="Q1279" s="9" t="s">
        <v>23</v>
      </c>
      <c r="R1279" s="54" t="s">
        <v>23</v>
      </c>
      <c r="S1279" s="17" t="s">
        <v>23</v>
      </c>
    </row>
    <row r="1280" spans="1:19" ht="15.75" customHeight="1">
      <c r="A1280" s="10">
        <v>61</v>
      </c>
      <c r="B1280" s="10">
        <v>2023</v>
      </c>
      <c r="C1280" s="6" t="s">
        <v>102</v>
      </c>
      <c r="D1280" s="48">
        <v>45069</v>
      </c>
      <c r="E1280" s="6" t="s">
        <v>20</v>
      </c>
      <c r="F1280" s="6" t="s">
        <v>39</v>
      </c>
      <c r="G1280" s="10">
        <v>1</v>
      </c>
      <c r="H1280" s="10">
        <v>8</v>
      </c>
      <c r="I1280" s="10">
        <v>1</v>
      </c>
      <c r="J1280" s="4" t="s">
        <v>30</v>
      </c>
      <c r="K1280" s="4">
        <v>37317</v>
      </c>
      <c r="L1280" s="4" t="s">
        <v>31</v>
      </c>
      <c r="M1280" s="6" t="s">
        <v>3176</v>
      </c>
      <c r="N1280" s="25" t="s">
        <v>20</v>
      </c>
      <c r="O1280" s="6" t="s">
        <v>20</v>
      </c>
      <c r="P1280" s="6">
        <v>0</v>
      </c>
      <c r="Q1280" s="9" t="s">
        <v>23</v>
      </c>
      <c r="R1280" s="56" t="s">
        <v>3177</v>
      </c>
      <c r="S1280" s="34" t="s">
        <v>3178</v>
      </c>
    </row>
    <row r="1281" spans="1:19" ht="15.75" customHeight="1">
      <c r="A1281" s="10">
        <v>61</v>
      </c>
      <c r="B1281" s="10">
        <v>2023</v>
      </c>
      <c r="C1281" s="6" t="s">
        <v>102</v>
      </c>
      <c r="D1281" s="48">
        <v>45069</v>
      </c>
      <c r="E1281" s="6" t="s">
        <v>20</v>
      </c>
      <c r="F1281" s="6" t="s">
        <v>39</v>
      </c>
      <c r="G1281" s="10">
        <v>1</v>
      </c>
      <c r="H1281" s="10">
        <v>8</v>
      </c>
      <c r="I1281" s="10">
        <v>2</v>
      </c>
      <c r="J1281" s="4" t="s">
        <v>30</v>
      </c>
      <c r="K1281" s="4">
        <v>32139</v>
      </c>
      <c r="L1281" s="4" t="s">
        <v>61</v>
      </c>
      <c r="M1281" s="6" t="s">
        <v>3179</v>
      </c>
      <c r="N1281" s="25" t="s">
        <v>20</v>
      </c>
      <c r="O1281" s="6" t="s">
        <v>23</v>
      </c>
      <c r="P1281" s="6" t="s">
        <v>23</v>
      </c>
      <c r="Q1281" s="9" t="s">
        <v>23</v>
      </c>
      <c r="R1281" s="54" t="s">
        <v>23</v>
      </c>
      <c r="S1281" s="17" t="s">
        <v>23</v>
      </c>
    </row>
    <row r="1282" spans="1:19" ht="15.75" customHeight="1">
      <c r="A1282" s="10">
        <v>61</v>
      </c>
      <c r="B1282" s="10">
        <v>2023</v>
      </c>
      <c r="C1282" s="6" t="s">
        <v>102</v>
      </c>
      <c r="D1282" s="48">
        <v>45069</v>
      </c>
      <c r="E1282" s="6" t="s">
        <v>20</v>
      </c>
      <c r="F1282" s="6" t="s">
        <v>39</v>
      </c>
      <c r="G1282" s="10">
        <v>1</v>
      </c>
      <c r="H1282" s="10">
        <v>8</v>
      </c>
      <c r="I1282" s="10">
        <v>3</v>
      </c>
      <c r="J1282" s="4" t="s">
        <v>30</v>
      </c>
      <c r="K1282" s="4">
        <v>35472</v>
      </c>
      <c r="L1282" s="4" t="s">
        <v>61</v>
      </c>
      <c r="M1282" s="6" t="s">
        <v>3180</v>
      </c>
      <c r="N1282" s="25" t="s">
        <v>20</v>
      </c>
      <c r="O1282" s="6" t="s">
        <v>23</v>
      </c>
      <c r="P1282" s="6" t="s">
        <v>23</v>
      </c>
      <c r="Q1282" s="9" t="s">
        <v>23</v>
      </c>
      <c r="R1282" s="54" t="s">
        <v>23</v>
      </c>
      <c r="S1282" s="17" t="s">
        <v>23</v>
      </c>
    </row>
    <row r="1283" spans="1:19" ht="15.75" customHeight="1">
      <c r="A1283" s="10">
        <v>61</v>
      </c>
      <c r="B1283" s="10">
        <v>2023</v>
      </c>
      <c r="C1283" s="6" t="s">
        <v>102</v>
      </c>
      <c r="D1283" s="48">
        <v>45069</v>
      </c>
      <c r="E1283" s="6" t="s">
        <v>20</v>
      </c>
      <c r="F1283" s="6" t="s">
        <v>39</v>
      </c>
      <c r="G1283" s="10">
        <v>1</v>
      </c>
      <c r="H1283" s="10">
        <v>8</v>
      </c>
      <c r="I1283" s="10">
        <v>4</v>
      </c>
      <c r="J1283" s="4" t="s">
        <v>30</v>
      </c>
      <c r="K1283" s="4">
        <v>35477</v>
      </c>
      <c r="L1283" s="4" t="s">
        <v>61</v>
      </c>
      <c r="M1283" s="6" t="s">
        <v>3181</v>
      </c>
      <c r="N1283" s="25" t="s">
        <v>20</v>
      </c>
      <c r="O1283" s="6" t="s">
        <v>23</v>
      </c>
      <c r="P1283" s="6" t="s">
        <v>23</v>
      </c>
      <c r="Q1283" s="9" t="s">
        <v>23</v>
      </c>
      <c r="R1283" s="54" t="s">
        <v>23</v>
      </c>
      <c r="S1283" s="17" t="s">
        <v>23</v>
      </c>
    </row>
    <row r="1284" spans="1:19" ht="15.75" customHeight="1">
      <c r="A1284" s="10">
        <v>61</v>
      </c>
      <c r="B1284" s="10">
        <v>2023</v>
      </c>
      <c r="C1284" s="6" t="s">
        <v>102</v>
      </c>
      <c r="D1284" s="48">
        <v>45069</v>
      </c>
      <c r="E1284" s="6" t="s">
        <v>20</v>
      </c>
      <c r="F1284" s="6" t="s">
        <v>39</v>
      </c>
      <c r="G1284" s="10">
        <v>1</v>
      </c>
      <c r="H1284" s="10">
        <v>8</v>
      </c>
      <c r="I1284" s="10">
        <v>5</v>
      </c>
      <c r="J1284" s="4" t="s">
        <v>30</v>
      </c>
      <c r="K1284" s="4">
        <v>35478</v>
      </c>
      <c r="L1284" s="4" t="s">
        <v>61</v>
      </c>
      <c r="M1284" s="6" t="s">
        <v>3181</v>
      </c>
      <c r="N1284" s="25" t="s">
        <v>20</v>
      </c>
      <c r="O1284" s="6" t="s">
        <v>23</v>
      </c>
      <c r="P1284" s="6" t="s">
        <v>23</v>
      </c>
      <c r="Q1284" s="9" t="s">
        <v>23</v>
      </c>
      <c r="R1284" s="54" t="s">
        <v>23</v>
      </c>
      <c r="S1284" s="17" t="s">
        <v>23</v>
      </c>
    </row>
    <row r="1285" spans="1:19" ht="15.75" customHeight="1">
      <c r="A1285" s="10">
        <v>61</v>
      </c>
      <c r="B1285" s="10">
        <v>2023</v>
      </c>
      <c r="C1285" s="6" t="s">
        <v>102</v>
      </c>
      <c r="D1285" s="48">
        <v>45069</v>
      </c>
      <c r="E1285" s="6" t="s">
        <v>20</v>
      </c>
      <c r="F1285" s="6" t="s">
        <v>39</v>
      </c>
      <c r="G1285" s="10">
        <v>1</v>
      </c>
      <c r="H1285" s="10">
        <v>8</v>
      </c>
      <c r="I1285" s="10">
        <v>6</v>
      </c>
      <c r="J1285" s="4" t="s">
        <v>30</v>
      </c>
      <c r="K1285" s="4">
        <v>35513</v>
      </c>
      <c r="L1285" s="4" t="s">
        <v>61</v>
      </c>
      <c r="M1285" s="6" t="s">
        <v>3181</v>
      </c>
      <c r="N1285" s="25" t="s">
        <v>20</v>
      </c>
      <c r="O1285" s="6" t="s">
        <v>23</v>
      </c>
      <c r="P1285" s="6" t="s">
        <v>23</v>
      </c>
      <c r="Q1285" s="9" t="s">
        <v>23</v>
      </c>
      <c r="R1285" s="54" t="s">
        <v>23</v>
      </c>
      <c r="S1285" s="17" t="s">
        <v>23</v>
      </c>
    </row>
    <row r="1286" spans="1:19" ht="15.75" customHeight="1">
      <c r="A1286" s="10">
        <v>61</v>
      </c>
      <c r="B1286" s="10">
        <v>2023</v>
      </c>
      <c r="C1286" s="6" t="s">
        <v>102</v>
      </c>
      <c r="D1286" s="48">
        <v>45069</v>
      </c>
      <c r="E1286" s="6" t="s">
        <v>20</v>
      </c>
      <c r="F1286" s="6" t="s">
        <v>39</v>
      </c>
      <c r="G1286" s="10">
        <v>1</v>
      </c>
      <c r="H1286" s="10">
        <v>8</v>
      </c>
      <c r="I1286" s="10">
        <v>7</v>
      </c>
      <c r="J1286" s="4" t="s">
        <v>30</v>
      </c>
      <c r="K1286" s="4">
        <v>35601</v>
      </c>
      <c r="L1286" s="4" t="s">
        <v>61</v>
      </c>
      <c r="M1286" s="6" t="s">
        <v>3181</v>
      </c>
      <c r="N1286" s="25" t="s">
        <v>20</v>
      </c>
      <c r="O1286" s="6" t="s">
        <v>23</v>
      </c>
      <c r="P1286" s="6" t="s">
        <v>23</v>
      </c>
      <c r="Q1286" s="9" t="s">
        <v>23</v>
      </c>
      <c r="R1286" s="54" t="s">
        <v>23</v>
      </c>
      <c r="S1286" s="17" t="s">
        <v>23</v>
      </c>
    </row>
    <row r="1287" spans="1:19" ht="15.75" customHeight="1">
      <c r="A1287" s="10">
        <v>61</v>
      </c>
      <c r="B1287" s="10">
        <v>2023</v>
      </c>
      <c r="C1287" s="6" t="s">
        <v>102</v>
      </c>
      <c r="D1287" s="48">
        <v>45069</v>
      </c>
      <c r="E1287" s="6" t="s">
        <v>20</v>
      </c>
      <c r="F1287" s="6" t="s">
        <v>39</v>
      </c>
      <c r="G1287" s="10">
        <v>1</v>
      </c>
      <c r="H1287" s="10">
        <v>8</v>
      </c>
      <c r="I1287" s="10">
        <v>8</v>
      </c>
      <c r="J1287" s="4" t="s">
        <v>30</v>
      </c>
      <c r="K1287" s="4">
        <v>37054</v>
      </c>
      <c r="L1287" s="4" t="s">
        <v>61</v>
      </c>
      <c r="M1287" s="6" t="s">
        <v>3181</v>
      </c>
      <c r="N1287" s="25" t="s">
        <v>20</v>
      </c>
      <c r="O1287" s="6" t="s">
        <v>23</v>
      </c>
      <c r="P1287" s="6" t="s">
        <v>23</v>
      </c>
      <c r="Q1287" s="9" t="s">
        <v>23</v>
      </c>
      <c r="R1287" s="54" t="s">
        <v>23</v>
      </c>
      <c r="S1287" s="17" t="s">
        <v>23</v>
      </c>
    </row>
    <row r="1288" spans="1:19" ht="15.75" customHeight="1">
      <c r="A1288" s="10">
        <v>62</v>
      </c>
      <c r="B1288" s="10">
        <v>2023</v>
      </c>
      <c r="C1288" s="6" t="s">
        <v>102</v>
      </c>
      <c r="D1288" s="48">
        <v>45069</v>
      </c>
      <c r="E1288" s="6" t="s">
        <v>20</v>
      </c>
      <c r="F1288" s="6" t="s">
        <v>55</v>
      </c>
      <c r="G1288" s="10">
        <v>1</v>
      </c>
      <c r="H1288" s="10">
        <v>1</v>
      </c>
      <c r="I1288" s="10">
        <v>1</v>
      </c>
      <c r="J1288" s="4" t="s">
        <v>30</v>
      </c>
      <c r="K1288" s="4">
        <v>37352</v>
      </c>
      <c r="L1288" s="4" t="s">
        <v>31</v>
      </c>
      <c r="M1288" s="6" t="s">
        <v>3182</v>
      </c>
      <c r="N1288" s="25" t="s">
        <v>33</v>
      </c>
      <c r="O1288" s="6" t="s">
        <v>20</v>
      </c>
      <c r="P1288" s="6">
        <v>0</v>
      </c>
      <c r="Q1288" s="9" t="s">
        <v>23</v>
      </c>
      <c r="R1288" s="56" t="s">
        <v>3183</v>
      </c>
      <c r="S1288" s="17" t="s">
        <v>23</v>
      </c>
    </row>
    <row r="1289" spans="1:19" ht="15.75" customHeight="1">
      <c r="A1289" s="10">
        <v>63</v>
      </c>
      <c r="B1289" s="10">
        <v>2023</v>
      </c>
      <c r="C1289" s="6" t="s">
        <v>102</v>
      </c>
      <c r="D1289" s="48">
        <v>45076</v>
      </c>
      <c r="E1289" s="6" t="s">
        <v>33</v>
      </c>
      <c r="F1289" s="6" t="s">
        <v>2074</v>
      </c>
      <c r="G1289" s="10">
        <v>2</v>
      </c>
      <c r="H1289" s="10">
        <v>1</v>
      </c>
      <c r="I1289" s="10">
        <v>1</v>
      </c>
      <c r="J1289" s="4" t="s">
        <v>30</v>
      </c>
      <c r="K1289" s="4">
        <v>37315</v>
      </c>
      <c r="L1289" s="4" t="s">
        <v>31</v>
      </c>
      <c r="M1289" s="6" t="s">
        <v>3167</v>
      </c>
      <c r="N1289" s="25" t="s">
        <v>33</v>
      </c>
      <c r="O1289" s="6" t="s">
        <v>33</v>
      </c>
      <c r="P1289" s="6">
        <v>1</v>
      </c>
      <c r="Q1289" s="32" t="s">
        <v>3184</v>
      </c>
      <c r="R1289" s="56" t="s">
        <v>3185</v>
      </c>
      <c r="S1289" s="34" t="s">
        <v>3186</v>
      </c>
    </row>
    <row r="1290" spans="1:19" ht="15.75" customHeight="1">
      <c r="A1290" s="10">
        <v>64</v>
      </c>
      <c r="B1290" s="10">
        <v>2023</v>
      </c>
      <c r="C1290" s="6" t="s">
        <v>102</v>
      </c>
      <c r="D1290" s="48">
        <v>45076</v>
      </c>
      <c r="E1290" s="6" t="s">
        <v>20</v>
      </c>
      <c r="F1290" s="6" t="s">
        <v>370</v>
      </c>
      <c r="G1290" s="10">
        <v>1</v>
      </c>
      <c r="H1290" s="10">
        <v>2</v>
      </c>
      <c r="I1290" s="10">
        <v>1</v>
      </c>
      <c r="J1290" s="4" t="s">
        <v>30</v>
      </c>
      <c r="K1290" s="4">
        <v>37383</v>
      </c>
      <c r="L1290" s="4" t="s">
        <v>31</v>
      </c>
      <c r="M1290" s="6" t="s">
        <v>3187</v>
      </c>
      <c r="N1290" s="25" t="s">
        <v>20</v>
      </c>
      <c r="O1290" s="6" t="s">
        <v>20</v>
      </c>
      <c r="P1290" s="6">
        <v>0</v>
      </c>
      <c r="Q1290" s="32" t="s">
        <v>3188</v>
      </c>
      <c r="R1290" s="56" t="s">
        <v>3189</v>
      </c>
      <c r="S1290" s="34" t="s">
        <v>3190</v>
      </c>
    </row>
    <row r="1291" spans="1:19" ht="15.75" customHeight="1">
      <c r="A1291" s="10">
        <v>64</v>
      </c>
      <c r="B1291" s="10">
        <v>2023</v>
      </c>
      <c r="C1291" s="6" t="s">
        <v>102</v>
      </c>
      <c r="D1291" s="48">
        <v>45076</v>
      </c>
      <c r="E1291" s="6" t="s">
        <v>20</v>
      </c>
      <c r="F1291" s="6" t="s">
        <v>370</v>
      </c>
      <c r="G1291" s="10">
        <v>1</v>
      </c>
      <c r="H1291" s="10">
        <v>2</v>
      </c>
      <c r="I1291" s="10">
        <v>2</v>
      </c>
      <c r="J1291" s="4" t="s">
        <v>23</v>
      </c>
      <c r="K1291" s="4" t="s">
        <v>23</v>
      </c>
      <c r="L1291" s="4" t="s">
        <v>23</v>
      </c>
      <c r="M1291" s="6" t="s">
        <v>3191</v>
      </c>
      <c r="N1291" s="25" t="s">
        <v>23</v>
      </c>
      <c r="O1291" s="6" t="s">
        <v>23</v>
      </c>
      <c r="P1291" s="6" t="s">
        <v>23</v>
      </c>
      <c r="Q1291" s="9" t="s">
        <v>23</v>
      </c>
      <c r="R1291" s="54" t="s">
        <v>23</v>
      </c>
      <c r="S1291" s="17" t="s">
        <v>23</v>
      </c>
    </row>
    <row r="1292" spans="1:19" ht="15.75" customHeight="1">
      <c r="A1292" s="10">
        <v>65</v>
      </c>
      <c r="B1292" s="10">
        <v>2023</v>
      </c>
      <c r="C1292" s="6" t="s">
        <v>1824</v>
      </c>
      <c r="D1292" s="48">
        <v>45078</v>
      </c>
      <c r="E1292" s="6" t="s">
        <v>33</v>
      </c>
      <c r="F1292" s="6" t="s">
        <v>3192</v>
      </c>
      <c r="G1292" s="10">
        <v>2</v>
      </c>
      <c r="H1292" s="10">
        <v>9</v>
      </c>
      <c r="I1292" s="10">
        <v>1</v>
      </c>
      <c r="J1292" s="4" t="s">
        <v>30</v>
      </c>
      <c r="K1292" s="4">
        <v>37317</v>
      </c>
      <c r="L1292" s="4" t="s">
        <v>31</v>
      </c>
      <c r="M1292" s="6" t="s">
        <v>3176</v>
      </c>
      <c r="N1292" s="25" t="s">
        <v>20</v>
      </c>
      <c r="O1292" s="6" t="s">
        <v>33</v>
      </c>
      <c r="P1292" s="6">
        <v>11</v>
      </c>
      <c r="Q1292" s="32" t="s">
        <v>3193</v>
      </c>
      <c r="R1292" s="56" t="s">
        <v>3194</v>
      </c>
      <c r="S1292" s="34" t="s">
        <v>3195</v>
      </c>
    </row>
    <row r="1293" spans="1:19" ht="15.75" customHeight="1">
      <c r="A1293" s="10">
        <v>65</v>
      </c>
      <c r="B1293" s="10">
        <v>2023</v>
      </c>
      <c r="C1293" s="6" t="s">
        <v>1824</v>
      </c>
      <c r="D1293" s="48">
        <v>45078</v>
      </c>
      <c r="E1293" s="6" t="s">
        <v>33</v>
      </c>
      <c r="F1293" s="6" t="s">
        <v>3192</v>
      </c>
      <c r="G1293" s="10">
        <v>2</v>
      </c>
      <c r="H1293" s="10">
        <v>9</v>
      </c>
      <c r="I1293" s="10">
        <v>2</v>
      </c>
      <c r="J1293" s="4" t="s">
        <v>30</v>
      </c>
      <c r="K1293" s="4">
        <v>32139</v>
      </c>
      <c r="L1293" s="4" t="s">
        <v>61</v>
      </c>
      <c r="M1293" s="6" t="s">
        <v>3179</v>
      </c>
      <c r="N1293" s="25" t="s">
        <v>20</v>
      </c>
      <c r="O1293" s="6" t="s">
        <v>23</v>
      </c>
      <c r="P1293" s="6" t="s">
        <v>23</v>
      </c>
      <c r="Q1293" s="9" t="s">
        <v>23</v>
      </c>
      <c r="R1293" s="54" t="s">
        <v>23</v>
      </c>
      <c r="S1293" s="17" t="s">
        <v>23</v>
      </c>
    </row>
    <row r="1294" spans="1:19" ht="15.75" customHeight="1">
      <c r="A1294" s="10">
        <v>65</v>
      </c>
      <c r="B1294" s="10">
        <v>2023</v>
      </c>
      <c r="C1294" s="6" t="s">
        <v>1824</v>
      </c>
      <c r="D1294" s="48">
        <v>45078</v>
      </c>
      <c r="E1294" s="6" t="s">
        <v>33</v>
      </c>
      <c r="F1294" s="6" t="s">
        <v>3192</v>
      </c>
      <c r="G1294" s="10">
        <v>2</v>
      </c>
      <c r="H1294" s="10">
        <v>9</v>
      </c>
      <c r="I1294" s="10">
        <v>3</v>
      </c>
      <c r="J1294" s="4" t="s">
        <v>30</v>
      </c>
      <c r="K1294" s="4">
        <v>33627</v>
      </c>
      <c r="L1294" s="4" t="s">
        <v>61</v>
      </c>
      <c r="M1294" s="6" t="s">
        <v>3196</v>
      </c>
      <c r="N1294" s="25" t="s">
        <v>20</v>
      </c>
      <c r="O1294" s="6" t="s">
        <v>23</v>
      </c>
      <c r="P1294" s="6" t="s">
        <v>23</v>
      </c>
      <c r="Q1294" s="9" t="s">
        <v>23</v>
      </c>
      <c r="R1294" s="54" t="s">
        <v>23</v>
      </c>
      <c r="S1294" s="17" t="s">
        <v>23</v>
      </c>
    </row>
    <row r="1295" spans="1:19" ht="15.75" customHeight="1">
      <c r="A1295" s="10">
        <v>65</v>
      </c>
      <c r="B1295" s="10">
        <v>2023</v>
      </c>
      <c r="C1295" s="6" t="s">
        <v>1824</v>
      </c>
      <c r="D1295" s="48">
        <v>45078</v>
      </c>
      <c r="E1295" s="6" t="s">
        <v>33</v>
      </c>
      <c r="F1295" s="6" t="s">
        <v>3192</v>
      </c>
      <c r="G1295" s="10">
        <v>2</v>
      </c>
      <c r="H1295" s="10">
        <v>9</v>
      </c>
      <c r="I1295" s="10">
        <v>4</v>
      </c>
      <c r="J1295" s="4" t="s">
        <v>30</v>
      </c>
      <c r="K1295" s="4">
        <v>35472</v>
      </c>
      <c r="L1295" s="4" t="s">
        <v>61</v>
      </c>
      <c r="M1295" s="6" t="s">
        <v>3180</v>
      </c>
      <c r="N1295" s="25" t="s">
        <v>20</v>
      </c>
      <c r="O1295" s="6" t="s">
        <v>23</v>
      </c>
      <c r="P1295" s="6" t="s">
        <v>23</v>
      </c>
      <c r="Q1295" s="9" t="s">
        <v>23</v>
      </c>
      <c r="R1295" s="54" t="s">
        <v>23</v>
      </c>
      <c r="S1295" s="17" t="s">
        <v>23</v>
      </c>
    </row>
    <row r="1296" spans="1:19" ht="15.75" customHeight="1">
      <c r="A1296" s="10">
        <v>65</v>
      </c>
      <c r="B1296" s="10">
        <v>2023</v>
      </c>
      <c r="C1296" s="6" t="s">
        <v>1824</v>
      </c>
      <c r="D1296" s="48">
        <v>45078</v>
      </c>
      <c r="E1296" s="6" t="s">
        <v>33</v>
      </c>
      <c r="F1296" s="6" t="s">
        <v>3192</v>
      </c>
      <c r="G1296" s="10">
        <v>2</v>
      </c>
      <c r="H1296" s="10">
        <v>9</v>
      </c>
      <c r="I1296" s="10">
        <v>5</v>
      </c>
      <c r="J1296" s="4" t="s">
        <v>30</v>
      </c>
      <c r="K1296" s="4">
        <v>35477</v>
      </c>
      <c r="L1296" s="4" t="s">
        <v>61</v>
      </c>
      <c r="M1296" s="6" t="s">
        <v>3181</v>
      </c>
      <c r="N1296" s="25" t="s">
        <v>20</v>
      </c>
      <c r="O1296" s="6" t="s">
        <v>23</v>
      </c>
      <c r="P1296" s="6" t="s">
        <v>23</v>
      </c>
      <c r="Q1296" s="9" t="s">
        <v>23</v>
      </c>
      <c r="R1296" s="54" t="s">
        <v>23</v>
      </c>
      <c r="S1296" s="17" t="s">
        <v>23</v>
      </c>
    </row>
    <row r="1297" spans="1:19" ht="15.75" customHeight="1">
      <c r="A1297" s="10">
        <v>65</v>
      </c>
      <c r="B1297" s="10">
        <v>2023</v>
      </c>
      <c r="C1297" s="6" t="s">
        <v>1824</v>
      </c>
      <c r="D1297" s="48">
        <v>45078</v>
      </c>
      <c r="E1297" s="6" t="s">
        <v>33</v>
      </c>
      <c r="F1297" s="6" t="s">
        <v>3192</v>
      </c>
      <c r="G1297" s="10">
        <v>2</v>
      </c>
      <c r="H1297" s="10">
        <v>9</v>
      </c>
      <c r="I1297" s="10">
        <v>6</v>
      </c>
      <c r="J1297" s="4" t="s">
        <v>30</v>
      </c>
      <c r="K1297" s="4">
        <v>35478</v>
      </c>
      <c r="L1297" s="4" t="s">
        <v>61</v>
      </c>
      <c r="M1297" s="6" t="s">
        <v>3181</v>
      </c>
      <c r="N1297" s="25" t="s">
        <v>20</v>
      </c>
      <c r="O1297" s="6" t="s">
        <v>23</v>
      </c>
      <c r="P1297" s="6" t="s">
        <v>23</v>
      </c>
      <c r="Q1297" s="9" t="s">
        <v>23</v>
      </c>
      <c r="R1297" s="54" t="s">
        <v>23</v>
      </c>
      <c r="S1297" s="17" t="s">
        <v>23</v>
      </c>
    </row>
    <row r="1298" spans="1:19" ht="15.75" customHeight="1">
      <c r="A1298" s="10">
        <v>65</v>
      </c>
      <c r="B1298" s="10">
        <v>2023</v>
      </c>
      <c r="C1298" s="6" t="s">
        <v>1824</v>
      </c>
      <c r="D1298" s="48">
        <v>45078</v>
      </c>
      <c r="E1298" s="6" t="s">
        <v>33</v>
      </c>
      <c r="F1298" s="6" t="s">
        <v>3192</v>
      </c>
      <c r="G1298" s="10">
        <v>2</v>
      </c>
      <c r="H1298" s="10">
        <v>9</v>
      </c>
      <c r="I1298" s="10">
        <v>7</v>
      </c>
      <c r="J1298" s="4" t="s">
        <v>30</v>
      </c>
      <c r="K1298" s="4">
        <v>35513</v>
      </c>
      <c r="L1298" s="4" t="s">
        <v>61</v>
      </c>
      <c r="M1298" s="6" t="s">
        <v>3181</v>
      </c>
      <c r="N1298" s="25" t="s">
        <v>20</v>
      </c>
      <c r="O1298" s="6" t="s">
        <v>23</v>
      </c>
      <c r="P1298" s="6" t="s">
        <v>23</v>
      </c>
      <c r="Q1298" s="9" t="s">
        <v>23</v>
      </c>
      <c r="R1298" s="54" t="s">
        <v>23</v>
      </c>
      <c r="S1298" s="17" t="s">
        <v>23</v>
      </c>
    </row>
    <row r="1299" spans="1:19" ht="15.75" customHeight="1">
      <c r="A1299" s="10">
        <v>65</v>
      </c>
      <c r="B1299" s="10">
        <v>2023</v>
      </c>
      <c r="C1299" s="6" t="s">
        <v>1824</v>
      </c>
      <c r="D1299" s="48">
        <v>45078</v>
      </c>
      <c r="E1299" s="6" t="s">
        <v>33</v>
      </c>
      <c r="F1299" s="6" t="s">
        <v>3192</v>
      </c>
      <c r="G1299" s="10">
        <v>2</v>
      </c>
      <c r="H1299" s="10">
        <v>9</v>
      </c>
      <c r="I1299" s="10">
        <v>8</v>
      </c>
      <c r="J1299" s="4" t="s">
        <v>30</v>
      </c>
      <c r="K1299" s="4">
        <v>35601</v>
      </c>
      <c r="L1299" s="4" t="s">
        <v>61</v>
      </c>
      <c r="M1299" s="6" t="s">
        <v>3181</v>
      </c>
      <c r="N1299" s="25" t="s">
        <v>20</v>
      </c>
      <c r="O1299" s="6" t="s">
        <v>23</v>
      </c>
      <c r="P1299" s="6" t="s">
        <v>23</v>
      </c>
      <c r="Q1299" s="9" t="s">
        <v>23</v>
      </c>
      <c r="R1299" s="54" t="s">
        <v>23</v>
      </c>
      <c r="S1299" s="17" t="s">
        <v>23</v>
      </c>
    </row>
    <row r="1300" spans="1:19" ht="15.75" customHeight="1">
      <c r="A1300" s="10">
        <v>65</v>
      </c>
      <c r="B1300" s="10">
        <v>2023</v>
      </c>
      <c r="C1300" s="6" t="s">
        <v>1824</v>
      </c>
      <c r="D1300" s="48">
        <v>45078</v>
      </c>
      <c r="E1300" s="6" t="s">
        <v>33</v>
      </c>
      <c r="F1300" s="6" t="s">
        <v>3192</v>
      </c>
      <c r="G1300" s="10">
        <v>2</v>
      </c>
      <c r="H1300" s="10">
        <v>9</v>
      </c>
      <c r="I1300" s="10">
        <v>9</v>
      </c>
      <c r="J1300" s="4" t="s">
        <v>30</v>
      </c>
      <c r="K1300" s="4">
        <v>37054</v>
      </c>
      <c r="L1300" s="4" t="s">
        <v>61</v>
      </c>
      <c r="M1300" s="6" t="s">
        <v>3181</v>
      </c>
      <c r="N1300" s="25" t="s">
        <v>20</v>
      </c>
      <c r="O1300" s="6" t="s">
        <v>23</v>
      </c>
      <c r="P1300" s="6" t="s">
        <v>23</v>
      </c>
      <c r="Q1300" s="9" t="s">
        <v>23</v>
      </c>
      <c r="R1300" s="54" t="s">
        <v>23</v>
      </c>
      <c r="S1300" s="17" t="s">
        <v>23</v>
      </c>
    </row>
    <row r="1301" spans="1:19" ht="15.75" customHeight="1">
      <c r="A1301" s="10">
        <v>66</v>
      </c>
      <c r="B1301" s="10">
        <v>2023</v>
      </c>
      <c r="C1301" s="6" t="s">
        <v>102</v>
      </c>
      <c r="D1301" s="48">
        <v>45083</v>
      </c>
      <c r="E1301" s="6" t="s">
        <v>33</v>
      </c>
      <c r="F1301" s="6" t="s">
        <v>3192</v>
      </c>
      <c r="G1301" s="10">
        <v>2</v>
      </c>
      <c r="H1301" s="10">
        <v>9</v>
      </c>
      <c r="I1301" s="10">
        <v>1</v>
      </c>
      <c r="J1301" s="4" t="s">
        <v>30</v>
      </c>
      <c r="K1301" s="4">
        <v>37317</v>
      </c>
      <c r="L1301" s="4" t="s">
        <v>31</v>
      </c>
      <c r="M1301" s="6" t="s">
        <v>3176</v>
      </c>
      <c r="N1301" s="25" t="s">
        <v>20</v>
      </c>
      <c r="O1301" s="6" t="s">
        <v>20</v>
      </c>
      <c r="P1301" s="6">
        <v>0</v>
      </c>
      <c r="Q1301" s="32" t="s">
        <v>3197</v>
      </c>
      <c r="R1301" s="56" t="s">
        <v>3198</v>
      </c>
      <c r="S1301" s="34" t="s">
        <v>3199</v>
      </c>
    </row>
    <row r="1302" spans="1:19" ht="15.75" customHeight="1">
      <c r="A1302" s="10">
        <v>66</v>
      </c>
      <c r="B1302" s="10">
        <v>2023</v>
      </c>
      <c r="C1302" s="6" t="s">
        <v>102</v>
      </c>
      <c r="D1302" s="48">
        <v>45083</v>
      </c>
      <c r="E1302" s="6" t="s">
        <v>33</v>
      </c>
      <c r="F1302" s="6" t="s">
        <v>3192</v>
      </c>
      <c r="G1302" s="10">
        <v>2</v>
      </c>
      <c r="H1302" s="10">
        <v>9</v>
      </c>
      <c r="I1302" s="10">
        <v>2</v>
      </c>
      <c r="J1302" s="4" t="s">
        <v>30</v>
      </c>
      <c r="K1302" s="4">
        <v>32139</v>
      </c>
      <c r="L1302" s="4" t="s">
        <v>61</v>
      </c>
      <c r="M1302" s="6" t="s">
        <v>3200</v>
      </c>
      <c r="N1302" s="25" t="s">
        <v>20</v>
      </c>
      <c r="O1302" s="6" t="s">
        <v>23</v>
      </c>
      <c r="P1302" s="6" t="s">
        <v>23</v>
      </c>
      <c r="Q1302" s="9" t="s">
        <v>23</v>
      </c>
      <c r="R1302" s="54" t="s">
        <v>23</v>
      </c>
      <c r="S1302" s="17" t="s">
        <v>23</v>
      </c>
    </row>
    <row r="1303" spans="1:19" ht="15.75" customHeight="1">
      <c r="A1303" s="10">
        <v>66</v>
      </c>
      <c r="B1303" s="10">
        <v>2023</v>
      </c>
      <c r="C1303" s="6" t="s">
        <v>102</v>
      </c>
      <c r="D1303" s="48">
        <v>45083</v>
      </c>
      <c r="E1303" s="6" t="s">
        <v>33</v>
      </c>
      <c r="F1303" s="6" t="s">
        <v>3192</v>
      </c>
      <c r="G1303" s="10">
        <v>2</v>
      </c>
      <c r="H1303" s="10">
        <v>9</v>
      </c>
      <c r="I1303" s="10">
        <v>3</v>
      </c>
      <c r="J1303" s="4" t="s">
        <v>30</v>
      </c>
      <c r="K1303" s="4">
        <v>33627</v>
      </c>
      <c r="L1303" s="4" t="s">
        <v>61</v>
      </c>
      <c r="M1303" s="6" t="s">
        <v>3200</v>
      </c>
      <c r="N1303" s="25" t="s">
        <v>20</v>
      </c>
      <c r="O1303" s="6" t="s">
        <v>23</v>
      </c>
      <c r="P1303" s="6" t="s">
        <v>23</v>
      </c>
      <c r="Q1303" s="9" t="s">
        <v>23</v>
      </c>
      <c r="R1303" s="54" t="s">
        <v>23</v>
      </c>
      <c r="S1303" s="17" t="s">
        <v>23</v>
      </c>
    </row>
    <row r="1304" spans="1:19" ht="15.75" customHeight="1">
      <c r="A1304" s="10">
        <v>66</v>
      </c>
      <c r="B1304" s="10">
        <v>2023</v>
      </c>
      <c r="C1304" s="6" t="s">
        <v>102</v>
      </c>
      <c r="D1304" s="48">
        <v>45083</v>
      </c>
      <c r="E1304" s="6" t="s">
        <v>33</v>
      </c>
      <c r="F1304" s="6" t="s">
        <v>3192</v>
      </c>
      <c r="G1304" s="10">
        <v>2</v>
      </c>
      <c r="H1304" s="10">
        <v>9</v>
      </c>
      <c r="I1304" s="10">
        <v>4</v>
      </c>
      <c r="J1304" s="4" t="s">
        <v>30</v>
      </c>
      <c r="K1304" s="4">
        <v>35472</v>
      </c>
      <c r="L1304" s="4" t="s">
        <v>61</v>
      </c>
      <c r="M1304" s="6" t="s">
        <v>3180</v>
      </c>
      <c r="N1304" s="25" t="s">
        <v>20</v>
      </c>
      <c r="O1304" s="6" t="s">
        <v>23</v>
      </c>
      <c r="P1304" s="6" t="s">
        <v>23</v>
      </c>
      <c r="Q1304" s="9" t="s">
        <v>23</v>
      </c>
      <c r="R1304" s="54" t="s">
        <v>23</v>
      </c>
      <c r="S1304" s="17" t="s">
        <v>23</v>
      </c>
    </row>
    <row r="1305" spans="1:19" ht="15.75" customHeight="1">
      <c r="A1305" s="10">
        <v>66</v>
      </c>
      <c r="B1305" s="10">
        <v>2023</v>
      </c>
      <c r="C1305" s="6" t="s">
        <v>102</v>
      </c>
      <c r="D1305" s="48">
        <v>45083</v>
      </c>
      <c r="E1305" s="6" t="s">
        <v>33</v>
      </c>
      <c r="F1305" s="6" t="s">
        <v>3192</v>
      </c>
      <c r="G1305" s="10">
        <v>2</v>
      </c>
      <c r="H1305" s="10">
        <v>9</v>
      </c>
      <c r="I1305" s="10">
        <v>5</v>
      </c>
      <c r="J1305" s="4" t="s">
        <v>30</v>
      </c>
      <c r="K1305" s="4">
        <v>35477</v>
      </c>
      <c r="L1305" s="4" t="s">
        <v>61</v>
      </c>
      <c r="M1305" s="6" t="s">
        <v>3181</v>
      </c>
      <c r="N1305" s="25" t="s">
        <v>20</v>
      </c>
      <c r="O1305" s="6" t="s">
        <v>23</v>
      </c>
      <c r="P1305" s="6" t="s">
        <v>23</v>
      </c>
      <c r="Q1305" s="9" t="s">
        <v>23</v>
      </c>
      <c r="R1305" s="54" t="s">
        <v>23</v>
      </c>
      <c r="S1305" s="17" t="s">
        <v>23</v>
      </c>
    </row>
    <row r="1306" spans="1:19" ht="15.75" customHeight="1">
      <c r="A1306" s="10">
        <v>66</v>
      </c>
      <c r="B1306" s="10">
        <v>2023</v>
      </c>
      <c r="C1306" s="6" t="s">
        <v>102</v>
      </c>
      <c r="D1306" s="48">
        <v>45083</v>
      </c>
      <c r="E1306" s="6" t="s">
        <v>33</v>
      </c>
      <c r="F1306" s="6" t="s">
        <v>3192</v>
      </c>
      <c r="G1306" s="10">
        <v>2</v>
      </c>
      <c r="H1306" s="10">
        <v>9</v>
      </c>
      <c r="I1306" s="10">
        <v>6</v>
      </c>
      <c r="J1306" s="4" t="s">
        <v>30</v>
      </c>
      <c r="K1306" s="4">
        <v>35478</v>
      </c>
      <c r="L1306" s="4" t="s">
        <v>61</v>
      </c>
      <c r="M1306" s="6" t="s">
        <v>3181</v>
      </c>
      <c r="N1306" s="25" t="s">
        <v>20</v>
      </c>
      <c r="O1306" s="6" t="s">
        <v>23</v>
      </c>
      <c r="P1306" s="6" t="s">
        <v>23</v>
      </c>
      <c r="Q1306" s="9" t="s">
        <v>23</v>
      </c>
      <c r="R1306" s="54" t="s">
        <v>23</v>
      </c>
      <c r="S1306" s="17" t="s">
        <v>23</v>
      </c>
    </row>
    <row r="1307" spans="1:19" ht="15.75" customHeight="1">
      <c r="A1307" s="10">
        <v>66</v>
      </c>
      <c r="B1307" s="10">
        <v>2023</v>
      </c>
      <c r="C1307" s="6" t="s">
        <v>102</v>
      </c>
      <c r="D1307" s="48">
        <v>45083</v>
      </c>
      <c r="E1307" s="6" t="s">
        <v>33</v>
      </c>
      <c r="F1307" s="6" t="s">
        <v>3192</v>
      </c>
      <c r="G1307" s="10">
        <v>2</v>
      </c>
      <c r="H1307" s="10">
        <v>9</v>
      </c>
      <c r="I1307" s="10">
        <v>7</v>
      </c>
      <c r="J1307" s="4" t="s">
        <v>30</v>
      </c>
      <c r="K1307" s="4">
        <v>35513</v>
      </c>
      <c r="L1307" s="4" t="s">
        <v>61</v>
      </c>
      <c r="M1307" s="6" t="s">
        <v>3181</v>
      </c>
      <c r="N1307" s="25" t="s">
        <v>20</v>
      </c>
      <c r="O1307" s="6" t="s">
        <v>23</v>
      </c>
      <c r="P1307" s="6" t="s">
        <v>23</v>
      </c>
      <c r="Q1307" s="9" t="s">
        <v>23</v>
      </c>
      <c r="R1307" s="54" t="s">
        <v>23</v>
      </c>
      <c r="S1307" s="17" t="s">
        <v>23</v>
      </c>
    </row>
    <row r="1308" spans="1:19" ht="15.75" customHeight="1">
      <c r="A1308" s="10">
        <v>66</v>
      </c>
      <c r="B1308" s="10">
        <v>2023</v>
      </c>
      <c r="C1308" s="6" t="s">
        <v>102</v>
      </c>
      <c r="D1308" s="48">
        <v>45083</v>
      </c>
      <c r="E1308" s="6" t="s">
        <v>33</v>
      </c>
      <c r="F1308" s="6" t="s">
        <v>3192</v>
      </c>
      <c r="G1308" s="10">
        <v>2</v>
      </c>
      <c r="H1308" s="10">
        <v>9</v>
      </c>
      <c r="I1308" s="10">
        <v>8</v>
      </c>
      <c r="J1308" s="4" t="s">
        <v>30</v>
      </c>
      <c r="K1308" s="4">
        <v>35601</v>
      </c>
      <c r="L1308" s="4" t="s">
        <v>61</v>
      </c>
      <c r="M1308" s="6" t="s">
        <v>3181</v>
      </c>
      <c r="N1308" s="25" t="s">
        <v>20</v>
      </c>
      <c r="O1308" s="6" t="s">
        <v>23</v>
      </c>
      <c r="P1308" s="6" t="s">
        <v>23</v>
      </c>
      <c r="Q1308" s="9" t="s">
        <v>23</v>
      </c>
      <c r="R1308" s="54" t="s">
        <v>23</v>
      </c>
      <c r="S1308" s="17" t="s">
        <v>23</v>
      </c>
    </row>
    <row r="1309" spans="1:19" ht="15.75" customHeight="1">
      <c r="A1309" s="10">
        <v>66</v>
      </c>
      <c r="B1309" s="10">
        <v>2023</v>
      </c>
      <c r="C1309" s="6" t="s">
        <v>102</v>
      </c>
      <c r="D1309" s="48">
        <v>45083</v>
      </c>
      <c r="E1309" s="6" t="s">
        <v>33</v>
      </c>
      <c r="F1309" s="6" t="s">
        <v>3192</v>
      </c>
      <c r="G1309" s="10">
        <v>2</v>
      </c>
      <c r="H1309" s="10">
        <v>9</v>
      </c>
      <c r="I1309" s="10">
        <v>9</v>
      </c>
      <c r="J1309" s="4" t="s">
        <v>30</v>
      </c>
      <c r="K1309" s="4">
        <v>37054</v>
      </c>
      <c r="L1309" s="4" t="s">
        <v>61</v>
      </c>
      <c r="M1309" s="6" t="s">
        <v>3181</v>
      </c>
      <c r="N1309" s="25" t="s">
        <v>20</v>
      </c>
      <c r="O1309" s="6" t="s">
        <v>23</v>
      </c>
      <c r="P1309" s="6" t="s">
        <v>23</v>
      </c>
      <c r="Q1309" s="9" t="s">
        <v>23</v>
      </c>
      <c r="R1309" s="54" t="s">
        <v>23</v>
      </c>
      <c r="S1309" s="17" t="s">
        <v>23</v>
      </c>
    </row>
    <row r="1310" spans="1:19" ht="15.75" customHeight="1">
      <c r="A1310" s="10">
        <v>67</v>
      </c>
      <c r="B1310" s="10">
        <v>2023</v>
      </c>
      <c r="C1310" s="6" t="s">
        <v>102</v>
      </c>
      <c r="D1310" s="48">
        <v>45083</v>
      </c>
      <c r="E1310" s="6" t="s">
        <v>33</v>
      </c>
      <c r="F1310" s="6" t="s">
        <v>596</v>
      </c>
      <c r="G1310" s="10">
        <v>2</v>
      </c>
      <c r="H1310" s="10">
        <v>1</v>
      </c>
      <c r="I1310" s="10">
        <v>1</v>
      </c>
      <c r="J1310" s="4" t="s">
        <v>30</v>
      </c>
      <c r="K1310" s="4">
        <v>37383</v>
      </c>
      <c r="L1310" s="4" t="s">
        <v>31</v>
      </c>
      <c r="M1310" s="6" t="s">
        <v>3187</v>
      </c>
      <c r="N1310" s="25" t="s">
        <v>33</v>
      </c>
      <c r="O1310" s="6" t="s">
        <v>33</v>
      </c>
      <c r="P1310" s="6">
        <v>1</v>
      </c>
      <c r="Q1310" s="32" t="s">
        <v>3201</v>
      </c>
      <c r="R1310" s="56" t="s">
        <v>3202</v>
      </c>
      <c r="S1310" s="17" t="s">
        <v>3203</v>
      </c>
    </row>
    <row r="1311" spans="1:19" ht="15.75" customHeight="1">
      <c r="A1311" s="10">
        <v>68</v>
      </c>
      <c r="B1311" s="10">
        <v>2023</v>
      </c>
      <c r="C1311" s="6" t="s">
        <v>102</v>
      </c>
      <c r="D1311" s="48">
        <v>45084</v>
      </c>
      <c r="E1311" s="6" t="s">
        <v>33</v>
      </c>
      <c r="F1311" s="6" t="s">
        <v>2074</v>
      </c>
      <c r="G1311" s="10">
        <v>2</v>
      </c>
      <c r="H1311" s="10">
        <v>4</v>
      </c>
      <c r="I1311" s="10">
        <v>1</v>
      </c>
      <c r="J1311" s="4" t="s">
        <v>30</v>
      </c>
      <c r="K1311" s="4">
        <v>36647</v>
      </c>
      <c r="L1311" s="4" t="s">
        <v>61</v>
      </c>
      <c r="M1311" s="6" t="s">
        <v>3204</v>
      </c>
      <c r="N1311" s="25" t="s">
        <v>33</v>
      </c>
      <c r="O1311" s="6" t="s">
        <v>20</v>
      </c>
      <c r="P1311" s="6">
        <v>0</v>
      </c>
      <c r="Q1311" s="32" t="s">
        <v>3205</v>
      </c>
      <c r="R1311" s="56" t="s">
        <v>3206</v>
      </c>
      <c r="S1311" s="34" t="s">
        <v>3207</v>
      </c>
    </row>
    <row r="1312" spans="1:19" ht="15.75" customHeight="1">
      <c r="A1312" s="10">
        <v>68</v>
      </c>
      <c r="B1312" s="10">
        <v>2023</v>
      </c>
      <c r="C1312" s="6" t="s">
        <v>102</v>
      </c>
      <c r="D1312" s="48">
        <v>45084</v>
      </c>
      <c r="E1312" s="6" t="s">
        <v>33</v>
      </c>
      <c r="F1312" s="6" t="s">
        <v>2074</v>
      </c>
      <c r="G1312" s="10">
        <v>2</v>
      </c>
      <c r="H1312" s="10">
        <v>4</v>
      </c>
      <c r="I1312" s="10">
        <v>2</v>
      </c>
      <c r="J1312" s="4" t="s">
        <v>30</v>
      </c>
      <c r="K1312" s="4">
        <v>37352</v>
      </c>
      <c r="L1312" s="4" t="s">
        <v>31</v>
      </c>
      <c r="M1312" s="6" t="s">
        <v>3182</v>
      </c>
      <c r="N1312" s="25" t="s">
        <v>20</v>
      </c>
      <c r="O1312" s="6" t="s">
        <v>23</v>
      </c>
      <c r="P1312" s="6" t="s">
        <v>23</v>
      </c>
      <c r="Q1312" s="9" t="s">
        <v>23</v>
      </c>
      <c r="R1312" s="54" t="s">
        <v>23</v>
      </c>
      <c r="S1312" s="17" t="s">
        <v>23</v>
      </c>
    </row>
    <row r="1313" spans="1:19" ht="15.75" customHeight="1">
      <c r="A1313" s="10">
        <v>68</v>
      </c>
      <c r="B1313" s="10">
        <v>2023</v>
      </c>
      <c r="C1313" s="6" t="s">
        <v>102</v>
      </c>
      <c r="D1313" s="48">
        <v>45084</v>
      </c>
      <c r="E1313" s="6" t="s">
        <v>33</v>
      </c>
      <c r="F1313" s="6" t="s">
        <v>2074</v>
      </c>
      <c r="G1313" s="10">
        <v>2</v>
      </c>
      <c r="H1313" s="10">
        <v>4</v>
      </c>
      <c r="I1313" s="10">
        <v>3</v>
      </c>
      <c r="J1313" s="4" t="s">
        <v>30</v>
      </c>
      <c r="K1313" s="4">
        <v>37383</v>
      </c>
      <c r="L1313" s="4" t="s">
        <v>31</v>
      </c>
      <c r="M1313" s="6" t="s">
        <v>3187</v>
      </c>
      <c r="N1313" s="25" t="s">
        <v>20</v>
      </c>
      <c r="O1313" s="6" t="s">
        <v>23</v>
      </c>
      <c r="P1313" s="6" t="s">
        <v>23</v>
      </c>
      <c r="Q1313" s="9" t="s">
        <v>23</v>
      </c>
      <c r="R1313" s="54" t="s">
        <v>23</v>
      </c>
      <c r="S1313" s="17" t="s">
        <v>23</v>
      </c>
    </row>
    <row r="1314" spans="1:19" ht="15.75" customHeight="1">
      <c r="A1314" s="10">
        <v>68</v>
      </c>
      <c r="B1314" s="10">
        <v>2023</v>
      </c>
      <c r="C1314" s="6" t="s">
        <v>102</v>
      </c>
      <c r="D1314" s="48">
        <v>45084</v>
      </c>
      <c r="E1314" s="6" t="s">
        <v>33</v>
      </c>
      <c r="F1314" s="6" t="s">
        <v>2074</v>
      </c>
      <c r="G1314" s="10">
        <v>2</v>
      </c>
      <c r="H1314" s="10">
        <v>4</v>
      </c>
      <c r="I1314" s="10">
        <v>4</v>
      </c>
      <c r="J1314" s="4" t="s">
        <v>30</v>
      </c>
      <c r="K1314" s="4">
        <v>37317</v>
      </c>
      <c r="L1314" s="4" t="s">
        <v>31</v>
      </c>
      <c r="M1314" s="6" t="s">
        <v>3176</v>
      </c>
      <c r="N1314" s="25" t="s">
        <v>33</v>
      </c>
      <c r="O1314" s="6" t="s">
        <v>23</v>
      </c>
      <c r="P1314" s="6" t="s">
        <v>23</v>
      </c>
      <c r="Q1314" s="9" t="s">
        <v>23</v>
      </c>
      <c r="R1314" s="54" t="s">
        <v>23</v>
      </c>
      <c r="S1314" s="17" t="s">
        <v>23</v>
      </c>
    </row>
    <row r="1315" spans="1:19" ht="15.75" customHeight="1">
      <c r="A1315" s="10">
        <v>69</v>
      </c>
      <c r="B1315" s="10">
        <v>2023</v>
      </c>
      <c r="C1315" s="6" t="s">
        <v>102</v>
      </c>
      <c r="D1315" s="48">
        <v>45090</v>
      </c>
      <c r="E1315" s="6" t="s">
        <v>20</v>
      </c>
      <c r="F1315" s="6" t="s">
        <v>67</v>
      </c>
      <c r="G1315" s="10">
        <v>1</v>
      </c>
      <c r="H1315" s="10">
        <v>1</v>
      </c>
      <c r="I1315" s="10">
        <v>1</v>
      </c>
      <c r="J1315" s="4" t="s">
        <v>23</v>
      </c>
      <c r="K1315" s="4" t="s">
        <v>23</v>
      </c>
      <c r="L1315" s="4" t="s">
        <v>23</v>
      </c>
      <c r="M1315" s="6" t="s">
        <v>3208</v>
      </c>
      <c r="N1315" s="25" t="s">
        <v>23</v>
      </c>
      <c r="O1315" s="6" t="s">
        <v>33</v>
      </c>
      <c r="P1315" s="6">
        <v>1</v>
      </c>
      <c r="Q1315" s="32" t="s">
        <v>3209</v>
      </c>
      <c r="R1315" s="56" t="s">
        <v>3210</v>
      </c>
      <c r="S1315" s="34" t="s">
        <v>3211</v>
      </c>
    </row>
    <row r="1316" spans="1:19" ht="15.75" customHeight="1">
      <c r="A1316" s="10">
        <v>70</v>
      </c>
      <c r="B1316" s="10">
        <v>2023</v>
      </c>
      <c r="C1316" s="6" t="s">
        <v>102</v>
      </c>
      <c r="D1316" s="48">
        <v>45090</v>
      </c>
      <c r="E1316" s="6" t="s">
        <v>20</v>
      </c>
      <c r="F1316" s="6" t="s">
        <v>73</v>
      </c>
      <c r="G1316" s="10">
        <v>1</v>
      </c>
      <c r="H1316" s="10">
        <v>1</v>
      </c>
      <c r="I1316" s="10">
        <v>1</v>
      </c>
      <c r="J1316" s="4" t="s">
        <v>30</v>
      </c>
      <c r="K1316" s="4">
        <v>37445</v>
      </c>
      <c r="L1316" s="4" t="s">
        <v>31</v>
      </c>
      <c r="M1316" s="6" t="s">
        <v>3212</v>
      </c>
      <c r="N1316" s="25" t="s">
        <v>33</v>
      </c>
      <c r="O1316" s="6" t="s">
        <v>33</v>
      </c>
      <c r="P1316" s="6">
        <v>2</v>
      </c>
      <c r="Q1316" s="9" t="s">
        <v>23</v>
      </c>
      <c r="R1316" s="56" t="s">
        <v>3213</v>
      </c>
      <c r="S1316" s="17" t="s">
        <v>23</v>
      </c>
    </row>
    <row r="1317" spans="1:19" ht="15.75" customHeight="1">
      <c r="A1317" s="10">
        <v>71</v>
      </c>
      <c r="B1317" s="10">
        <v>2023</v>
      </c>
      <c r="C1317" s="6" t="s">
        <v>102</v>
      </c>
      <c r="D1317" s="48">
        <v>45104</v>
      </c>
      <c r="E1317" s="6" t="s">
        <v>33</v>
      </c>
      <c r="F1317" s="6" t="s">
        <v>1980</v>
      </c>
      <c r="G1317" s="10">
        <v>2</v>
      </c>
      <c r="H1317" s="10">
        <v>1</v>
      </c>
      <c r="I1317" s="10">
        <v>1</v>
      </c>
      <c r="J1317" s="4" t="s">
        <v>30</v>
      </c>
      <c r="K1317" s="4">
        <v>37445</v>
      </c>
      <c r="L1317" s="4" t="s">
        <v>31</v>
      </c>
      <c r="M1317" s="6" t="s">
        <v>3212</v>
      </c>
      <c r="N1317" s="25" t="s">
        <v>33</v>
      </c>
      <c r="O1317" s="6" t="s">
        <v>20</v>
      </c>
      <c r="P1317" s="6">
        <v>0</v>
      </c>
      <c r="Q1317" s="9" t="s">
        <v>23</v>
      </c>
      <c r="R1317" s="56" t="s">
        <v>3214</v>
      </c>
      <c r="S1317" s="17" t="s">
        <v>3132</v>
      </c>
    </row>
    <row r="1318" spans="1:19" ht="15.75" customHeight="1">
      <c r="A1318" s="10">
        <v>72</v>
      </c>
      <c r="B1318" s="10">
        <v>2023</v>
      </c>
      <c r="C1318" s="6" t="s">
        <v>102</v>
      </c>
      <c r="D1318" s="48">
        <v>45111</v>
      </c>
      <c r="E1318" s="6" t="s">
        <v>20</v>
      </c>
      <c r="F1318" s="6" t="s">
        <v>47</v>
      </c>
      <c r="G1318" s="10">
        <v>1</v>
      </c>
      <c r="H1318" s="10">
        <v>1</v>
      </c>
      <c r="I1318" s="10">
        <v>1</v>
      </c>
      <c r="J1318" s="4" t="s">
        <v>30</v>
      </c>
      <c r="K1318" s="4">
        <v>37515</v>
      </c>
      <c r="L1318" s="4" t="s">
        <v>31</v>
      </c>
      <c r="M1318" s="6" t="s">
        <v>3215</v>
      </c>
      <c r="N1318" s="25" t="s">
        <v>33</v>
      </c>
      <c r="O1318" s="6" t="s">
        <v>33</v>
      </c>
      <c r="P1318" s="6">
        <v>1</v>
      </c>
      <c r="Q1318" s="32" t="s">
        <v>3216</v>
      </c>
      <c r="R1318" s="56" t="s">
        <v>3217</v>
      </c>
      <c r="S1318" s="34" t="s">
        <v>3218</v>
      </c>
    </row>
    <row r="1319" spans="1:19" ht="15.75" customHeight="1">
      <c r="A1319" s="10">
        <v>73</v>
      </c>
      <c r="B1319" s="10">
        <v>2023</v>
      </c>
      <c r="C1319" s="6" t="s">
        <v>1824</v>
      </c>
      <c r="D1319" s="48">
        <v>45132</v>
      </c>
      <c r="E1319" s="6" t="s">
        <v>33</v>
      </c>
      <c r="F1319" s="6" t="s">
        <v>1591</v>
      </c>
      <c r="G1319" s="10">
        <v>2</v>
      </c>
      <c r="H1319" s="10">
        <v>2</v>
      </c>
      <c r="I1319" s="10">
        <v>1</v>
      </c>
      <c r="J1319" s="4" t="s">
        <v>30</v>
      </c>
      <c r="K1319" s="4">
        <v>35552</v>
      </c>
      <c r="L1319" s="4" t="s">
        <v>61</v>
      </c>
      <c r="M1319" s="6" t="s">
        <v>3219</v>
      </c>
      <c r="N1319" s="25" t="s">
        <v>20</v>
      </c>
      <c r="O1319" s="6" t="s">
        <v>20</v>
      </c>
      <c r="P1319" s="6">
        <v>0</v>
      </c>
      <c r="Q1319" s="32" t="s">
        <v>3220</v>
      </c>
      <c r="R1319" s="56" t="s">
        <v>3221</v>
      </c>
      <c r="S1319" s="17" t="s">
        <v>3222</v>
      </c>
    </row>
    <row r="1320" spans="1:19" ht="15.75" customHeight="1">
      <c r="A1320" s="10">
        <v>73</v>
      </c>
      <c r="B1320" s="10">
        <v>2023</v>
      </c>
      <c r="C1320" s="6" t="s">
        <v>1824</v>
      </c>
      <c r="D1320" s="48">
        <v>45132</v>
      </c>
      <c r="E1320" s="6" t="s">
        <v>33</v>
      </c>
      <c r="F1320" s="6" t="s">
        <v>1591</v>
      </c>
      <c r="G1320" s="10">
        <v>2</v>
      </c>
      <c r="H1320" s="10">
        <v>2</v>
      </c>
      <c r="I1320" s="10">
        <v>2</v>
      </c>
      <c r="J1320" s="4" t="s">
        <v>30</v>
      </c>
      <c r="K1320" s="4">
        <v>36875</v>
      </c>
      <c r="L1320" s="4" t="s">
        <v>61</v>
      </c>
      <c r="M1320" s="6" t="s">
        <v>3223</v>
      </c>
      <c r="N1320" s="25" t="s">
        <v>20</v>
      </c>
      <c r="O1320" s="6" t="s">
        <v>23</v>
      </c>
      <c r="P1320" s="6" t="s">
        <v>23</v>
      </c>
      <c r="Q1320" s="9" t="s">
        <v>23</v>
      </c>
      <c r="R1320" s="54" t="s">
        <v>23</v>
      </c>
      <c r="S1320" s="17" t="s">
        <v>23</v>
      </c>
    </row>
    <row r="1321" spans="1:19" ht="15.75" customHeight="1">
      <c r="A1321" s="10">
        <v>74</v>
      </c>
      <c r="B1321" s="10">
        <v>2023</v>
      </c>
      <c r="C1321" s="6" t="s">
        <v>102</v>
      </c>
      <c r="D1321" s="48">
        <v>45132</v>
      </c>
      <c r="E1321" s="6" t="s">
        <v>20</v>
      </c>
      <c r="F1321" s="6" t="s">
        <v>21</v>
      </c>
      <c r="G1321" s="10">
        <v>1</v>
      </c>
      <c r="H1321" s="10">
        <v>1</v>
      </c>
      <c r="I1321" s="10">
        <v>1</v>
      </c>
      <c r="J1321" s="4" t="s">
        <v>85</v>
      </c>
      <c r="K1321" s="4">
        <v>37549</v>
      </c>
      <c r="L1321" s="4" t="s">
        <v>61</v>
      </c>
      <c r="M1321" s="6" t="s">
        <v>3224</v>
      </c>
      <c r="N1321" s="25" t="s">
        <v>33</v>
      </c>
      <c r="O1321" s="6" t="s">
        <v>33</v>
      </c>
      <c r="P1321" s="6">
        <v>3</v>
      </c>
      <c r="Q1321" s="32" t="s">
        <v>3225</v>
      </c>
      <c r="R1321" s="56" t="s">
        <v>3226</v>
      </c>
      <c r="S1321" s="34" t="s">
        <v>3227</v>
      </c>
    </row>
    <row r="1322" spans="1:19" ht="15.75" customHeight="1">
      <c r="A1322" s="10">
        <v>75</v>
      </c>
      <c r="B1322" s="10">
        <v>2023</v>
      </c>
      <c r="C1322" s="6" t="s">
        <v>102</v>
      </c>
      <c r="D1322" s="48">
        <v>45132</v>
      </c>
      <c r="E1322" s="6" t="s">
        <v>20</v>
      </c>
      <c r="F1322" s="6" t="s">
        <v>41</v>
      </c>
      <c r="G1322" s="10">
        <v>1</v>
      </c>
      <c r="H1322" s="10">
        <v>1</v>
      </c>
      <c r="I1322" s="10">
        <v>1</v>
      </c>
      <c r="J1322" s="4" t="s">
        <v>30</v>
      </c>
      <c r="K1322" s="4">
        <v>37541</v>
      </c>
      <c r="L1322" s="4" t="s">
        <v>31</v>
      </c>
      <c r="M1322" s="6" t="s">
        <v>3228</v>
      </c>
      <c r="N1322" s="25" t="s">
        <v>20</v>
      </c>
      <c r="O1322" s="6" t="s">
        <v>20</v>
      </c>
      <c r="P1322" s="6">
        <v>0</v>
      </c>
      <c r="Q1322" s="32" t="s">
        <v>3229</v>
      </c>
      <c r="R1322" s="54" t="s">
        <v>23</v>
      </c>
      <c r="S1322" s="34" t="s">
        <v>3230</v>
      </c>
    </row>
    <row r="1323" spans="1:19" ht="15.75" customHeight="1">
      <c r="A1323" s="10">
        <v>76</v>
      </c>
      <c r="B1323" s="10">
        <v>2023</v>
      </c>
      <c r="C1323" s="6" t="s">
        <v>1824</v>
      </c>
      <c r="D1323" s="48">
        <v>45133</v>
      </c>
      <c r="E1323" s="6" t="s">
        <v>33</v>
      </c>
      <c r="F1323" s="6" t="s">
        <v>2074</v>
      </c>
      <c r="G1323" s="10">
        <v>2</v>
      </c>
      <c r="H1323" s="10">
        <v>3</v>
      </c>
      <c r="I1323" s="10">
        <v>1</v>
      </c>
      <c r="J1323" s="4" t="s">
        <v>30</v>
      </c>
      <c r="K1323" s="4">
        <v>36647</v>
      </c>
      <c r="L1323" s="4" t="s">
        <v>61</v>
      </c>
      <c r="M1323" s="6" t="s">
        <v>23</v>
      </c>
      <c r="N1323" s="25" t="s">
        <v>20</v>
      </c>
      <c r="O1323" s="6" t="s">
        <v>33</v>
      </c>
      <c r="P1323" s="6">
        <v>8</v>
      </c>
      <c r="Q1323" s="32" t="s">
        <v>3231</v>
      </c>
      <c r="R1323" s="56" t="s">
        <v>3232</v>
      </c>
      <c r="S1323" s="17" t="s">
        <v>3233</v>
      </c>
    </row>
    <row r="1324" spans="1:19" ht="15.75" customHeight="1">
      <c r="A1324" s="10">
        <v>76</v>
      </c>
      <c r="B1324" s="10">
        <v>2023</v>
      </c>
      <c r="C1324" s="6" t="s">
        <v>1824</v>
      </c>
      <c r="D1324" s="48">
        <v>45133</v>
      </c>
      <c r="E1324" s="6" t="s">
        <v>33</v>
      </c>
      <c r="F1324" s="6" t="s">
        <v>2074</v>
      </c>
      <c r="G1324" s="10">
        <v>2</v>
      </c>
      <c r="H1324" s="10">
        <v>3</v>
      </c>
      <c r="I1324" s="10">
        <v>2</v>
      </c>
      <c r="J1324" s="4" t="s">
        <v>30</v>
      </c>
      <c r="K1324" s="4">
        <v>37542</v>
      </c>
      <c r="L1324" s="4" t="s">
        <v>31</v>
      </c>
      <c r="M1324" s="6" t="s">
        <v>3234</v>
      </c>
      <c r="N1324" s="25" t="s">
        <v>20</v>
      </c>
      <c r="O1324" s="6" t="s">
        <v>23</v>
      </c>
      <c r="P1324" s="6" t="s">
        <v>23</v>
      </c>
      <c r="Q1324" s="9" t="s">
        <v>23</v>
      </c>
      <c r="R1324" s="54" t="s">
        <v>23</v>
      </c>
      <c r="S1324" s="17" t="s">
        <v>23</v>
      </c>
    </row>
    <row r="1325" spans="1:19" ht="15.75" customHeight="1">
      <c r="A1325" s="10">
        <v>76</v>
      </c>
      <c r="B1325" s="10">
        <v>2023</v>
      </c>
      <c r="C1325" s="6" t="s">
        <v>1824</v>
      </c>
      <c r="D1325" s="48">
        <v>45133</v>
      </c>
      <c r="E1325" s="6" t="s">
        <v>33</v>
      </c>
      <c r="F1325" s="6" t="s">
        <v>2074</v>
      </c>
      <c r="G1325" s="10">
        <v>2</v>
      </c>
      <c r="H1325" s="10">
        <v>3</v>
      </c>
      <c r="I1325" s="10">
        <v>3</v>
      </c>
      <c r="J1325" s="4" t="s">
        <v>30</v>
      </c>
      <c r="K1325" s="4">
        <v>37543</v>
      </c>
      <c r="L1325" s="4" t="s">
        <v>31</v>
      </c>
      <c r="M1325" s="6" t="s">
        <v>3235</v>
      </c>
      <c r="N1325" s="25" t="s">
        <v>20</v>
      </c>
      <c r="O1325" s="6" t="s">
        <v>23</v>
      </c>
      <c r="P1325" s="6" t="s">
        <v>23</v>
      </c>
      <c r="Q1325" s="9" t="s">
        <v>23</v>
      </c>
      <c r="R1325" s="54" t="s">
        <v>23</v>
      </c>
      <c r="S1325" s="17" t="s">
        <v>23</v>
      </c>
    </row>
    <row r="1326" spans="1:19" ht="15.75" customHeight="1">
      <c r="A1326" s="10">
        <v>77</v>
      </c>
      <c r="B1326" s="10">
        <v>2023</v>
      </c>
      <c r="C1326" s="6" t="s">
        <v>102</v>
      </c>
      <c r="D1326" s="48">
        <v>45134</v>
      </c>
      <c r="E1326" s="6" t="s">
        <v>20</v>
      </c>
      <c r="F1326" s="6" t="s">
        <v>47</v>
      </c>
      <c r="G1326" s="10">
        <v>1</v>
      </c>
      <c r="H1326" s="10">
        <v>3</v>
      </c>
      <c r="I1326" s="10">
        <v>1</v>
      </c>
      <c r="J1326" s="4" t="s">
        <v>30</v>
      </c>
      <c r="K1326" s="4">
        <v>37516</v>
      </c>
      <c r="L1326" s="4" t="s">
        <v>31</v>
      </c>
      <c r="M1326" s="6" t="s">
        <v>3236</v>
      </c>
      <c r="N1326" s="25" t="s">
        <v>33</v>
      </c>
      <c r="O1326" s="6" t="s">
        <v>33</v>
      </c>
      <c r="P1326" s="6">
        <v>3</v>
      </c>
      <c r="Q1326" s="32" t="s">
        <v>3237</v>
      </c>
      <c r="R1326" s="56" t="s">
        <v>3238</v>
      </c>
      <c r="S1326" s="34" t="s">
        <v>3239</v>
      </c>
    </row>
    <row r="1327" spans="1:19" ht="15.75" customHeight="1">
      <c r="A1327" s="10">
        <v>77</v>
      </c>
      <c r="B1327" s="10">
        <v>2023</v>
      </c>
      <c r="C1327" s="6" t="s">
        <v>102</v>
      </c>
      <c r="D1327" s="48">
        <v>45134</v>
      </c>
      <c r="E1327" s="6" t="s">
        <v>20</v>
      </c>
      <c r="F1327" s="6" t="s">
        <v>47</v>
      </c>
      <c r="G1327" s="10">
        <v>1</v>
      </c>
      <c r="H1327" s="10">
        <v>3</v>
      </c>
      <c r="I1327" s="10">
        <v>2</v>
      </c>
      <c r="J1327" s="4" t="s">
        <v>30</v>
      </c>
      <c r="K1327" s="4">
        <v>37517</v>
      </c>
      <c r="L1327" s="4" t="s">
        <v>31</v>
      </c>
      <c r="M1327" s="6" t="s">
        <v>3240</v>
      </c>
      <c r="N1327" s="25" t="s">
        <v>33</v>
      </c>
      <c r="O1327" s="6" t="s">
        <v>23</v>
      </c>
      <c r="P1327" s="6" t="s">
        <v>23</v>
      </c>
      <c r="Q1327" s="9" t="s">
        <v>23</v>
      </c>
      <c r="R1327" s="54" t="s">
        <v>23</v>
      </c>
      <c r="S1327" s="17" t="s">
        <v>23</v>
      </c>
    </row>
    <row r="1328" spans="1:19" ht="15.75" customHeight="1">
      <c r="A1328" s="10">
        <v>77</v>
      </c>
      <c r="B1328" s="10">
        <v>2023</v>
      </c>
      <c r="C1328" s="6" t="s">
        <v>102</v>
      </c>
      <c r="D1328" s="48">
        <v>45134</v>
      </c>
      <c r="E1328" s="6" t="s">
        <v>20</v>
      </c>
      <c r="F1328" s="6" t="s">
        <v>47</v>
      </c>
      <c r="G1328" s="10">
        <v>1</v>
      </c>
      <c r="H1328" s="10">
        <v>3</v>
      </c>
      <c r="I1328" s="10">
        <v>3</v>
      </c>
      <c r="J1328" s="4" t="s">
        <v>30</v>
      </c>
      <c r="K1328" s="4">
        <v>37544</v>
      </c>
      <c r="L1328" s="4" t="s">
        <v>31</v>
      </c>
      <c r="M1328" s="6" t="s">
        <v>3241</v>
      </c>
      <c r="N1328" s="25" t="s">
        <v>33</v>
      </c>
      <c r="O1328" s="6" t="s">
        <v>23</v>
      </c>
      <c r="P1328" s="6" t="s">
        <v>23</v>
      </c>
      <c r="Q1328" s="9" t="s">
        <v>23</v>
      </c>
      <c r="R1328" s="54" t="s">
        <v>23</v>
      </c>
      <c r="S1328" s="17" t="s">
        <v>23</v>
      </c>
    </row>
    <row r="1329" spans="1:19" ht="15.75" customHeight="1">
      <c r="A1329" s="10">
        <v>78</v>
      </c>
      <c r="B1329" s="10">
        <v>2023</v>
      </c>
      <c r="C1329" s="6" t="s">
        <v>1824</v>
      </c>
      <c r="D1329" s="48">
        <v>45139</v>
      </c>
      <c r="E1329" s="6" t="s">
        <v>33</v>
      </c>
      <c r="F1329" s="6" t="s">
        <v>1591</v>
      </c>
      <c r="G1329" s="10">
        <v>2</v>
      </c>
      <c r="H1329" s="10">
        <v>2</v>
      </c>
      <c r="I1329" s="10">
        <v>1</v>
      </c>
      <c r="J1329" s="4" t="s">
        <v>30</v>
      </c>
      <c r="K1329" s="4">
        <v>35552</v>
      </c>
      <c r="L1329" s="4" t="s">
        <v>61</v>
      </c>
      <c r="M1329" s="6" t="s">
        <v>3219</v>
      </c>
      <c r="N1329" s="25" t="s">
        <v>20</v>
      </c>
      <c r="O1329" s="6" t="s">
        <v>33</v>
      </c>
      <c r="P1329" s="6">
        <v>5</v>
      </c>
      <c r="Q1329" s="32" t="s">
        <v>3242</v>
      </c>
      <c r="R1329" s="56" t="s">
        <v>3243</v>
      </c>
      <c r="S1329" s="17" t="s">
        <v>3244</v>
      </c>
    </row>
    <row r="1330" spans="1:19" ht="15.75" customHeight="1">
      <c r="A1330" s="10">
        <v>78</v>
      </c>
      <c r="B1330" s="10">
        <v>2023</v>
      </c>
      <c r="C1330" s="6" t="s">
        <v>1824</v>
      </c>
      <c r="D1330" s="48">
        <v>45139</v>
      </c>
      <c r="E1330" s="6" t="s">
        <v>33</v>
      </c>
      <c r="F1330" s="6" t="s">
        <v>1591</v>
      </c>
      <c r="G1330" s="10">
        <v>2</v>
      </c>
      <c r="H1330" s="10">
        <v>2</v>
      </c>
      <c r="I1330" s="10">
        <v>2</v>
      </c>
      <c r="J1330" s="4" t="s">
        <v>30</v>
      </c>
      <c r="K1330" s="4">
        <v>36875</v>
      </c>
      <c r="L1330" s="4" t="s">
        <v>61</v>
      </c>
      <c r="M1330" s="6" t="s">
        <v>3223</v>
      </c>
      <c r="N1330" s="25" t="s">
        <v>20</v>
      </c>
      <c r="O1330" s="6" t="s">
        <v>23</v>
      </c>
      <c r="P1330" s="6" t="s">
        <v>23</v>
      </c>
      <c r="Q1330" s="9" t="s">
        <v>23</v>
      </c>
      <c r="R1330" s="54" t="s">
        <v>23</v>
      </c>
      <c r="S1330" s="17" t="s">
        <v>23</v>
      </c>
    </row>
    <row r="1331" spans="1:19" ht="15.75" customHeight="1">
      <c r="A1331" s="10">
        <v>79</v>
      </c>
      <c r="B1331" s="10">
        <v>2023</v>
      </c>
      <c r="C1331" s="6" t="s">
        <v>1824</v>
      </c>
      <c r="D1331" s="48">
        <v>45139</v>
      </c>
      <c r="E1331" s="6" t="s">
        <v>33</v>
      </c>
      <c r="F1331" s="6" t="s">
        <v>2074</v>
      </c>
      <c r="G1331" s="10">
        <v>2</v>
      </c>
      <c r="H1331" s="10">
        <v>4</v>
      </c>
      <c r="I1331" s="10">
        <v>1</v>
      </c>
      <c r="J1331" s="4" t="s">
        <v>30</v>
      </c>
      <c r="K1331" s="4">
        <v>36647</v>
      </c>
      <c r="L1331" s="4" t="s">
        <v>61</v>
      </c>
      <c r="M1331" s="6" t="s">
        <v>3245</v>
      </c>
      <c r="N1331" s="25" t="s">
        <v>20</v>
      </c>
      <c r="O1331" s="6" t="s">
        <v>33</v>
      </c>
      <c r="P1331" s="6">
        <v>2</v>
      </c>
      <c r="Q1331" s="32" t="s">
        <v>3246</v>
      </c>
      <c r="R1331" s="56" t="s">
        <v>3247</v>
      </c>
      <c r="S1331" s="17" t="s">
        <v>3248</v>
      </c>
    </row>
    <row r="1332" spans="1:19" ht="15.75" customHeight="1">
      <c r="A1332" s="10">
        <v>79</v>
      </c>
      <c r="B1332" s="10">
        <v>2023</v>
      </c>
      <c r="C1332" s="6" t="s">
        <v>1824</v>
      </c>
      <c r="D1332" s="48">
        <v>45139</v>
      </c>
      <c r="E1332" s="6" t="s">
        <v>33</v>
      </c>
      <c r="F1332" s="6" t="s">
        <v>2074</v>
      </c>
      <c r="G1332" s="10">
        <v>2</v>
      </c>
      <c r="H1332" s="10">
        <v>4</v>
      </c>
      <c r="I1332" s="10">
        <v>2</v>
      </c>
      <c r="J1332" s="4" t="s">
        <v>30</v>
      </c>
      <c r="K1332" s="4">
        <v>37542</v>
      </c>
      <c r="L1332" s="4" t="s">
        <v>31</v>
      </c>
      <c r="M1332" s="6" t="s">
        <v>3234</v>
      </c>
      <c r="N1332" s="25" t="s">
        <v>20</v>
      </c>
      <c r="O1332" s="6" t="s">
        <v>23</v>
      </c>
      <c r="P1332" s="6" t="s">
        <v>23</v>
      </c>
      <c r="Q1332" s="9" t="s">
        <v>23</v>
      </c>
      <c r="R1332" s="54" t="s">
        <v>23</v>
      </c>
      <c r="S1332" s="17" t="s">
        <v>23</v>
      </c>
    </row>
    <row r="1333" spans="1:19" ht="15.75" customHeight="1">
      <c r="A1333" s="10">
        <v>79</v>
      </c>
      <c r="B1333" s="10">
        <v>2023</v>
      </c>
      <c r="C1333" s="6" t="s">
        <v>1824</v>
      </c>
      <c r="D1333" s="48">
        <v>45139</v>
      </c>
      <c r="E1333" s="6" t="s">
        <v>33</v>
      </c>
      <c r="F1333" s="6" t="s">
        <v>2074</v>
      </c>
      <c r="G1333" s="10">
        <v>2</v>
      </c>
      <c r="H1333" s="10">
        <v>4</v>
      </c>
      <c r="I1333" s="10">
        <v>3</v>
      </c>
      <c r="J1333" s="4" t="s">
        <v>30</v>
      </c>
      <c r="K1333" s="4">
        <v>37543</v>
      </c>
      <c r="L1333" s="4" t="s">
        <v>31</v>
      </c>
      <c r="M1333" s="6" t="s">
        <v>3235</v>
      </c>
      <c r="N1333" s="25" t="s">
        <v>20</v>
      </c>
      <c r="O1333" s="6" t="s">
        <v>23</v>
      </c>
      <c r="P1333" s="6" t="s">
        <v>23</v>
      </c>
      <c r="Q1333" s="9" t="s">
        <v>23</v>
      </c>
      <c r="R1333" s="54" t="s">
        <v>23</v>
      </c>
      <c r="S1333" s="17" t="s">
        <v>23</v>
      </c>
    </row>
    <row r="1334" spans="1:19" ht="15.75" customHeight="1">
      <c r="A1334" s="10">
        <v>79</v>
      </c>
      <c r="B1334" s="10">
        <v>2023</v>
      </c>
      <c r="C1334" s="6" t="s">
        <v>1824</v>
      </c>
      <c r="D1334" s="48">
        <v>45139</v>
      </c>
      <c r="E1334" s="6" t="s">
        <v>33</v>
      </c>
      <c r="F1334" s="6" t="s">
        <v>2074</v>
      </c>
      <c r="G1334" s="10">
        <v>2</v>
      </c>
      <c r="H1334" s="10">
        <v>4</v>
      </c>
      <c r="I1334" s="10">
        <v>4</v>
      </c>
      <c r="J1334" s="4" t="s">
        <v>30</v>
      </c>
      <c r="K1334" s="4">
        <v>37552</v>
      </c>
      <c r="L1334" s="4" t="s">
        <v>31</v>
      </c>
      <c r="M1334" s="6" t="s">
        <v>3249</v>
      </c>
      <c r="N1334" s="25" t="s">
        <v>20</v>
      </c>
      <c r="O1334" s="6" t="s">
        <v>23</v>
      </c>
      <c r="P1334" s="6" t="s">
        <v>23</v>
      </c>
      <c r="Q1334" s="9" t="s">
        <v>23</v>
      </c>
      <c r="R1334" s="54" t="s">
        <v>23</v>
      </c>
      <c r="S1334" s="17" t="s">
        <v>23</v>
      </c>
    </row>
    <row r="1335" spans="1:19" ht="15.75" customHeight="1">
      <c r="A1335" s="10">
        <v>80</v>
      </c>
      <c r="B1335" s="10">
        <v>2023</v>
      </c>
      <c r="C1335" s="6" t="s">
        <v>1824</v>
      </c>
      <c r="D1335" s="48">
        <v>45139</v>
      </c>
      <c r="E1335" s="6" t="s">
        <v>20</v>
      </c>
      <c r="F1335" s="6" t="s">
        <v>190</v>
      </c>
      <c r="G1335" s="10">
        <v>1</v>
      </c>
      <c r="H1335" s="10">
        <v>1</v>
      </c>
      <c r="I1335" s="10">
        <v>1</v>
      </c>
      <c r="J1335" s="4" t="s">
        <v>23</v>
      </c>
      <c r="K1335" s="4" t="s">
        <v>23</v>
      </c>
      <c r="L1335" s="4" t="s">
        <v>23</v>
      </c>
      <c r="M1335" s="6" t="s">
        <v>3250</v>
      </c>
      <c r="N1335" s="25" t="s">
        <v>23</v>
      </c>
      <c r="O1335" s="6" t="s">
        <v>33</v>
      </c>
      <c r="P1335" s="6">
        <v>3</v>
      </c>
      <c r="Q1335" s="9" t="s">
        <v>3251</v>
      </c>
      <c r="R1335" s="56" t="s">
        <v>3252</v>
      </c>
      <c r="S1335" s="17" t="s">
        <v>5530</v>
      </c>
    </row>
    <row r="1336" spans="1:19" ht="15.75" customHeight="1">
      <c r="A1336" s="10">
        <v>81</v>
      </c>
      <c r="B1336" s="10">
        <v>2023</v>
      </c>
      <c r="C1336" s="6" t="s">
        <v>102</v>
      </c>
      <c r="D1336" s="48">
        <v>45141</v>
      </c>
      <c r="E1336" s="6" t="s">
        <v>20</v>
      </c>
      <c r="F1336" s="6" t="s">
        <v>55</v>
      </c>
      <c r="G1336" s="10">
        <v>1</v>
      </c>
      <c r="H1336" s="10">
        <v>1</v>
      </c>
      <c r="I1336" s="10">
        <v>1</v>
      </c>
      <c r="J1336" s="4" t="s">
        <v>416</v>
      </c>
      <c r="K1336" s="4">
        <v>37127</v>
      </c>
      <c r="L1336" s="4" t="s">
        <v>61</v>
      </c>
      <c r="M1336" s="6" t="s">
        <v>3253</v>
      </c>
      <c r="N1336" s="25" t="s">
        <v>20</v>
      </c>
      <c r="O1336" s="6" t="s">
        <v>20</v>
      </c>
      <c r="P1336" s="6">
        <v>0</v>
      </c>
      <c r="Q1336" s="9" t="s">
        <v>3251</v>
      </c>
      <c r="R1336" s="56" t="s">
        <v>3254</v>
      </c>
      <c r="S1336" s="17" t="s">
        <v>5531</v>
      </c>
    </row>
    <row r="1337" spans="1:19" ht="15.75" customHeight="1">
      <c r="A1337" s="10">
        <v>82</v>
      </c>
      <c r="B1337" s="10">
        <v>2023</v>
      </c>
      <c r="C1337" s="6" t="s">
        <v>1824</v>
      </c>
      <c r="D1337" s="48">
        <v>45153</v>
      </c>
      <c r="E1337" s="6" t="s">
        <v>33</v>
      </c>
      <c r="F1337" s="6" t="s">
        <v>2074</v>
      </c>
      <c r="G1337" s="10">
        <v>2</v>
      </c>
      <c r="H1337" s="10">
        <v>3</v>
      </c>
      <c r="I1337" s="10">
        <v>1</v>
      </c>
      <c r="J1337" s="4" t="s">
        <v>30</v>
      </c>
      <c r="K1337" s="4">
        <v>36647</v>
      </c>
      <c r="L1337" s="4" t="s">
        <v>61</v>
      </c>
      <c r="M1337" s="6" t="s">
        <v>3245</v>
      </c>
      <c r="N1337" s="25" t="s">
        <v>33</v>
      </c>
      <c r="O1337" s="6" t="s">
        <v>33</v>
      </c>
      <c r="P1337" s="6">
        <v>2</v>
      </c>
      <c r="Q1337" s="32" t="s">
        <v>3255</v>
      </c>
      <c r="R1337" s="56" t="s">
        <v>3256</v>
      </c>
      <c r="S1337" s="17" t="s">
        <v>3257</v>
      </c>
    </row>
    <row r="1338" spans="1:19" ht="15.75" customHeight="1">
      <c r="A1338" s="10">
        <v>82</v>
      </c>
      <c r="B1338" s="10">
        <v>2023</v>
      </c>
      <c r="C1338" s="6" t="s">
        <v>1824</v>
      </c>
      <c r="D1338" s="48">
        <v>45153</v>
      </c>
      <c r="E1338" s="6" t="s">
        <v>33</v>
      </c>
      <c r="F1338" s="6" t="s">
        <v>2074</v>
      </c>
      <c r="G1338" s="10">
        <v>2</v>
      </c>
      <c r="H1338" s="10">
        <v>3</v>
      </c>
      <c r="I1338" s="10">
        <v>2</v>
      </c>
      <c r="J1338" s="4" t="s">
        <v>30</v>
      </c>
      <c r="K1338" s="4">
        <v>37543</v>
      </c>
      <c r="L1338" s="4" t="s">
        <v>31</v>
      </c>
      <c r="M1338" s="6" t="s">
        <v>3235</v>
      </c>
      <c r="N1338" s="25" t="s">
        <v>33</v>
      </c>
      <c r="O1338" s="6" t="s">
        <v>23</v>
      </c>
      <c r="P1338" s="6" t="s">
        <v>23</v>
      </c>
      <c r="Q1338" s="9" t="s">
        <v>23</v>
      </c>
      <c r="R1338" s="54" t="s">
        <v>23</v>
      </c>
      <c r="S1338" s="17" t="s">
        <v>23</v>
      </c>
    </row>
    <row r="1339" spans="1:19" ht="15.75" customHeight="1">
      <c r="A1339" s="10">
        <v>82</v>
      </c>
      <c r="B1339" s="10">
        <v>2023</v>
      </c>
      <c r="C1339" s="6" t="s">
        <v>1824</v>
      </c>
      <c r="D1339" s="48">
        <v>45153</v>
      </c>
      <c r="E1339" s="6" t="s">
        <v>33</v>
      </c>
      <c r="F1339" s="6" t="s">
        <v>2074</v>
      </c>
      <c r="G1339" s="10">
        <v>2</v>
      </c>
      <c r="H1339" s="10">
        <v>3</v>
      </c>
      <c r="I1339" s="10">
        <v>3</v>
      </c>
      <c r="J1339" s="4" t="s">
        <v>30</v>
      </c>
      <c r="K1339" s="4">
        <v>37552</v>
      </c>
      <c r="L1339" s="4" t="s">
        <v>31</v>
      </c>
      <c r="M1339" s="6" t="s">
        <v>3249</v>
      </c>
      <c r="N1339" s="25" t="s">
        <v>33</v>
      </c>
      <c r="O1339" s="6" t="s">
        <v>23</v>
      </c>
      <c r="P1339" s="6" t="s">
        <v>23</v>
      </c>
      <c r="Q1339" s="9" t="s">
        <v>23</v>
      </c>
      <c r="R1339" s="54" t="s">
        <v>23</v>
      </c>
      <c r="S1339" s="17" t="s">
        <v>23</v>
      </c>
    </row>
    <row r="1340" spans="1:19" ht="15.75" customHeight="1">
      <c r="A1340" s="10">
        <v>83</v>
      </c>
      <c r="B1340" s="10">
        <v>2023</v>
      </c>
      <c r="C1340" s="6" t="s">
        <v>102</v>
      </c>
      <c r="D1340" s="48">
        <v>45153</v>
      </c>
      <c r="E1340" s="6" t="s">
        <v>33</v>
      </c>
      <c r="F1340" s="6" t="s">
        <v>2838</v>
      </c>
      <c r="G1340" s="10">
        <v>2</v>
      </c>
      <c r="H1340" s="10">
        <v>1</v>
      </c>
      <c r="I1340" s="10">
        <v>1</v>
      </c>
      <c r="J1340" s="4" t="s">
        <v>30</v>
      </c>
      <c r="K1340" s="4">
        <v>37674</v>
      </c>
      <c r="L1340" s="4" t="s">
        <v>31</v>
      </c>
      <c r="M1340" s="6" t="s">
        <v>3258</v>
      </c>
      <c r="N1340" s="25" t="s">
        <v>20</v>
      </c>
      <c r="O1340" s="6" t="s">
        <v>20</v>
      </c>
      <c r="P1340" s="6">
        <v>0</v>
      </c>
      <c r="Q1340" s="9" t="s">
        <v>3251</v>
      </c>
      <c r="R1340" s="56" t="s">
        <v>3259</v>
      </c>
      <c r="S1340" s="150" t="s">
        <v>5532</v>
      </c>
    </row>
    <row r="1341" spans="1:19" ht="15.75" customHeight="1">
      <c r="A1341" s="10">
        <v>84</v>
      </c>
      <c r="B1341" s="10">
        <v>2023</v>
      </c>
      <c r="C1341" s="6" t="s">
        <v>102</v>
      </c>
      <c r="D1341" s="48">
        <v>45154</v>
      </c>
      <c r="E1341" s="6" t="s">
        <v>33</v>
      </c>
      <c r="F1341" s="6" t="s">
        <v>2074</v>
      </c>
      <c r="G1341" s="10">
        <v>2</v>
      </c>
      <c r="H1341" s="10">
        <v>1</v>
      </c>
      <c r="I1341" s="10">
        <v>1</v>
      </c>
      <c r="J1341" s="4" t="s">
        <v>30</v>
      </c>
      <c r="K1341" s="4">
        <v>37552</v>
      </c>
      <c r="L1341" s="4" t="s">
        <v>31</v>
      </c>
      <c r="M1341" s="6" t="s">
        <v>3249</v>
      </c>
      <c r="N1341" s="25" t="s">
        <v>33</v>
      </c>
      <c r="O1341" s="6" t="s">
        <v>20</v>
      </c>
      <c r="P1341" s="6">
        <v>0</v>
      </c>
      <c r="Q1341" s="32" t="s">
        <v>3260</v>
      </c>
      <c r="R1341" s="56" t="s">
        <v>3261</v>
      </c>
      <c r="S1341" s="17" t="s">
        <v>3262</v>
      </c>
    </row>
    <row r="1342" spans="1:19" ht="15.75" customHeight="1">
      <c r="A1342" s="10">
        <v>85</v>
      </c>
      <c r="B1342" s="10">
        <v>2023</v>
      </c>
      <c r="C1342" s="6" t="s">
        <v>102</v>
      </c>
      <c r="D1342" s="48">
        <v>45155</v>
      </c>
      <c r="E1342" s="6" t="s">
        <v>20</v>
      </c>
      <c r="F1342" s="6" t="s">
        <v>47</v>
      </c>
      <c r="G1342" s="10">
        <v>1</v>
      </c>
      <c r="H1342" s="10">
        <v>2</v>
      </c>
      <c r="I1342" s="10">
        <v>1</v>
      </c>
      <c r="J1342" s="4" t="s">
        <v>30</v>
      </c>
      <c r="K1342" s="4">
        <v>37567</v>
      </c>
      <c r="L1342" s="4" t="s">
        <v>31</v>
      </c>
      <c r="M1342" s="6" t="s">
        <v>3263</v>
      </c>
      <c r="N1342" s="25" t="s">
        <v>33</v>
      </c>
      <c r="O1342" s="6" t="s">
        <v>33</v>
      </c>
      <c r="P1342" s="6">
        <v>2</v>
      </c>
      <c r="Q1342" s="32" t="s">
        <v>3264</v>
      </c>
      <c r="R1342" s="56" t="s">
        <v>3265</v>
      </c>
      <c r="S1342" s="34" t="s">
        <v>3266</v>
      </c>
    </row>
    <row r="1343" spans="1:19" ht="15.75" customHeight="1">
      <c r="A1343" s="10">
        <v>85</v>
      </c>
      <c r="B1343" s="10">
        <v>2023</v>
      </c>
      <c r="C1343" s="6" t="s">
        <v>102</v>
      </c>
      <c r="D1343" s="48">
        <v>45155</v>
      </c>
      <c r="E1343" s="6" t="s">
        <v>20</v>
      </c>
      <c r="F1343" s="6" t="s">
        <v>47</v>
      </c>
      <c r="G1343" s="10">
        <v>1</v>
      </c>
      <c r="H1343" s="10">
        <v>2</v>
      </c>
      <c r="I1343" s="10">
        <v>2</v>
      </c>
      <c r="J1343" s="4" t="s">
        <v>30</v>
      </c>
      <c r="K1343" s="4">
        <v>37588</v>
      </c>
      <c r="L1343" s="4" t="s">
        <v>31</v>
      </c>
      <c r="M1343" s="6" t="s">
        <v>3267</v>
      </c>
      <c r="N1343" s="25" t="s">
        <v>33</v>
      </c>
      <c r="O1343" s="6" t="s">
        <v>23</v>
      </c>
      <c r="P1343" s="6" t="s">
        <v>23</v>
      </c>
      <c r="Q1343" s="9" t="s">
        <v>23</v>
      </c>
      <c r="R1343" s="54" t="s">
        <v>23</v>
      </c>
      <c r="S1343" s="17" t="s">
        <v>23</v>
      </c>
    </row>
    <row r="1344" spans="1:19" ht="15.75" customHeight="1">
      <c r="A1344" s="10">
        <v>86</v>
      </c>
      <c r="B1344" s="10">
        <v>2023</v>
      </c>
      <c r="C1344" s="6" t="s">
        <v>102</v>
      </c>
      <c r="D1344" s="48">
        <v>45155</v>
      </c>
      <c r="E1344" s="6" t="s">
        <v>20</v>
      </c>
      <c r="F1344" s="6" t="s">
        <v>45</v>
      </c>
      <c r="G1344" s="10">
        <v>1</v>
      </c>
      <c r="H1344" s="10">
        <v>1</v>
      </c>
      <c r="I1344" s="10">
        <v>1</v>
      </c>
      <c r="J1344" s="4" t="s">
        <v>71</v>
      </c>
      <c r="K1344" s="4">
        <v>37120</v>
      </c>
      <c r="L1344" s="4" t="s">
        <v>61</v>
      </c>
      <c r="M1344" s="6" t="s">
        <v>3268</v>
      </c>
      <c r="N1344" s="25" t="s">
        <v>20</v>
      </c>
      <c r="O1344" s="6" t="s">
        <v>33</v>
      </c>
      <c r="P1344" s="6">
        <v>5</v>
      </c>
      <c r="Q1344" s="32" t="s">
        <v>3269</v>
      </c>
      <c r="R1344" s="56" t="s">
        <v>3270</v>
      </c>
      <c r="S1344" s="34" t="s">
        <v>3271</v>
      </c>
    </row>
    <row r="1345" spans="1:19" ht="15.75" customHeight="1">
      <c r="A1345" s="10">
        <v>87</v>
      </c>
      <c r="B1345" s="10">
        <v>2023</v>
      </c>
      <c r="C1345" s="6" t="s">
        <v>1824</v>
      </c>
      <c r="D1345" s="48">
        <v>45160</v>
      </c>
      <c r="E1345" s="6" t="s">
        <v>33</v>
      </c>
      <c r="F1345" s="6" t="s">
        <v>1591</v>
      </c>
      <c r="G1345" s="10">
        <v>2</v>
      </c>
      <c r="H1345" s="10">
        <v>2</v>
      </c>
      <c r="I1345" s="10">
        <v>1</v>
      </c>
      <c r="J1345" s="4" t="s">
        <v>30</v>
      </c>
      <c r="K1345" s="4">
        <v>35552</v>
      </c>
      <c r="L1345" s="4" t="s">
        <v>61</v>
      </c>
      <c r="M1345" s="6" t="s">
        <v>3219</v>
      </c>
      <c r="N1345" s="25" t="s">
        <v>20</v>
      </c>
      <c r="O1345" s="6" t="s">
        <v>33</v>
      </c>
      <c r="P1345" s="6">
        <v>4</v>
      </c>
      <c r="Q1345" s="9" t="s">
        <v>3251</v>
      </c>
      <c r="R1345" s="56" t="s">
        <v>3272</v>
      </c>
      <c r="S1345" s="150" t="s">
        <v>5533</v>
      </c>
    </row>
    <row r="1346" spans="1:19" ht="15.75" customHeight="1">
      <c r="A1346" s="10">
        <v>87</v>
      </c>
      <c r="B1346" s="10">
        <v>2023</v>
      </c>
      <c r="C1346" s="6" t="s">
        <v>1824</v>
      </c>
      <c r="D1346" s="48">
        <v>45160</v>
      </c>
      <c r="E1346" s="6" t="s">
        <v>33</v>
      </c>
      <c r="F1346" s="6" t="s">
        <v>1591</v>
      </c>
      <c r="G1346" s="10">
        <v>2</v>
      </c>
      <c r="H1346" s="10">
        <v>2</v>
      </c>
      <c r="I1346" s="10">
        <v>2</v>
      </c>
      <c r="J1346" s="4" t="s">
        <v>30</v>
      </c>
      <c r="K1346" s="4">
        <v>36875</v>
      </c>
      <c r="L1346" s="4" t="s">
        <v>61</v>
      </c>
      <c r="M1346" s="6" t="s">
        <v>3223</v>
      </c>
      <c r="N1346" s="25" t="s">
        <v>20</v>
      </c>
      <c r="O1346" s="6" t="s">
        <v>23</v>
      </c>
      <c r="P1346" s="6" t="s">
        <v>23</v>
      </c>
      <c r="Q1346" s="9" t="s">
        <v>23</v>
      </c>
      <c r="R1346" s="54" t="s">
        <v>23</v>
      </c>
      <c r="S1346" s="17" t="s">
        <v>23</v>
      </c>
    </row>
    <row r="1347" spans="1:19" ht="15.75" customHeight="1">
      <c r="A1347" s="10">
        <v>88</v>
      </c>
      <c r="B1347" s="10">
        <v>2023</v>
      </c>
      <c r="C1347" s="6" t="s">
        <v>102</v>
      </c>
      <c r="D1347" s="48">
        <v>45160</v>
      </c>
      <c r="E1347" s="6" t="s">
        <v>20</v>
      </c>
      <c r="F1347" s="6" t="s">
        <v>37</v>
      </c>
      <c r="G1347" s="10">
        <v>1</v>
      </c>
      <c r="H1347" s="10">
        <v>1</v>
      </c>
      <c r="I1347" s="10">
        <v>1</v>
      </c>
      <c r="J1347" s="4" t="s">
        <v>64</v>
      </c>
      <c r="K1347" s="4">
        <v>37685</v>
      </c>
      <c r="L1347" s="4" t="s">
        <v>31</v>
      </c>
      <c r="M1347" s="6" t="s">
        <v>3273</v>
      </c>
      <c r="N1347" s="25" t="s">
        <v>33</v>
      </c>
      <c r="O1347" s="6" t="s">
        <v>20</v>
      </c>
      <c r="P1347" s="6">
        <v>0</v>
      </c>
      <c r="Q1347" s="32" t="s">
        <v>3274</v>
      </c>
      <c r="R1347" s="56" t="s">
        <v>3275</v>
      </c>
      <c r="S1347" s="34" t="s">
        <v>3276</v>
      </c>
    </row>
    <row r="1348" spans="1:19" ht="15.75" customHeight="1">
      <c r="A1348" s="10">
        <v>89</v>
      </c>
      <c r="B1348" s="10">
        <v>2023</v>
      </c>
      <c r="C1348" s="6" t="s">
        <v>102</v>
      </c>
      <c r="D1348" s="48">
        <v>45160</v>
      </c>
      <c r="E1348" s="6" t="s">
        <v>20</v>
      </c>
      <c r="F1348" s="6" t="s">
        <v>41</v>
      </c>
      <c r="G1348" s="10">
        <v>1</v>
      </c>
      <c r="H1348" s="10">
        <v>1</v>
      </c>
      <c r="I1348" s="10">
        <v>1</v>
      </c>
      <c r="J1348" s="4" t="s">
        <v>30</v>
      </c>
      <c r="K1348" s="4">
        <v>37541</v>
      </c>
      <c r="L1348" s="4" t="s">
        <v>31</v>
      </c>
      <c r="M1348" s="6" t="s">
        <v>3277</v>
      </c>
      <c r="N1348" s="25" t="s">
        <v>20</v>
      </c>
      <c r="O1348" s="6" t="s">
        <v>20</v>
      </c>
      <c r="P1348" s="6">
        <v>0</v>
      </c>
      <c r="Q1348" s="9" t="s">
        <v>3251</v>
      </c>
      <c r="R1348" s="56" t="s">
        <v>3278</v>
      </c>
      <c r="S1348" s="150" t="s">
        <v>5534</v>
      </c>
    </row>
    <row r="1349" spans="1:19" ht="15.75" customHeight="1">
      <c r="A1349" s="10">
        <v>90</v>
      </c>
      <c r="B1349" s="10">
        <v>2023</v>
      </c>
      <c r="C1349" s="6" t="s">
        <v>102</v>
      </c>
      <c r="D1349" s="48">
        <v>45161</v>
      </c>
      <c r="E1349" s="6" t="s">
        <v>20</v>
      </c>
      <c r="F1349" s="6" t="s">
        <v>53</v>
      </c>
      <c r="G1349" s="10">
        <v>1</v>
      </c>
      <c r="H1349" s="10">
        <v>6</v>
      </c>
      <c r="I1349" s="10">
        <v>1</v>
      </c>
      <c r="J1349" s="4" t="s">
        <v>30</v>
      </c>
      <c r="K1349" s="4">
        <v>37515</v>
      </c>
      <c r="L1349" s="4" t="s">
        <v>31</v>
      </c>
      <c r="M1349" s="6" t="s">
        <v>3215</v>
      </c>
      <c r="N1349" s="25" t="s">
        <v>20</v>
      </c>
      <c r="O1349" s="6" t="s">
        <v>20</v>
      </c>
      <c r="P1349" s="6">
        <v>0</v>
      </c>
      <c r="Q1349" s="9" t="s">
        <v>3251</v>
      </c>
      <c r="R1349" s="56" t="s">
        <v>3279</v>
      </c>
      <c r="S1349" s="150" t="s">
        <v>5535</v>
      </c>
    </row>
    <row r="1350" spans="1:19" ht="15.75" customHeight="1">
      <c r="A1350" s="10">
        <v>90</v>
      </c>
      <c r="B1350" s="10">
        <v>2023</v>
      </c>
      <c r="C1350" s="6" t="s">
        <v>102</v>
      </c>
      <c r="D1350" s="48">
        <v>45161</v>
      </c>
      <c r="E1350" s="6" t="s">
        <v>20</v>
      </c>
      <c r="F1350" s="6" t="s">
        <v>53</v>
      </c>
      <c r="G1350" s="10">
        <v>1</v>
      </c>
      <c r="H1350" s="10">
        <v>6</v>
      </c>
      <c r="I1350" s="10">
        <v>2</v>
      </c>
      <c r="J1350" s="4" t="s">
        <v>30</v>
      </c>
      <c r="K1350" s="4">
        <v>37516</v>
      </c>
      <c r="L1350" s="4" t="s">
        <v>31</v>
      </c>
      <c r="M1350" s="6" t="s">
        <v>3236</v>
      </c>
      <c r="N1350" s="25" t="s">
        <v>20</v>
      </c>
      <c r="O1350" s="6" t="s">
        <v>23</v>
      </c>
      <c r="P1350" s="6" t="s">
        <v>23</v>
      </c>
      <c r="Q1350" s="9" t="s">
        <v>23</v>
      </c>
      <c r="R1350" s="54" t="s">
        <v>23</v>
      </c>
      <c r="S1350" s="17" t="s">
        <v>23</v>
      </c>
    </row>
    <row r="1351" spans="1:19" ht="15.75" customHeight="1">
      <c r="A1351" s="10">
        <v>90</v>
      </c>
      <c r="B1351" s="10">
        <v>2023</v>
      </c>
      <c r="C1351" s="6" t="s">
        <v>102</v>
      </c>
      <c r="D1351" s="48">
        <v>45161</v>
      </c>
      <c r="E1351" s="6" t="s">
        <v>20</v>
      </c>
      <c r="F1351" s="6" t="s">
        <v>53</v>
      </c>
      <c r="G1351" s="10">
        <v>1</v>
      </c>
      <c r="H1351" s="10">
        <v>6</v>
      </c>
      <c r="I1351" s="10">
        <v>3</v>
      </c>
      <c r="J1351" s="4" t="s">
        <v>30</v>
      </c>
      <c r="K1351" s="4">
        <v>37517</v>
      </c>
      <c r="L1351" s="4" t="s">
        <v>31</v>
      </c>
      <c r="M1351" s="6" t="s">
        <v>3240</v>
      </c>
      <c r="N1351" s="25" t="s">
        <v>20</v>
      </c>
      <c r="O1351" s="6" t="s">
        <v>23</v>
      </c>
      <c r="P1351" s="6" t="s">
        <v>23</v>
      </c>
      <c r="Q1351" s="9" t="s">
        <v>23</v>
      </c>
      <c r="R1351" s="54" t="s">
        <v>23</v>
      </c>
      <c r="S1351" s="17" t="s">
        <v>23</v>
      </c>
    </row>
    <row r="1352" spans="1:19" ht="15.75" customHeight="1">
      <c r="A1352" s="10">
        <v>90</v>
      </c>
      <c r="B1352" s="10">
        <v>2023</v>
      </c>
      <c r="C1352" s="6" t="s">
        <v>102</v>
      </c>
      <c r="D1352" s="48">
        <v>45161</v>
      </c>
      <c r="E1352" s="6" t="s">
        <v>20</v>
      </c>
      <c r="F1352" s="6" t="s">
        <v>53</v>
      </c>
      <c r="G1352" s="10">
        <v>1</v>
      </c>
      <c r="H1352" s="10">
        <v>6</v>
      </c>
      <c r="I1352" s="10">
        <v>4</v>
      </c>
      <c r="J1352" s="4" t="s">
        <v>30</v>
      </c>
      <c r="K1352" s="4">
        <v>37544</v>
      </c>
      <c r="L1352" s="4" t="s">
        <v>31</v>
      </c>
      <c r="M1352" s="6" t="s">
        <v>3241</v>
      </c>
      <c r="N1352" s="25" t="s">
        <v>20</v>
      </c>
      <c r="O1352" s="6" t="s">
        <v>23</v>
      </c>
      <c r="P1352" s="6" t="s">
        <v>23</v>
      </c>
      <c r="Q1352" s="9" t="s">
        <v>23</v>
      </c>
      <c r="R1352" s="54" t="s">
        <v>23</v>
      </c>
      <c r="S1352" s="17" t="s">
        <v>23</v>
      </c>
    </row>
    <row r="1353" spans="1:19" ht="15.75" customHeight="1">
      <c r="A1353" s="10">
        <v>90</v>
      </c>
      <c r="B1353" s="10">
        <v>2023</v>
      </c>
      <c r="C1353" s="6" t="s">
        <v>102</v>
      </c>
      <c r="D1353" s="48">
        <v>45161</v>
      </c>
      <c r="E1353" s="6" t="s">
        <v>20</v>
      </c>
      <c r="F1353" s="6" t="s">
        <v>53</v>
      </c>
      <c r="G1353" s="10">
        <v>1</v>
      </c>
      <c r="H1353" s="10">
        <v>6</v>
      </c>
      <c r="I1353" s="10">
        <v>5</v>
      </c>
      <c r="J1353" s="4" t="s">
        <v>30</v>
      </c>
      <c r="K1353" s="4">
        <v>37567</v>
      </c>
      <c r="L1353" s="4" t="s">
        <v>31</v>
      </c>
      <c r="M1353" s="6" t="s">
        <v>3263</v>
      </c>
      <c r="N1353" s="25" t="s">
        <v>20</v>
      </c>
      <c r="O1353" s="6" t="s">
        <v>23</v>
      </c>
      <c r="P1353" s="6" t="s">
        <v>23</v>
      </c>
      <c r="Q1353" s="9" t="s">
        <v>23</v>
      </c>
      <c r="R1353" s="54" t="s">
        <v>23</v>
      </c>
      <c r="S1353" s="17" t="s">
        <v>23</v>
      </c>
    </row>
    <row r="1354" spans="1:19" ht="15.75" customHeight="1">
      <c r="A1354" s="10">
        <v>90</v>
      </c>
      <c r="B1354" s="10">
        <v>2023</v>
      </c>
      <c r="C1354" s="6" t="s">
        <v>102</v>
      </c>
      <c r="D1354" s="48">
        <v>45161</v>
      </c>
      <c r="E1354" s="6" t="s">
        <v>20</v>
      </c>
      <c r="F1354" s="6" t="s">
        <v>53</v>
      </c>
      <c r="G1354" s="10">
        <v>1</v>
      </c>
      <c r="H1354" s="10">
        <v>6</v>
      </c>
      <c r="I1354" s="10">
        <v>6</v>
      </c>
      <c r="J1354" s="4" t="s">
        <v>30</v>
      </c>
      <c r="K1354" s="4">
        <v>37588</v>
      </c>
      <c r="L1354" s="4" t="s">
        <v>31</v>
      </c>
      <c r="M1354" s="6" t="s">
        <v>3267</v>
      </c>
      <c r="N1354" s="25" t="s">
        <v>20</v>
      </c>
      <c r="O1354" s="6" t="s">
        <v>23</v>
      </c>
      <c r="P1354" s="6" t="s">
        <v>23</v>
      </c>
      <c r="Q1354" s="9" t="s">
        <v>23</v>
      </c>
      <c r="R1354" s="54" t="s">
        <v>23</v>
      </c>
      <c r="S1354" s="17" t="s">
        <v>23</v>
      </c>
    </row>
    <row r="1355" spans="1:19" ht="15.75" customHeight="1">
      <c r="A1355" s="10">
        <v>91</v>
      </c>
      <c r="B1355" s="10">
        <v>2023</v>
      </c>
      <c r="C1355" s="6" t="s">
        <v>102</v>
      </c>
      <c r="D1355" s="48">
        <v>45162</v>
      </c>
      <c r="E1355" s="6" t="s">
        <v>20</v>
      </c>
      <c r="F1355" s="6" t="s">
        <v>28</v>
      </c>
      <c r="G1355" s="10">
        <v>1</v>
      </c>
      <c r="H1355" s="10">
        <v>1</v>
      </c>
      <c r="I1355" s="10">
        <v>1</v>
      </c>
      <c r="J1355" s="4" t="s">
        <v>30</v>
      </c>
      <c r="K1355" s="4">
        <v>35728</v>
      </c>
      <c r="L1355" s="4" t="s">
        <v>61</v>
      </c>
      <c r="M1355" s="6" t="s">
        <v>3280</v>
      </c>
      <c r="N1355" s="25" t="s">
        <v>23</v>
      </c>
      <c r="O1355" s="6" t="s">
        <v>33</v>
      </c>
      <c r="P1355" s="6">
        <v>1</v>
      </c>
      <c r="Q1355" s="9" t="s">
        <v>3251</v>
      </c>
      <c r="R1355" s="56" t="s">
        <v>3281</v>
      </c>
      <c r="S1355" s="150" t="s">
        <v>5536</v>
      </c>
    </row>
  </sheetData>
  <customSheetViews>
    <customSheetView guid="{A360BA8A-42D3-4D4A-95D0-EAE4FB2FBB0C}" filter="1" showAutoFilter="1">
      <pageMargins left="0.7" right="0.7" top="0.75" bottom="0.75" header="0.3" footer="0.3"/>
      <autoFilter ref="A1:S1272"/>
    </customSheetView>
  </customSheetViews>
  <conditionalFormatting sqref="Q2:Q1355 R902:R1355 S1043 S1232 S1236">
    <cfRule type="expression" dxfId="11" priority="1">
      <formula>AND($Q2&lt;&gt;"NA",$P2&lt;&gt;"NA",$Q2&lt;&gt;"COMPLETAR")</formula>
    </cfRule>
  </conditionalFormatting>
  <conditionalFormatting sqref="S2:S1355 Q1232">
    <cfRule type="expression" dxfId="10" priority="2">
      <formula>AND(S2="NA",$P2="NA")</formula>
    </cfRule>
  </conditionalFormatting>
  <conditionalFormatting sqref="Q2:Q1355 R902:R1355 S1043 S1232 S1236">
    <cfRule type="expression" dxfId="9" priority="3">
      <formula>AND($Q2="NA",$P2="NA")</formula>
    </cfRule>
  </conditionalFormatting>
  <conditionalFormatting sqref="S2:S1355 Q1232">
    <cfRule type="expression" dxfId="8" priority="4">
      <formula>AND((LEN($S2)-LEN(SUBSTITUTE($S2, "https", "" ))) = 5 * ((LEN($F2)-LEN(SUBSTITUTE($F2, ";", "" )))+1),NOT($S2="NA"))</formula>
    </cfRule>
  </conditionalFormatting>
  <conditionalFormatting sqref="R2:R1355 S1236">
    <cfRule type="expression" dxfId="7" priority="5">
      <formula>AND($P2="NA",$R2="NA")</formula>
    </cfRule>
  </conditionalFormatting>
  <conditionalFormatting sqref="R2:R1355 S1236">
    <cfRule type="expression" dxfId="6" priority="6">
      <formula>AND($P2&lt;&gt;"NA",LEFT($R2,5)="https")</formula>
    </cfRule>
  </conditionalFormatting>
  <hyperlinks>
    <hyperlink ref="S18" r:id="rId1"/>
    <hyperlink ref="Q40" r:id="rId2"/>
    <hyperlink ref="R40" r:id="rId3"/>
    <hyperlink ref="Q42" r:id="rId4"/>
    <hyperlink ref="R42" r:id="rId5"/>
    <hyperlink ref="Q43" r:id="rId6"/>
    <hyperlink ref="R43" r:id="rId7"/>
    <hyperlink ref="Q44" r:id="rId8"/>
    <hyperlink ref="R44" r:id="rId9"/>
    <hyperlink ref="Q45" r:id="rId10"/>
    <hyperlink ref="R45" r:id="rId11"/>
    <hyperlink ref="Q46" r:id="rId12"/>
    <hyperlink ref="R46" r:id="rId13"/>
    <hyperlink ref="Q47" r:id="rId14"/>
    <hyperlink ref="R47" r:id="rId15"/>
    <hyperlink ref="Q48" r:id="rId16"/>
    <hyperlink ref="R48" r:id="rId17"/>
    <hyperlink ref="Q49" r:id="rId18"/>
    <hyperlink ref="R49" r:id="rId19"/>
    <hyperlink ref="Q50" r:id="rId20"/>
    <hyperlink ref="R50" r:id="rId21"/>
    <hyperlink ref="S50" r:id="rId22"/>
    <hyperlink ref="Q51" r:id="rId23"/>
    <hyperlink ref="Q53" r:id="rId24"/>
    <hyperlink ref="R55" r:id="rId25"/>
    <hyperlink ref="R56" r:id="rId26"/>
    <hyperlink ref="Q58" r:id="rId27"/>
    <hyperlink ref="R59" r:id="rId28"/>
    <hyperlink ref="Q60" r:id="rId29"/>
    <hyperlink ref="R60" r:id="rId30"/>
    <hyperlink ref="Q61" r:id="rId31"/>
    <hyperlink ref="R61" r:id="rId32"/>
    <hyperlink ref="Q63" r:id="rId33"/>
    <hyperlink ref="Q64" r:id="rId34"/>
    <hyperlink ref="R64" r:id="rId35"/>
    <hyperlink ref="Q67" r:id="rId36"/>
    <hyperlink ref="Q69" r:id="rId37"/>
    <hyperlink ref="R69" r:id="rId38"/>
    <hyperlink ref="Q70" r:id="rId39"/>
    <hyperlink ref="R70" r:id="rId40"/>
    <hyperlink ref="Q71" r:id="rId41"/>
    <hyperlink ref="R71" r:id="rId42"/>
    <hyperlink ref="Q74" r:id="rId43"/>
    <hyperlink ref="R74" r:id="rId44"/>
    <hyperlink ref="Q75" r:id="rId45"/>
    <hyperlink ref="R75" r:id="rId46"/>
    <hyperlink ref="Q76" r:id="rId47"/>
    <hyperlink ref="R76" r:id="rId48"/>
    <hyperlink ref="Q78" r:id="rId49"/>
    <hyperlink ref="Q79" r:id="rId50"/>
    <hyperlink ref="R79" r:id="rId51"/>
    <hyperlink ref="Q80" r:id="rId52"/>
    <hyperlink ref="Q81" r:id="rId53"/>
    <hyperlink ref="Q83" r:id="rId54"/>
    <hyperlink ref="R83" r:id="rId55"/>
    <hyperlink ref="Q84" r:id="rId56"/>
    <hyperlink ref="Q86" r:id="rId57"/>
    <hyperlink ref="Q88" r:id="rId58"/>
    <hyperlink ref="Q89" r:id="rId59"/>
    <hyperlink ref="R89" r:id="rId60"/>
    <hyperlink ref="S89" r:id="rId61"/>
    <hyperlink ref="Q93" r:id="rId62"/>
    <hyperlink ref="Q97" r:id="rId63"/>
    <hyperlink ref="R97" r:id="rId64"/>
    <hyperlink ref="Q98" r:id="rId65"/>
    <hyperlink ref="R98" r:id="rId66"/>
    <hyperlink ref="Q99" r:id="rId67"/>
    <hyperlink ref="R99" r:id="rId68"/>
    <hyperlink ref="Q100" r:id="rId69"/>
    <hyperlink ref="R100" r:id="rId70"/>
    <hyperlink ref="Q101" r:id="rId71"/>
    <hyperlink ref="R101" r:id="rId72"/>
    <hyperlink ref="Q102" r:id="rId73"/>
    <hyperlink ref="R102" r:id="rId74"/>
    <hyperlink ref="Q103" r:id="rId75"/>
    <hyperlink ref="Q105" r:id="rId76"/>
    <hyperlink ref="Q106" r:id="rId77"/>
    <hyperlink ref="R106" r:id="rId78"/>
    <hyperlink ref="Q107" r:id="rId79"/>
    <hyperlink ref="R107" r:id="rId80"/>
    <hyperlink ref="Q108" r:id="rId81"/>
    <hyperlink ref="Q109" r:id="rId82"/>
    <hyperlink ref="R109" r:id="rId83"/>
    <hyperlink ref="Q111" r:id="rId84"/>
    <hyperlink ref="R111" r:id="rId85"/>
    <hyperlink ref="Q112" r:id="rId86"/>
    <hyperlink ref="R112" r:id="rId87"/>
    <hyperlink ref="Q113" r:id="rId88"/>
    <hyperlink ref="R113" r:id="rId89"/>
    <hyperlink ref="Q114" r:id="rId90"/>
    <hyperlink ref="Q115" r:id="rId91"/>
    <hyperlink ref="R115" r:id="rId92"/>
    <hyperlink ref="Q116" r:id="rId93"/>
    <hyperlink ref="R116" r:id="rId94"/>
    <hyperlink ref="Q121" r:id="rId95"/>
    <hyperlink ref="R121" r:id="rId96"/>
    <hyperlink ref="Q122" r:id="rId97"/>
    <hyperlink ref="R122" r:id="rId98"/>
    <hyperlink ref="S122" r:id="rId99"/>
    <hyperlink ref="Q123" r:id="rId100"/>
    <hyperlink ref="Q124" r:id="rId101"/>
    <hyperlink ref="R124" r:id="rId102"/>
    <hyperlink ref="Q125" r:id="rId103"/>
    <hyperlink ref="R125" r:id="rId104"/>
    <hyperlink ref="Q126" r:id="rId105"/>
    <hyperlink ref="R126" r:id="rId106"/>
    <hyperlink ref="R127" r:id="rId107"/>
    <hyperlink ref="Q128" r:id="rId108"/>
    <hyperlink ref="R128" r:id="rId109"/>
    <hyperlink ref="Q131" r:id="rId110"/>
    <hyperlink ref="Q134" r:id="rId111"/>
    <hyperlink ref="R134" r:id="rId112"/>
    <hyperlink ref="Q135" r:id="rId113"/>
    <hyperlink ref="R135" r:id="rId114"/>
    <hyperlink ref="R138" r:id="rId115"/>
    <hyperlink ref="Q139" r:id="rId116"/>
    <hyperlink ref="R139" r:id="rId117"/>
    <hyperlink ref="Q140" r:id="rId118"/>
    <hyperlink ref="R140" r:id="rId119"/>
    <hyperlink ref="Q141" r:id="rId120"/>
    <hyperlink ref="Q142" r:id="rId121"/>
    <hyperlink ref="R142" r:id="rId122"/>
    <hyperlink ref="Q143" r:id="rId123"/>
    <hyperlink ref="R143" r:id="rId124"/>
    <hyperlink ref="Q148" r:id="rId125"/>
    <hyperlink ref="R148" r:id="rId126"/>
    <hyperlink ref="Q149" r:id="rId127"/>
    <hyperlink ref="R149" r:id="rId128"/>
    <hyperlink ref="Q150" r:id="rId129"/>
    <hyperlink ref="R150" r:id="rId130"/>
    <hyperlink ref="Q151" r:id="rId131"/>
    <hyperlink ref="R151" r:id="rId132"/>
    <hyperlink ref="Q152" r:id="rId133"/>
    <hyperlink ref="R152" r:id="rId134"/>
    <hyperlink ref="Q155" r:id="rId135"/>
    <hyperlink ref="R155" r:id="rId136"/>
    <hyperlink ref="Q156" r:id="rId137"/>
    <hyperlink ref="Q157" r:id="rId138"/>
    <hyperlink ref="R157" r:id="rId139"/>
    <hyperlink ref="Q158" r:id="rId140"/>
    <hyperlink ref="R158" r:id="rId141"/>
    <hyperlink ref="Q159" r:id="rId142"/>
    <hyperlink ref="R159" r:id="rId143"/>
    <hyperlink ref="Q162" r:id="rId144"/>
    <hyperlink ref="R162" r:id="rId145"/>
    <hyperlink ref="Q163" r:id="rId146"/>
    <hyperlink ref="R163" r:id="rId147"/>
    <hyperlink ref="Q164" r:id="rId148"/>
    <hyperlink ref="R164" r:id="rId149"/>
    <hyperlink ref="Q165" r:id="rId150"/>
    <hyperlink ref="Q167" r:id="rId151"/>
    <hyperlink ref="Q168" r:id="rId152"/>
    <hyperlink ref="Q169" r:id="rId153"/>
    <hyperlink ref="Q170" r:id="rId154"/>
    <hyperlink ref="Q171" r:id="rId155"/>
    <hyperlink ref="R171" r:id="rId156"/>
    <hyperlink ref="Q174" r:id="rId157"/>
    <hyperlink ref="R174" r:id="rId158"/>
    <hyperlink ref="Q175" r:id="rId159"/>
    <hyperlink ref="Q176" r:id="rId160"/>
    <hyperlink ref="R176" r:id="rId161"/>
    <hyperlink ref="Q177" r:id="rId162"/>
    <hyperlink ref="R177" r:id="rId163"/>
    <hyperlink ref="Q178" r:id="rId164"/>
    <hyperlink ref="Q179" r:id="rId165"/>
    <hyperlink ref="R179" r:id="rId166"/>
    <hyperlink ref="Q180" r:id="rId167"/>
    <hyperlink ref="R180" r:id="rId168"/>
    <hyperlink ref="Q181" r:id="rId169"/>
    <hyperlink ref="R181" r:id="rId170"/>
    <hyperlink ref="Q182" r:id="rId171"/>
    <hyperlink ref="Q183" r:id="rId172"/>
    <hyperlink ref="R183" r:id="rId173"/>
    <hyperlink ref="Q184" r:id="rId174"/>
    <hyperlink ref="R184" r:id="rId175"/>
    <hyperlink ref="Q185" r:id="rId176"/>
    <hyperlink ref="Q186" r:id="rId177"/>
    <hyperlink ref="Q187" r:id="rId178"/>
    <hyperlink ref="R187" r:id="rId179"/>
    <hyperlink ref="Q188" r:id="rId180"/>
    <hyperlink ref="R188" r:id="rId181"/>
    <hyperlink ref="Q189" r:id="rId182"/>
    <hyperlink ref="R189" r:id="rId183"/>
    <hyperlink ref="Q190" r:id="rId184"/>
    <hyperlink ref="R190" r:id="rId185"/>
    <hyperlink ref="Q191" r:id="rId186"/>
    <hyperlink ref="R191" r:id="rId187"/>
    <hyperlink ref="S191" r:id="rId188"/>
    <hyperlink ref="Q192" r:id="rId189"/>
    <hyperlink ref="R192" r:id="rId190"/>
    <hyperlink ref="Q193" r:id="rId191"/>
    <hyperlink ref="R193" r:id="rId192"/>
    <hyperlink ref="Q195" r:id="rId193"/>
    <hyperlink ref="R195" r:id="rId194"/>
    <hyperlink ref="Q196" r:id="rId195"/>
    <hyperlink ref="R196" r:id="rId196"/>
    <hyperlink ref="Q197" r:id="rId197"/>
    <hyperlink ref="R197" r:id="rId198"/>
    <hyperlink ref="Q198" r:id="rId199"/>
    <hyperlink ref="R198" r:id="rId200"/>
    <hyperlink ref="Q199" r:id="rId201"/>
    <hyperlink ref="Q200" r:id="rId202"/>
    <hyperlink ref="R200" r:id="rId203"/>
    <hyperlink ref="Q201" r:id="rId204"/>
    <hyperlink ref="R201" r:id="rId205"/>
    <hyperlink ref="Q204" r:id="rId206"/>
    <hyperlink ref="Q205" r:id="rId207"/>
    <hyperlink ref="R205" r:id="rId208"/>
    <hyperlink ref="Q206" r:id="rId209"/>
    <hyperlink ref="Q207" r:id="rId210"/>
    <hyperlink ref="Q210" r:id="rId211"/>
    <hyperlink ref="R210" r:id="rId212"/>
    <hyperlink ref="Q211" r:id="rId213"/>
    <hyperlink ref="R211" r:id="rId214"/>
    <hyperlink ref="Q212" r:id="rId215"/>
    <hyperlink ref="Q213" r:id="rId216"/>
    <hyperlink ref="R213" r:id="rId217"/>
    <hyperlink ref="Q214" r:id="rId218"/>
    <hyperlink ref="S214" r:id="rId219"/>
    <hyperlink ref="Q215" r:id="rId220"/>
    <hyperlink ref="Q216" r:id="rId221"/>
    <hyperlink ref="Q217" r:id="rId222"/>
    <hyperlink ref="R217" r:id="rId223"/>
    <hyperlink ref="Q218" r:id="rId224"/>
    <hyperlink ref="R218" r:id="rId225"/>
    <hyperlink ref="Q219" r:id="rId226"/>
    <hyperlink ref="R219" r:id="rId227"/>
    <hyperlink ref="Q220" r:id="rId228"/>
    <hyperlink ref="R220" r:id="rId229"/>
    <hyperlink ref="Q221" r:id="rId230"/>
    <hyperlink ref="Q222" r:id="rId231"/>
    <hyperlink ref="Q223" r:id="rId232"/>
    <hyperlink ref="R223" r:id="rId233"/>
    <hyperlink ref="Q224" r:id="rId234"/>
    <hyperlink ref="R224" r:id="rId235"/>
    <hyperlink ref="Q225" r:id="rId236"/>
    <hyperlink ref="R225" r:id="rId237"/>
    <hyperlink ref="Q226" r:id="rId238"/>
    <hyperlink ref="Q227" r:id="rId239"/>
    <hyperlink ref="Q228" r:id="rId240"/>
    <hyperlink ref="R228" r:id="rId241"/>
    <hyperlink ref="Q229" r:id="rId242"/>
    <hyperlink ref="Q230" r:id="rId243"/>
    <hyperlink ref="Q231" r:id="rId244"/>
    <hyperlink ref="R231" r:id="rId245"/>
    <hyperlink ref="Q232" r:id="rId246"/>
    <hyperlink ref="Q233" r:id="rId247"/>
    <hyperlink ref="R233" r:id="rId248"/>
    <hyperlink ref="S233" r:id="rId249"/>
    <hyperlink ref="Q234" r:id="rId250"/>
    <hyperlink ref="R234" r:id="rId251"/>
    <hyperlink ref="Q235" r:id="rId252"/>
    <hyperlink ref="R235" r:id="rId253"/>
    <hyperlink ref="Q236" r:id="rId254"/>
    <hyperlink ref="R236" r:id="rId255"/>
    <hyperlink ref="Q239" r:id="rId256"/>
    <hyperlink ref="R239" r:id="rId257"/>
    <hyperlink ref="Q240" r:id="rId258"/>
    <hyperlink ref="R240" r:id="rId259"/>
    <hyperlink ref="Q241" r:id="rId260"/>
    <hyperlink ref="R241" r:id="rId261"/>
    <hyperlink ref="Q242" r:id="rId262"/>
    <hyperlink ref="R242" r:id="rId263"/>
    <hyperlink ref="Q243" r:id="rId264"/>
    <hyperlink ref="R243" r:id="rId265"/>
    <hyperlink ref="Q244" r:id="rId266"/>
    <hyperlink ref="Q247" r:id="rId267"/>
    <hyperlink ref="R247" r:id="rId268"/>
    <hyperlink ref="Q251" r:id="rId269"/>
    <hyperlink ref="Q252" r:id="rId270"/>
    <hyperlink ref="R252" r:id="rId271"/>
    <hyperlink ref="Q253" r:id="rId272"/>
    <hyperlink ref="Q254" r:id="rId273"/>
    <hyperlink ref="R254" r:id="rId274"/>
    <hyperlink ref="Q255" r:id="rId275"/>
    <hyperlink ref="R255" r:id="rId276"/>
    <hyperlink ref="Q256" r:id="rId277"/>
    <hyperlink ref="R256" r:id="rId278"/>
    <hyperlink ref="S256" r:id="rId279"/>
    <hyperlink ref="Q257" r:id="rId280"/>
    <hyperlink ref="R257" r:id="rId281"/>
    <hyperlink ref="Q259" r:id="rId282"/>
    <hyperlink ref="R259" r:id="rId283"/>
    <hyperlink ref="Q262" r:id="rId284"/>
    <hyperlink ref="Q263" r:id="rId285"/>
    <hyperlink ref="R263" r:id="rId286"/>
    <hyperlink ref="S263" r:id="rId287"/>
    <hyperlink ref="Q264" r:id="rId288"/>
    <hyperlink ref="R264" r:id="rId289"/>
    <hyperlink ref="Q265" r:id="rId290"/>
    <hyperlink ref="R265" r:id="rId291"/>
    <hyperlink ref="Q268" r:id="rId292"/>
    <hyperlink ref="R268" r:id="rId293"/>
    <hyperlink ref="Q270" r:id="rId294"/>
    <hyperlink ref="R270" r:id="rId295"/>
    <hyperlink ref="Q273" r:id="rId296"/>
    <hyperlink ref="R273" r:id="rId297"/>
    <hyperlink ref="Q276" r:id="rId298"/>
    <hyperlink ref="R276" r:id="rId299"/>
    <hyperlink ref="Q279" r:id="rId300"/>
    <hyperlink ref="R279" r:id="rId301"/>
    <hyperlink ref="Q281" r:id="rId302"/>
    <hyperlink ref="R281" r:id="rId303"/>
    <hyperlink ref="Q284" r:id="rId304"/>
    <hyperlink ref="R284" r:id="rId305"/>
    <hyperlink ref="Q285" r:id="rId306"/>
    <hyperlink ref="R285" r:id="rId307"/>
    <hyperlink ref="Q287" r:id="rId308"/>
    <hyperlink ref="R287" r:id="rId309"/>
    <hyperlink ref="Q289" r:id="rId310"/>
    <hyperlink ref="Q291" r:id="rId311"/>
    <hyperlink ref="R291" r:id="rId312"/>
    <hyperlink ref="Q292" r:id="rId313"/>
    <hyperlink ref="Q294" r:id="rId314"/>
    <hyperlink ref="Q297" r:id="rId315"/>
    <hyperlink ref="R297" r:id="rId316"/>
    <hyperlink ref="Q298" r:id="rId317"/>
    <hyperlink ref="R298" r:id="rId318"/>
    <hyperlink ref="Q300" r:id="rId319"/>
    <hyperlink ref="R300" r:id="rId320"/>
    <hyperlink ref="Q303" r:id="rId321"/>
    <hyperlink ref="Q305" r:id="rId322"/>
    <hyperlink ref="R305" r:id="rId323"/>
    <hyperlink ref="Q306" r:id="rId324"/>
    <hyperlink ref="R306" r:id="rId325"/>
    <hyperlink ref="Q307" r:id="rId326"/>
    <hyperlink ref="Q309" r:id="rId327"/>
    <hyperlink ref="R309" r:id="rId328"/>
    <hyperlink ref="Q311" r:id="rId329"/>
    <hyperlink ref="Q312" r:id="rId330"/>
    <hyperlink ref="R312" r:id="rId331"/>
    <hyperlink ref="Q313" r:id="rId332"/>
    <hyperlink ref="Q315" r:id="rId333"/>
    <hyperlink ref="R318" r:id="rId334"/>
    <hyperlink ref="S318" r:id="rId335"/>
    <hyperlink ref="Q320" r:id="rId336"/>
    <hyperlink ref="R320" r:id="rId337"/>
    <hyperlink ref="S320" r:id="rId338"/>
    <hyperlink ref="Q321" r:id="rId339"/>
    <hyperlink ref="R321" r:id="rId340"/>
    <hyperlink ref="S321" r:id="rId341"/>
    <hyperlink ref="Q322" r:id="rId342"/>
    <hyperlink ref="R322" r:id="rId343"/>
    <hyperlink ref="Q324" r:id="rId344"/>
    <hyperlink ref="R324" r:id="rId345"/>
    <hyperlink ref="Q325" r:id="rId346"/>
    <hyperlink ref="R325" r:id="rId347"/>
    <hyperlink ref="Q326" r:id="rId348"/>
    <hyperlink ref="R326" r:id="rId349"/>
    <hyperlink ref="Q327" r:id="rId350"/>
    <hyperlink ref="Q329" r:id="rId351"/>
    <hyperlink ref="S329" r:id="rId352"/>
    <hyperlink ref="Q330" r:id="rId353"/>
    <hyperlink ref="R330" r:id="rId354"/>
    <hyperlink ref="R332" r:id="rId355"/>
    <hyperlink ref="Q334" r:id="rId356"/>
    <hyperlink ref="R334" r:id="rId357"/>
    <hyperlink ref="Q335" r:id="rId358"/>
    <hyperlink ref="R335" r:id="rId359"/>
    <hyperlink ref="Q336" r:id="rId360"/>
    <hyperlink ref="R336" r:id="rId361"/>
    <hyperlink ref="R337" r:id="rId362"/>
    <hyperlink ref="Q339" r:id="rId363"/>
    <hyperlink ref="R339" r:id="rId364"/>
    <hyperlink ref="R341" r:id="rId365"/>
    <hyperlink ref="Q342" r:id="rId366"/>
    <hyperlink ref="R342" r:id="rId367"/>
    <hyperlink ref="Q345" r:id="rId368"/>
    <hyperlink ref="R345" r:id="rId369"/>
    <hyperlink ref="Q346" r:id="rId370"/>
    <hyperlink ref="R346" r:id="rId371"/>
    <hyperlink ref="Q347" r:id="rId372"/>
    <hyperlink ref="R347" r:id="rId373"/>
    <hyperlink ref="Q348" r:id="rId374"/>
    <hyperlink ref="R348" r:id="rId375"/>
    <hyperlink ref="Q349" r:id="rId376"/>
    <hyperlink ref="R349" r:id="rId377"/>
    <hyperlink ref="Q350" r:id="rId378"/>
    <hyperlink ref="R350" r:id="rId379"/>
    <hyperlink ref="Q351" r:id="rId380"/>
    <hyperlink ref="R351" r:id="rId381"/>
    <hyperlink ref="Q352" r:id="rId382"/>
    <hyperlink ref="R352" r:id="rId383"/>
    <hyperlink ref="Q355" r:id="rId384"/>
    <hyperlink ref="R355" r:id="rId385"/>
    <hyperlink ref="Q356" r:id="rId386"/>
    <hyperlink ref="R356" r:id="rId387"/>
    <hyperlink ref="Q357" r:id="rId388"/>
    <hyperlink ref="R357" r:id="rId389"/>
    <hyperlink ref="Q358" r:id="rId390"/>
    <hyperlink ref="R358" r:id="rId391"/>
    <hyperlink ref="Q359" r:id="rId392"/>
    <hyperlink ref="R359" r:id="rId393"/>
    <hyperlink ref="Q360" r:id="rId394"/>
    <hyperlink ref="R360" r:id="rId395"/>
    <hyperlink ref="R362" r:id="rId396"/>
    <hyperlink ref="Q363" r:id="rId397"/>
    <hyperlink ref="Q364" r:id="rId398"/>
    <hyperlink ref="R364" r:id="rId399"/>
    <hyperlink ref="Q365" r:id="rId400"/>
    <hyperlink ref="R365" r:id="rId401"/>
    <hyperlink ref="Q366" r:id="rId402"/>
    <hyperlink ref="R366" r:id="rId403"/>
    <hyperlink ref="Q367" r:id="rId404"/>
    <hyperlink ref="R367" r:id="rId405"/>
    <hyperlink ref="Q368" r:id="rId406"/>
    <hyperlink ref="R368" r:id="rId407"/>
    <hyperlink ref="Q370" r:id="rId408"/>
    <hyperlink ref="R370" r:id="rId409"/>
    <hyperlink ref="Q372" r:id="rId410"/>
    <hyperlink ref="R372" r:id="rId411"/>
    <hyperlink ref="Q374" r:id="rId412"/>
    <hyperlink ref="R374" r:id="rId413"/>
    <hyperlink ref="Q375" r:id="rId414"/>
    <hyperlink ref="R375" r:id="rId415"/>
    <hyperlink ref="Q376" r:id="rId416"/>
    <hyperlink ref="Q377" r:id="rId417"/>
    <hyperlink ref="R377" r:id="rId418"/>
    <hyperlink ref="Q378" r:id="rId419"/>
    <hyperlink ref="R378" r:id="rId420"/>
    <hyperlink ref="Q380" r:id="rId421"/>
    <hyperlink ref="R380" r:id="rId422"/>
    <hyperlink ref="Q381" r:id="rId423"/>
    <hyperlink ref="R381" r:id="rId424"/>
    <hyperlink ref="Q382" r:id="rId425"/>
    <hyperlink ref="R382" r:id="rId426"/>
    <hyperlink ref="Q383" r:id="rId427"/>
    <hyperlink ref="R383" r:id="rId428"/>
    <hyperlink ref="Q384" r:id="rId429"/>
    <hyperlink ref="R384" r:id="rId430"/>
    <hyperlink ref="S384" r:id="rId431"/>
    <hyperlink ref="Q385" r:id="rId432"/>
    <hyperlink ref="R385" r:id="rId433"/>
    <hyperlink ref="Q386" r:id="rId434"/>
    <hyperlink ref="R386" r:id="rId435"/>
    <hyperlink ref="Q387" r:id="rId436"/>
    <hyperlink ref="R387" r:id="rId437"/>
    <hyperlink ref="Q388" r:id="rId438"/>
    <hyperlink ref="R388" r:id="rId439"/>
    <hyperlink ref="Q389" r:id="rId440"/>
    <hyperlink ref="R389" r:id="rId441"/>
    <hyperlink ref="Q390" r:id="rId442"/>
    <hyperlink ref="R390" r:id="rId443"/>
    <hyperlink ref="Q392" r:id="rId444"/>
    <hyperlink ref="R392" r:id="rId445"/>
    <hyperlink ref="Q393" r:id="rId446"/>
    <hyperlink ref="R393" r:id="rId447"/>
    <hyperlink ref="Q394" r:id="rId448"/>
    <hyperlink ref="R394" r:id="rId449"/>
    <hyperlink ref="Q396" r:id="rId450"/>
    <hyperlink ref="R396" r:id="rId451"/>
    <hyperlink ref="Q397" r:id="rId452"/>
    <hyperlink ref="R397" r:id="rId453"/>
    <hyperlink ref="Q398" r:id="rId454"/>
    <hyperlink ref="R398" r:id="rId455"/>
    <hyperlink ref="Q400" r:id="rId456"/>
    <hyperlink ref="R400" r:id="rId457"/>
    <hyperlink ref="S401" r:id="rId458"/>
    <hyperlink ref="Q402" r:id="rId459"/>
    <hyperlink ref="R402" r:id="rId460"/>
    <hyperlink ref="Q408" r:id="rId461"/>
    <hyperlink ref="R408" r:id="rId462"/>
    <hyperlink ref="Q409" r:id="rId463"/>
    <hyperlink ref="R409" r:id="rId464"/>
    <hyperlink ref="Q410" r:id="rId465"/>
    <hyperlink ref="R410" r:id="rId466"/>
    <hyperlink ref="Q411" r:id="rId467"/>
    <hyperlink ref="R411" r:id="rId468"/>
    <hyperlink ref="Q413" r:id="rId469"/>
    <hyperlink ref="R413" r:id="rId470"/>
    <hyperlink ref="Q416" r:id="rId471"/>
    <hyperlink ref="R416" r:id="rId472"/>
    <hyperlink ref="Q419" r:id="rId473"/>
    <hyperlink ref="R419" r:id="rId474"/>
    <hyperlink ref="Q420" r:id="rId475"/>
    <hyperlink ref="R420" r:id="rId476"/>
    <hyperlink ref="Q421" r:id="rId477"/>
    <hyperlink ref="R421" r:id="rId478"/>
    <hyperlink ref="S421" r:id="rId479"/>
    <hyperlink ref="Q422" r:id="rId480"/>
    <hyperlink ref="R422" r:id="rId481"/>
    <hyperlink ref="Q425" r:id="rId482"/>
    <hyperlink ref="R425" r:id="rId483"/>
    <hyperlink ref="Q426" r:id="rId484"/>
    <hyperlink ref="R426" r:id="rId485"/>
    <hyperlink ref="Q427" r:id="rId486"/>
    <hyperlink ref="R427" r:id="rId487"/>
    <hyperlink ref="Q428" r:id="rId488"/>
    <hyperlink ref="R428" r:id="rId489"/>
    <hyperlink ref="Q431" r:id="rId490"/>
    <hyperlink ref="R431" r:id="rId491"/>
    <hyperlink ref="Q433" r:id="rId492"/>
    <hyperlink ref="R433" r:id="rId493"/>
    <hyperlink ref="Q434" r:id="rId494"/>
    <hyperlink ref="R434" r:id="rId495"/>
    <hyperlink ref="Q437" r:id="rId496"/>
    <hyperlink ref="R437" r:id="rId497"/>
    <hyperlink ref="Q438" r:id="rId498"/>
    <hyperlink ref="R438" r:id="rId499"/>
    <hyperlink ref="Q439" r:id="rId500"/>
    <hyperlink ref="R439" r:id="rId501"/>
    <hyperlink ref="S439" r:id="rId502"/>
    <hyperlink ref="Q440" r:id="rId503"/>
    <hyperlink ref="R440" r:id="rId504"/>
    <hyperlink ref="Q441" r:id="rId505"/>
    <hyperlink ref="R441" r:id="rId506"/>
    <hyperlink ref="Q444" r:id="rId507"/>
    <hyperlink ref="R444" r:id="rId508"/>
    <hyperlink ref="Q445" r:id="rId509"/>
    <hyperlink ref="R445" r:id="rId510"/>
    <hyperlink ref="Q446" r:id="rId511"/>
    <hyperlink ref="R446" r:id="rId512"/>
    <hyperlink ref="Q447" r:id="rId513"/>
    <hyperlink ref="R447" r:id="rId514"/>
    <hyperlink ref="R448" r:id="rId515"/>
    <hyperlink ref="Q451" r:id="rId516"/>
    <hyperlink ref="R451" r:id="rId517"/>
    <hyperlink ref="S451" r:id="rId518"/>
    <hyperlink ref="Q454" r:id="rId519"/>
    <hyperlink ref="R454" r:id="rId520"/>
    <hyperlink ref="Q455" r:id="rId521"/>
    <hyperlink ref="R455" r:id="rId522"/>
    <hyperlink ref="Q458" r:id="rId523"/>
    <hyperlink ref="R458" r:id="rId524"/>
    <hyperlink ref="Q459" r:id="rId525"/>
    <hyperlink ref="R459" r:id="rId526"/>
    <hyperlink ref="Q462" r:id="rId527"/>
    <hyperlink ref="R462" r:id="rId528"/>
    <hyperlink ref="Q463" r:id="rId529"/>
    <hyperlink ref="R463" r:id="rId530"/>
    <hyperlink ref="Q465" r:id="rId531"/>
    <hyperlink ref="R465" r:id="rId532"/>
    <hyperlink ref="Q468" r:id="rId533"/>
    <hyperlink ref="R468" r:id="rId534"/>
    <hyperlink ref="Q469" r:id="rId535"/>
    <hyperlink ref="R469" r:id="rId536"/>
    <hyperlink ref="Q470" r:id="rId537"/>
    <hyperlink ref="R470" r:id="rId538"/>
    <hyperlink ref="Q473" r:id="rId539"/>
    <hyperlink ref="R473" r:id="rId540"/>
    <hyperlink ref="Q474" r:id="rId541"/>
    <hyperlink ref="R474" r:id="rId542"/>
    <hyperlink ref="Q476" r:id="rId543"/>
    <hyperlink ref="R476" r:id="rId544"/>
    <hyperlink ref="Q479" r:id="rId545"/>
    <hyperlink ref="R479" r:id="rId546"/>
    <hyperlink ref="Q480" r:id="rId547"/>
    <hyperlink ref="R480" r:id="rId548"/>
    <hyperlink ref="Q481" r:id="rId549"/>
    <hyperlink ref="R481" r:id="rId550"/>
    <hyperlink ref="Q484" r:id="rId551"/>
    <hyperlink ref="R484" r:id="rId552"/>
    <hyperlink ref="Q485" r:id="rId553"/>
    <hyperlink ref="R485" r:id="rId554"/>
    <hyperlink ref="Q489" r:id="rId555"/>
    <hyperlink ref="R489" r:id="rId556"/>
    <hyperlink ref="Q490" r:id="rId557"/>
    <hyperlink ref="R490" r:id="rId558"/>
    <hyperlink ref="Q491" r:id="rId559"/>
    <hyperlink ref="R491" r:id="rId560"/>
    <hyperlink ref="Q492" r:id="rId561"/>
    <hyperlink ref="R492" r:id="rId562"/>
    <hyperlink ref="Q493" r:id="rId563"/>
    <hyperlink ref="R493" r:id="rId564"/>
    <hyperlink ref="Q494" r:id="rId565"/>
    <hyperlink ref="R494" r:id="rId566"/>
    <hyperlink ref="Q495" r:id="rId567"/>
    <hyperlink ref="R495" r:id="rId568"/>
    <hyperlink ref="Q496" r:id="rId569"/>
    <hyperlink ref="R496" r:id="rId570"/>
    <hyperlink ref="Q497" r:id="rId571"/>
    <hyperlink ref="R497" r:id="rId572"/>
    <hyperlink ref="S497" r:id="rId573"/>
    <hyperlink ref="Q498" r:id="rId574"/>
    <hyperlink ref="R498" r:id="rId575"/>
    <hyperlink ref="Q499" r:id="rId576"/>
    <hyperlink ref="R499" r:id="rId577"/>
    <hyperlink ref="Q500" r:id="rId578"/>
    <hyperlink ref="R500" r:id="rId579"/>
    <hyperlink ref="Q501" r:id="rId580"/>
    <hyperlink ref="R501" r:id="rId581"/>
    <hyperlink ref="Q502" r:id="rId582"/>
    <hyperlink ref="R502" r:id="rId583"/>
    <hyperlink ref="Q503" r:id="rId584"/>
    <hyperlink ref="R503" r:id="rId585"/>
    <hyperlink ref="Q504" r:id="rId586"/>
    <hyperlink ref="R504" r:id="rId587"/>
    <hyperlink ref="Q505" r:id="rId588"/>
    <hyperlink ref="R505" r:id="rId589"/>
    <hyperlink ref="Q506" r:id="rId590"/>
    <hyperlink ref="R506" r:id="rId591"/>
    <hyperlink ref="Q507" r:id="rId592"/>
    <hyperlink ref="R507" r:id="rId593"/>
    <hyperlink ref="Q508" r:id="rId594"/>
    <hyperlink ref="R508" r:id="rId595"/>
    <hyperlink ref="Q509" r:id="rId596"/>
    <hyperlink ref="R509" r:id="rId597"/>
    <hyperlink ref="Q510" r:id="rId598"/>
    <hyperlink ref="Q511" r:id="rId599"/>
    <hyperlink ref="R511" r:id="rId600"/>
    <hyperlink ref="Q513" r:id="rId601"/>
    <hyperlink ref="R513" r:id="rId602"/>
    <hyperlink ref="Q514" r:id="rId603"/>
    <hyperlink ref="R514" r:id="rId604"/>
    <hyperlink ref="Q515" r:id="rId605"/>
    <hyperlink ref="R515" r:id="rId606"/>
    <hyperlink ref="Q516" r:id="rId607"/>
    <hyperlink ref="R516" r:id="rId608"/>
    <hyperlink ref="Q517" r:id="rId609"/>
    <hyperlink ref="R517" r:id="rId610"/>
    <hyperlink ref="Q518" r:id="rId611"/>
    <hyperlink ref="Q520" r:id="rId612"/>
    <hyperlink ref="R520" r:id="rId613"/>
    <hyperlink ref="Q521" r:id="rId614"/>
    <hyperlink ref="R521" r:id="rId615"/>
    <hyperlink ref="Q525" r:id="rId616"/>
    <hyperlink ref="R525" r:id="rId617"/>
    <hyperlink ref="Q529" r:id="rId618"/>
    <hyperlink ref="R529" r:id="rId619"/>
    <hyperlink ref="Q531" r:id="rId620"/>
    <hyperlink ref="R531" r:id="rId621"/>
    <hyperlink ref="Q532" r:id="rId622"/>
    <hyperlink ref="R532" r:id="rId623"/>
    <hyperlink ref="Q533" r:id="rId624"/>
    <hyperlink ref="R533" r:id="rId625"/>
    <hyperlink ref="Q534" r:id="rId626"/>
    <hyperlink ref="R534" r:id="rId627"/>
    <hyperlink ref="Q535" r:id="rId628"/>
    <hyperlink ref="R535" r:id="rId629"/>
    <hyperlink ref="Q536" r:id="rId630"/>
    <hyperlink ref="Q538" r:id="rId631"/>
    <hyperlink ref="R538" r:id="rId632"/>
    <hyperlink ref="Q540" r:id="rId633"/>
    <hyperlink ref="R540" r:id="rId634"/>
    <hyperlink ref="Q541" r:id="rId635"/>
    <hyperlink ref="R541" r:id="rId636"/>
    <hyperlink ref="Q542" r:id="rId637"/>
    <hyperlink ref="R542" r:id="rId638"/>
    <hyperlink ref="R544" r:id="rId639"/>
    <hyperlink ref="Q545" r:id="rId640"/>
    <hyperlink ref="Q549" r:id="rId641"/>
    <hyperlink ref="R549" r:id="rId642"/>
    <hyperlink ref="Q551" r:id="rId643"/>
    <hyperlink ref="R551" r:id="rId644"/>
    <hyperlink ref="Q552" r:id="rId645"/>
    <hyperlink ref="R552" r:id="rId646"/>
    <hyperlink ref="Q553" r:id="rId647"/>
    <hyperlink ref="Q554" r:id="rId648"/>
    <hyperlink ref="R554" r:id="rId649"/>
    <hyperlink ref="Q555" r:id="rId650"/>
    <hyperlink ref="Q556" r:id="rId651"/>
    <hyperlink ref="R556" r:id="rId652"/>
    <hyperlink ref="Q557" r:id="rId653"/>
    <hyperlink ref="R557" r:id="rId654"/>
    <hyperlink ref="Q558" r:id="rId655"/>
    <hyperlink ref="R558" r:id="rId656"/>
    <hyperlink ref="Q560" r:id="rId657"/>
    <hyperlink ref="R560" r:id="rId658"/>
    <hyperlink ref="Q561" r:id="rId659"/>
    <hyperlink ref="Q563" r:id="rId660"/>
    <hyperlink ref="R563" r:id="rId661"/>
    <hyperlink ref="Q565" r:id="rId662"/>
    <hyperlink ref="R565" r:id="rId663"/>
    <hyperlink ref="Q567" r:id="rId664"/>
    <hyperlink ref="R567" r:id="rId665"/>
    <hyperlink ref="Q568" r:id="rId666"/>
    <hyperlink ref="R568" r:id="rId667"/>
    <hyperlink ref="Q570" r:id="rId668"/>
    <hyperlink ref="R570" r:id="rId669"/>
    <hyperlink ref="Q571" r:id="rId670"/>
    <hyperlink ref="R571" r:id="rId671"/>
    <hyperlink ref="Q572" r:id="rId672"/>
    <hyperlink ref="R572" r:id="rId673"/>
    <hyperlink ref="Q573" r:id="rId674"/>
    <hyperlink ref="Q574" r:id="rId675"/>
    <hyperlink ref="Q575" r:id="rId676"/>
    <hyperlink ref="R575" r:id="rId677"/>
    <hyperlink ref="Q576" r:id="rId678"/>
    <hyperlink ref="R576" r:id="rId679"/>
    <hyperlink ref="Q577" r:id="rId680"/>
    <hyperlink ref="R577" r:id="rId681"/>
    <hyperlink ref="Q578" r:id="rId682"/>
    <hyperlink ref="R578" r:id="rId683"/>
    <hyperlink ref="Q581" r:id="rId684"/>
    <hyperlink ref="R581" r:id="rId685"/>
    <hyperlink ref="Q582" r:id="rId686"/>
    <hyperlink ref="R582" r:id="rId687"/>
    <hyperlink ref="R583" r:id="rId688"/>
    <hyperlink ref="Q584" r:id="rId689"/>
    <hyperlink ref="R584" r:id="rId690"/>
    <hyperlink ref="Q585" r:id="rId691"/>
    <hyperlink ref="R585" r:id="rId692"/>
    <hyperlink ref="Q586" r:id="rId693"/>
    <hyperlink ref="R586" r:id="rId694"/>
    <hyperlink ref="Q587" r:id="rId695"/>
    <hyperlink ref="R587" r:id="rId696"/>
    <hyperlink ref="Q588" r:id="rId697"/>
    <hyperlink ref="R588" r:id="rId698"/>
    <hyperlink ref="Q590" r:id="rId699"/>
    <hyperlink ref="R590" r:id="rId700"/>
    <hyperlink ref="Q592" r:id="rId701"/>
    <hyperlink ref="R592" r:id="rId702"/>
    <hyperlink ref="Q593" r:id="rId703"/>
    <hyperlink ref="Q594" r:id="rId704"/>
    <hyperlink ref="R594" r:id="rId705"/>
    <hyperlink ref="Q595" r:id="rId706"/>
    <hyperlink ref="R595" r:id="rId707"/>
    <hyperlink ref="Q596" r:id="rId708"/>
    <hyperlink ref="R596" r:id="rId709"/>
    <hyperlink ref="Q597" r:id="rId710"/>
    <hyperlink ref="R597" r:id="rId711"/>
    <hyperlink ref="Q598" r:id="rId712"/>
    <hyperlink ref="R598" r:id="rId713"/>
    <hyperlink ref="Q599" r:id="rId714"/>
    <hyperlink ref="R599" r:id="rId715"/>
    <hyperlink ref="Q602" r:id="rId716"/>
    <hyperlink ref="R602" r:id="rId717"/>
    <hyperlink ref="Q603" r:id="rId718"/>
    <hyperlink ref="R603" r:id="rId719"/>
    <hyperlink ref="Q604" r:id="rId720"/>
    <hyperlink ref="R604" r:id="rId721"/>
    <hyperlink ref="Q605" r:id="rId722"/>
    <hyperlink ref="R605" r:id="rId723"/>
    <hyperlink ref="Q609" r:id="rId724"/>
    <hyperlink ref="R609" r:id="rId725"/>
    <hyperlink ref="Q610" r:id="rId726"/>
    <hyperlink ref="R610" r:id="rId727"/>
    <hyperlink ref="Q611" r:id="rId728"/>
    <hyperlink ref="R611" r:id="rId729"/>
    <hyperlink ref="Q612" r:id="rId730"/>
    <hyperlink ref="Q613" r:id="rId731"/>
    <hyperlink ref="R613" r:id="rId732"/>
    <hyperlink ref="Q614" r:id="rId733"/>
    <hyperlink ref="R614" r:id="rId734"/>
    <hyperlink ref="Q615" r:id="rId735"/>
    <hyperlink ref="R615" r:id="rId736"/>
    <hyperlink ref="Q616" r:id="rId737"/>
    <hyperlink ref="R616" r:id="rId738"/>
    <hyperlink ref="Q619" r:id="rId739"/>
    <hyperlink ref="R619" r:id="rId740"/>
    <hyperlink ref="Q620" r:id="rId741"/>
    <hyperlink ref="R620" r:id="rId742"/>
    <hyperlink ref="Q622" r:id="rId743"/>
    <hyperlink ref="R622" r:id="rId744"/>
    <hyperlink ref="Q623" r:id="rId745"/>
    <hyperlink ref="R623" r:id="rId746"/>
    <hyperlink ref="Q625" r:id="rId747"/>
    <hyperlink ref="R625" r:id="rId748"/>
    <hyperlink ref="Q628" r:id="rId749"/>
    <hyperlink ref="R628" r:id="rId750"/>
    <hyperlink ref="R629" r:id="rId751"/>
    <hyperlink ref="Q630" r:id="rId752"/>
    <hyperlink ref="R630" r:id="rId753"/>
    <hyperlink ref="Q631" r:id="rId754"/>
    <hyperlink ref="R631" r:id="rId755"/>
    <hyperlink ref="Q632" r:id="rId756"/>
    <hyperlink ref="R632" r:id="rId757"/>
    <hyperlink ref="Q633" r:id="rId758"/>
    <hyperlink ref="R633" r:id="rId759"/>
    <hyperlink ref="Q637" r:id="rId760"/>
    <hyperlink ref="R637" r:id="rId761"/>
    <hyperlink ref="Q638" r:id="rId762"/>
    <hyperlink ref="R638" r:id="rId763"/>
    <hyperlink ref="Q639" r:id="rId764"/>
    <hyperlink ref="R639" r:id="rId765"/>
    <hyperlink ref="Q640" r:id="rId766"/>
    <hyperlink ref="R640" r:id="rId767"/>
    <hyperlink ref="Q644" r:id="rId768"/>
    <hyperlink ref="R644" r:id="rId769"/>
    <hyperlink ref="Q645" r:id="rId770"/>
    <hyperlink ref="R645" r:id="rId771"/>
    <hyperlink ref="Q646" r:id="rId772"/>
    <hyperlink ref="R646" r:id="rId773"/>
    <hyperlink ref="Q647" r:id="rId774"/>
    <hyperlink ref="R647" r:id="rId775"/>
    <hyperlink ref="Q648" r:id="rId776"/>
    <hyperlink ref="R648" r:id="rId777"/>
    <hyperlink ref="Q650" r:id="rId778"/>
    <hyperlink ref="R650" r:id="rId779"/>
    <hyperlink ref="Q653" r:id="rId780"/>
    <hyperlink ref="R653" r:id="rId781"/>
    <hyperlink ref="Q654" r:id="rId782"/>
    <hyperlink ref="R654" r:id="rId783"/>
    <hyperlink ref="Q656" r:id="rId784"/>
    <hyperlink ref="S656" r:id="rId785"/>
    <hyperlink ref="Q657" r:id="rId786"/>
    <hyperlink ref="R657" r:id="rId787"/>
    <hyperlink ref="Q660" r:id="rId788"/>
    <hyperlink ref="R660" r:id="rId789"/>
    <hyperlink ref="Q661" r:id="rId790"/>
    <hyperlink ref="R661" r:id="rId791"/>
    <hyperlink ref="Q665" r:id="rId792"/>
    <hyperlink ref="R665" r:id="rId793"/>
    <hyperlink ref="Q668" r:id="rId794"/>
    <hyperlink ref="R668" r:id="rId795"/>
    <hyperlink ref="Q669" r:id="rId796"/>
    <hyperlink ref="R669" r:id="rId797"/>
    <hyperlink ref="Q671" r:id="rId798"/>
    <hyperlink ref="R671" r:id="rId799"/>
    <hyperlink ref="Q674" r:id="rId800"/>
    <hyperlink ref="R674" r:id="rId801"/>
    <hyperlink ref="Q675" r:id="rId802"/>
    <hyperlink ref="R675" r:id="rId803"/>
    <hyperlink ref="Q682" r:id="rId804"/>
    <hyperlink ref="R682" r:id="rId805"/>
    <hyperlink ref="Q685" r:id="rId806"/>
    <hyperlink ref="R685" r:id="rId807"/>
    <hyperlink ref="Q686" r:id="rId808"/>
    <hyperlink ref="R686" r:id="rId809"/>
    <hyperlink ref="Q687" r:id="rId810"/>
    <hyperlink ref="R687" r:id="rId811"/>
    <hyperlink ref="Q693" r:id="rId812"/>
    <hyperlink ref="R693" r:id="rId813"/>
    <hyperlink ref="Q696" r:id="rId814"/>
    <hyperlink ref="R696" r:id="rId815"/>
    <hyperlink ref="Q697" r:id="rId816"/>
    <hyperlink ref="R697" r:id="rId817"/>
    <hyperlink ref="Q698" r:id="rId818"/>
    <hyperlink ref="R698" r:id="rId819"/>
    <hyperlink ref="Q699" r:id="rId820"/>
    <hyperlink ref="R699" r:id="rId821"/>
    <hyperlink ref="Q706" r:id="rId822"/>
    <hyperlink ref="Q707" r:id="rId823"/>
    <hyperlink ref="Q708" r:id="rId824"/>
    <hyperlink ref="R708" r:id="rId825"/>
    <hyperlink ref="Q710" r:id="rId826"/>
    <hyperlink ref="R710" r:id="rId827"/>
    <hyperlink ref="Q711" r:id="rId828"/>
    <hyperlink ref="S711" r:id="rId829"/>
    <hyperlink ref="Q712" r:id="rId830"/>
    <hyperlink ref="R712" r:id="rId831"/>
    <hyperlink ref="Q713" r:id="rId832"/>
    <hyperlink ref="R713" r:id="rId833"/>
    <hyperlink ref="Q720" r:id="rId834"/>
    <hyperlink ref="R720" r:id="rId835"/>
    <hyperlink ref="Q721" r:id="rId836"/>
    <hyperlink ref="R721" r:id="rId837"/>
    <hyperlink ref="Q722" r:id="rId838"/>
    <hyperlink ref="Q723" r:id="rId839"/>
    <hyperlink ref="R723" r:id="rId840"/>
    <hyperlink ref="Q725" r:id="rId841"/>
    <hyperlink ref="R725" r:id="rId842"/>
    <hyperlink ref="Q726" r:id="rId843"/>
    <hyperlink ref="R726" r:id="rId844"/>
    <hyperlink ref="S726" r:id="rId845"/>
    <hyperlink ref="Q727" r:id="rId846"/>
    <hyperlink ref="R727" r:id="rId847"/>
    <hyperlink ref="Q728" r:id="rId848"/>
    <hyperlink ref="R728" r:id="rId849"/>
    <hyperlink ref="Q729" r:id="rId850"/>
    <hyperlink ref="R729" r:id="rId851"/>
    <hyperlink ref="Q730" r:id="rId852"/>
    <hyperlink ref="R730" r:id="rId853"/>
    <hyperlink ref="Q733" r:id="rId854"/>
    <hyperlink ref="R733" r:id="rId855"/>
    <hyperlink ref="Q734" r:id="rId856"/>
    <hyperlink ref="R734" r:id="rId857"/>
    <hyperlink ref="Q736" r:id="rId858"/>
    <hyperlink ref="R736" r:id="rId859"/>
    <hyperlink ref="Q737" r:id="rId860"/>
    <hyperlink ref="R737" r:id="rId861"/>
    <hyperlink ref="Q738" r:id="rId862"/>
    <hyperlink ref="R738" r:id="rId863"/>
    <hyperlink ref="Q739" r:id="rId864"/>
    <hyperlink ref="R739" r:id="rId865"/>
    <hyperlink ref="Q741" r:id="rId866"/>
    <hyperlink ref="R741" r:id="rId867"/>
    <hyperlink ref="Q746" r:id="rId868"/>
    <hyperlink ref="R746" r:id="rId869"/>
    <hyperlink ref="S859" r:id="rId870"/>
    <hyperlink ref="S864" r:id="rId871"/>
    <hyperlink ref="R872" r:id="rId872"/>
    <hyperlink ref="R873" r:id="rId873"/>
    <hyperlink ref="R874" r:id="rId874"/>
    <hyperlink ref="S874" r:id="rId875"/>
    <hyperlink ref="Q876" r:id="rId876"/>
    <hyperlink ref="Q879" r:id="rId877"/>
    <hyperlink ref="R879" r:id="rId878"/>
    <hyperlink ref="S879" r:id="rId879"/>
    <hyperlink ref="Q880" r:id="rId880"/>
    <hyperlink ref="R880" r:id="rId881"/>
    <hyperlink ref="S880" r:id="rId882"/>
    <hyperlink ref="Q881" r:id="rId883"/>
    <hyperlink ref="R881" r:id="rId884"/>
    <hyperlink ref="Q883" r:id="rId885"/>
    <hyperlink ref="R883" r:id="rId886"/>
    <hyperlink ref="Q884" r:id="rId887"/>
    <hyperlink ref="R884" r:id="rId888"/>
    <hyperlink ref="S884" r:id="rId889"/>
    <hyperlink ref="Q887" r:id="rId890"/>
    <hyperlink ref="R887" r:id="rId891"/>
    <hyperlink ref="Q888" r:id="rId892"/>
    <hyperlink ref="R888" r:id="rId893"/>
    <hyperlink ref="Q890" r:id="rId894"/>
    <hyperlink ref="R890" r:id="rId895"/>
    <hyperlink ref="Q893" r:id="rId896"/>
    <hyperlink ref="R893" r:id="rId897"/>
    <hyperlink ref="S893" r:id="rId898"/>
    <hyperlink ref="Q896" r:id="rId899"/>
    <hyperlink ref="R896" r:id="rId900"/>
    <hyperlink ref="Q898" r:id="rId901"/>
    <hyperlink ref="R898" r:id="rId902"/>
    <hyperlink ref="Q899" r:id="rId903"/>
    <hyperlink ref="Q900" r:id="rId904"/>
    <hyperlink ref="R900" r:id="rId905"/>
    <hyperlink ref="Q901" r:id="rId906"/>
    <hyperlink ref="R901" r:id="rId907"/>
    <hyperlink ref="Q902" r:id="rId908"/>
    <hyperlink ref="R902" r:id="rId909"/>
    <hyperlink ref="S902" r:id="rId910"/>
    <hyperlink ref="Q903" r:id="rId911"/>
    <hyperlink ref="R903" r:id="rId912"/>
    <hyperlink ref="R904" r:id="rId913"/>
    <hyperlink ref="R906" r:id="rId914"/>
    <hyperlink ref="Q907" r:id="rId915"/>
    <hyperlink ref="R907" r:id="rId916"/>
    <hyperlink ref="Q912" r:id="rId917"/>
    <hyperlink ref="R912" r:id="rId918"/>
    <hyperlink ref="Q914" r:id="rId919"/>
    <hyperlink ref="Q915" r:id="rId920"/>
    <hyperlink ref="R915" r:id="rId921"/>
    <hyperlink ref="Q916" r:id="rId922"/>
    <hyperlink ref="R916" r:id="rId923"/>
    <hyperlink ref="Q918" r:id="rId924"/>
    <hyperlink ref="R918" r:id="rId925"/>
    <hyperlink ref="Q919" r:id="rId926"/>
    <hyperlink ref="R919" r:id="rId927"/>
    <hyperlink ref="S919" r:id="rId928"/>
    <hyperlink ref="Q921" r:id="rId929"/>
    <hyperlink ref="R921" r:id="rId930"/>
    <hyperlink ref="Q922" r:id="rId931"/>
    <hyperlink ref="R922" r:id="rId932"/>
    <hyperlink ref="Q923" r:id="rId933"/>
    <hyperlink ref="R923" r:id="rId934"/>
    <hyperlink ref="Q924" r:id="rId935"/>
    <hyperlink ref="R924" r:id="rId936"/>
    <hyperlink ref="S924" r:id="rId937"/>
    <hyperlink ref="Q925" r:id="rId938"/>
    <hyperlink ref="R925" r:id="rId939"/>
    <hyperlink ref="Q929" r:id="rId940"/>
    <hyperlink ref="R929" r:id="rId941"/>
    <hyperlink ref="R930" r:id="rId942"/>
    <hyperlink ref="R931" r:id="rId943"/>
    <hyperlink ref="Q938" r:id="rId944"/>
    <hyperlink ref="R938" r:id="rId945"/>
    <hyperlink ref="R939" r:id="rId946"/>
    <hyperlink ref="R944" r:id="rId947"/>
    <hyperlink ref="S944" r:id="rId948"/>
    <hyperlink ref="R945" r:id="rId949"/>
    <hyperlink ref="R946" r:id="rId950"/>
    <hyperlink ref="R948" r:id="rId951"/>
    <hyperlink ref="R949" r:id="rId952"/>
    <hyperlink ref="R950" r:id="rId953"/>
    <hyperlink ref="R951" r:id="rId954"/>
    <hyperlink ref="Q952" r:id="rId955"/>
    <hyperlink ref="R952" r:id="rId956"/>
    <hyperlink ref="S952" r:id="rId957"/>
    <hyperlink ref="Q953" r:id="rId958"/>
    <hyperlink ref="R953" r:id="rId959"/>
    <hyperlink ref="S953" r:id="rId960"/>
    <hyperlink ref="Q954" r:id="rId961"/>
    <hyperlink ref="R954" r:id="rId962"/>
    <hyperlink ref="Q955" r:id="rId963"/>
    <hyperlink ref="R955" r:id="rId964"/>
    <hyperlink ref="S955" r:id="rId965"/>
    <hyperlink ref="Q956" r:id="rId966"/>
    <hyperlink ref="R956" r:id="rId967"/>
    <hyperlink ref="Q957" r:id="rId968"/>
    <hyperlink ref="R957" r:id="rId969"/>
    <hyperlink ref="Q958" r:id="rId970"/>
    <hyperlink ref="R958" r:id="rId971"/>
    <hyperlink ref="Q961" r:id="rId972"/>
    <hyperlink ref="R961" r:id="rId973"/>
    <hyperlink ref="S961" r:id="rId974"/>
    <hyperlink ref="Q962" r:id="rId975"/>
    <hyperlink ref="Q967" r:id="rId976"/>
    <hyperlink ref="R967" r:id="rId977"/>
    <hyperlink ref="Q968" r:id="rId978"/>
    <hyperlink ref="R968" r:id="rId979"/>
    <hyperlink ref="S969" r:id="rId980"/>
    <hyperlink ref="Q972" r:id="rId981"/>
    <hyperlink ref="R972" r:id="rId982"/>
    <hyperlink ref="Q973" r:id="rId983"/>
    <hyperlink ref="R973" r:id="rId984"/>
    <hyperlink ref="Q975" r:id="rId985"/>
    <hyperlink ref="Q976" r:id="rId986"/>
    <hyperlink ref="R976" r:id="rId987"/>
    <hyperlink ref="S976" r:id="rId988"/>
    <hyperlink ref="Q977" r:id="rId989"/>
    <hyperlink ref="R977" r:id="rId990"/>
    <hyperlink ref="S977" r:id="rId991"/>
    <hyperlink ref="R978" r:id="rId992"/>
    <hyperlink ref="Q979" r:id="rId993"/>
    <hyperlink ref="R979" r:id="rId994"/>
    <hyperlink ref="Q980" r:id="rId995"/>
    <hyperlink ref="R980" r:id="rId996"/>
    <hyperlink ref="Q981" r:id="rId997"/>
    <hyperlink ref="Q984" r:id="rId998"/>
    <hyperlink ref="R984" r:id="rId999"/>
    <hyperlink ref="Q985" r:id="rId1000"/>
    <hyperlink ref="R985" r:id="rId1001"/>
    <hyperlink ref="S985" r:id="rId1002"/>
    <hyperlink ref="Q987" r:id="rId1003"/>
    <hyperlink ref="R987" r:id="rId1004"/>
    <hyperlink ref="S987" r:id="rId1005"/>
    <hyperlink ref="Q988" r:id="rId1006"/>
    <hyperlink ref="R988" r:id="rId1007"/>
    <hyperlink ref="Q989" r:id="rId1008"/>
    <hyperlink ref="R989" r:id="rId1009"/>
    <hyperlink ref="Q993" r:id="rId1010"/>
    <hyperlink ref="R993" r:id="rId1011"/>
    <hyperlink ref="Q1000" r:id="rId1012"/>
    <hyperlink ref="Q1003" r:id="rId1013"/>
    <hyperlink ref="R1003" r:id="rId1014"/>
    <hyperlink ref="S1003" r:id="rId1015"/>
    <hyperlink ref="Q1004" r:id="rId1016"/>
    <hyperlink ref="R1004" r:id="rId1017"/>
    <hyperlink ref="S1004" r:id="rId1018"/>
    <hyperlink ref="Q1005" r:id="rId1019"/>
    <hyperlink ref="S1005" r:id="rId1020"/>
    <hyperlink ref="Q1012" r:id="rId1021"/>
    <hyperlink ref="R1012" r:id="rId1022"/>
    <hyperlink ref="Q1013" r:id="rId1023"/>
    <hyperlink ref="R1013" r:id="rId1024"/>
    <hyperlink ref="Q1014" r:id="rId1025"/>
    <hyperlink ref="R1014" r:id="rId1026"/>
    <hyperlink ref="S1014" r:id="rId1027"/>
    <hyperlink ref="Q1015" r:id="rId1028"/>
    <hyperlink ref="R1015" r:id="rId1029"/>
    <hyperlink ref="S1015" r:id="rId1030"/>
    <hyperlink ref="Q1018" r:id="rId1031"/>
    <hyperlink ref="R1018" r:id="rId1032"/>
    <hyperlink ref="S1018" r:id="rId1033"/>
    <hyperlink ref="Q1020" r:id="rId1034"/>
    <hyperlink ref="R1020" r:id="rId1035"/>
    <hyperlink ref="S1020" r:id="rId1036"/>
    <hyperlink ref="Q1021" r:id="rId1037"/>
    <hyperlink ref="R1021" r:id="rId1038"/>
    <hyperlink ref="S1021" r:id="rId1039"/>
    <hyperlink ref="Q1022" r:id="rId1040"/>
    <hyperlink ref="R1022" r:id="rId1041"/>
    <hyperlink ref="S1022" r:id="rId1042"/>
    <hyperlink ref="Q1023" r:id="rId1043"/>
    <hyperlink ref="R1023" r:id="rId1044"/>
    <hyperlink ref="S1023" r:id="rId1045"/>
    <hyperlink ref="Q1024" r:id="rId1046"/>
    <hyperlink ref="R1024" r:id="rId1047"/>
    <hyperlink ref="S1024" r:id="rId1048"/>
    <hyperlink ref="Q1025" r:id="rId1049"/>
    <hyperlink ref="R1025" r:id="rId1050"/>
    <hyperlink ref="S1025" r:id="rId1051"/>
    <hyperlink ref="Q1026" r:id="rId1052"/>
    <hyperlink ref="R1026" r:id="rId1053"/>
    <hyperlink ref="S1026" r:id="rId1054"/>
    <hyperlink ref="Q1027" r:id="rId1055"/>
    <hyperlink ref="R1027" r:id="rId1056"/>
    <hyperlink ref="S1027" r:id="rId1057"/>
    <hyperlink ref="S1030" r:id="rId1058"/>
    <hyperlink ref="Q1031" r:id="rId1059"/>
    <hyperlink ref="R1031" r:id="rId1060"/>
    <hyperlink ref="S1031" r:id="rId1061"/>
    <hyperlink ref="Q1036" r:id="rId1062"/>
    <hyperlink ref="R1036" r:id="rId1063"/>
    <hyperlink ref="S1036" r:id="rId1064"/>
    <hyperlink ref="Q1037" r:id="rId1065"/>
    <hyperlink ref="R1037" r:id="rId1066"/>
    <hyperlink ref="S1037" r:id="rId1067"/>
    <hyperlink ref="Q1038" r:id="rId1068"/>
    <hyperlink ref="R1038" r:id="rId1069"/>
    <hyperlink ref="S1038" r:id="rId1070"/>
    <hyperlink ref="Q1040" r:id="rId1071"/>
    <hyperlink ref="R1040" r:id="rId1072"/>
    <hyperlink ref="S1040" r:id="rId1073"/>
    <hyperlink ref="Q1041" r:id="rId1074"/>
    <hyperlink ref="R1041" r:id="rId1075"/>
    <hyperlink ref="S1041" r:id="rId1076"/>
    <hyperlink ref="Q1042" r:id="rId1077"/>
    <hyperlink ref="R1042" r:id="rId1078"/>
    <hyperlink ref="S1042" r:id="rId1079"/>
    <hyperlink ref="Q1044" r:id="rId1080"/>
    <hyperlink ref="R1044" r:id="rId1081"/>
    <hyperlink ref="S1044" r:id="rId1082"/>
    <hyperlink ref="Q1045" r:id="rId1083"/>
    <hyperlink ref="R1045" r:id="rId1084"/>
    <hyperlink ref="S1045" r:id="rId1085"/>
    <hyperlink ref="Q1046" r:id="rId1086"/>
    <hyperlink ref="R1046" r:id="rId1087"/>
    <hyperlink ref="S1046" r:id="rId1088"/>
    <hyperlink ref="R1047" r:id="rId1089"/>
    <hyperlink ref="S1047" r:id="rId1090"/>
    <hyperlink ref="Q1048" r:id="rId1091"/>
    <hyperlink ref="R1048" r:id="rId1092"/>
    <hyperlink ref="S1048" r:id="rId1093"/>
    <hyperlink ref="Q1049" r:id="rId1094"/>
    <hyperlink ref="R1049" r:id="rId1095"/>
    <hyperlink ref="S1049" r:id="rId1096"/>
    <hyperlink ref="Q1050" r:id="rId1097"/>
    <hyperlink ref="R1050" r:id="rId1098"/>
    <hyperlink ref="S1050" r:id="rId1099"/>
    <hyperlink ref="Q1062" r:id="rId1100"/>
    <hyperlink ref="R1062" r:id="rId1101"/>
    <hyperlink ref="S1062" r:id="rId1102"/>
    <hyperlink ref="Q1065" r:id="rId1103"/>
    <hyperlink ref="S1065" r:id="rId1104"/>
    <hyperlink ref="Q1068" r:id="rId1105"/>
    <hyperlink ref="S1068" r:id="rId1106"/>
    <hyperlink ref="Q1072" r:id="rId1107"/>
    <hyperlink ref="R1072" r:id="rId1108"/>
    <hyperlink ref="S1072" r:id="rId1109"/>
    <hyperlink ref="Q1075" r:id="rId1110"/>
    <hyperlink ref="R1075" r:id="rId1111"/>
    <hyperlink ref="S1075" r:id="rId1112"/>
    <hyperlink ref="Q1076" r:id="rId1113"/>
    <hyperlink ref="R1076" r:id="rId1114"/>
    <hyperlink ref="S1076" r:id="rId1115"/>
    <hyperlink ref="Q1079" r:id="rId1116"/>
    <hyperlink ref="S1079" r:id="rId1117"/>
    <hyperlink ref="Q1081" r:id="rId1118"/>
    <hyperlink ref="R1081" r:id="rId1119"/>
    <hyperlink ref="S1081" r:id="rId1120"/>
    <hyperlink ref="Q1088" r:id="rId1121"/>
    <hyperlink ref="R1088" r:id="rId1122"/>
    <hyperlink ref="S1088" r:id="rId1123"/>
    <hyperlink ref="Q1091" r:id="rId1124"/>
    <hyperlink ref="R1091" r:id="rId1125"/>
    <hyperlink ref="S1091" r:id="rId1126"/>
    <hyperlink ref="Q1096" r:id="rId1127"/>
    <hyperlink ref="R1096" r:id="rId1128"/>
    <hyperlink ref="S1096" r:id="rId1129"/>
    <hyperlink ref="Q1099" r:id="rId1130"/>
    <hyperlink ref="R1099" r:id="rId1131"/>
    <hyperlink ref="S1099" r:id="rId1132"/>
    <hyperlink ref="Q1104" r:id="rId1133"/>
    <hyperlink ref="S1104" r:id="rId1134"/>
    <hyperlink ref="S1105" r:id="rId1135"/>
    <hyperlink ref="Q1106" r:id="rId1136"/>
    <hyperlink ref="R1106" r:id="rId1137"/>
    <hyperlink ref="S1106" r:id="rId1138"/>
    <hyperlink ref="Q1109" r:id="rId1139"/>
    <hyperlink ref="R1109" r:id="rId1140"/>
    <hyperlink ref="S1109" r:id="rId1141"/>
    <hyperlink ref="Q1111" r:id="rId1142"/>
    <hyperlink ref="R1111" r:id="rId1143"/>
    <hyperlink ref="S1111" r:id="rId1144"/>
    <hyperlink ref="Q1118" r:id="rId1145"/>
    <hyperlink ref="R1118" r:id="rId1146"/>
    <hyperlink ref="S1118" r:id="rId1147"/>
    <hyperlink ref="Q1119" r:id="rId1148"/>
    <hyperlink ref="S1119" r:id="rId1149"/>
    <hyperlink ref="Q1130" r:id="rId1150"/>
    <hyperlink ref="R1130" r:id="rId1151"/>
    <hyperlink ref="S1130" r:id="rId1152"/>
    <hyperlink ref="Q1131" r:id="rId1153"/>
    <hyperlink ref="R1131" r:id="rId1154"/>
    <hyperlink ref="S1131" r:id="rId1155"/>
    <hyperlink ref="Q1137" r:id="rId1156"/>
    <hyperlink ref="S1137" r:id="rId1157"/>
    <hyperlink ref="Q1138" r:id="rId1158"/>
    <hyperlink ref="R1138" r:id="rId1159"/>
    <hyperlink ref="S1138" r:id="rId1160"/>
    <hyperlink ref="Q1140" r:id="rId1161"/>
    <hyperlink ref="R1140" r:id="rId1162"/>
    <hyperlink ref="S1140" r:id="rId1163"/>
    <hyperlink ref="Q1141" r:id="rId1164"/>
    <hyperlink ref="R1141" r:id="rId1165"/>
    <hyperlink ref="S1141" r:id="rId1166"/>
    <hyperlink ref="Q1145" r:id="rId1167"/>
    <hyperlink ref="R1145" r:id="rId1168"/>
    <hyperlink ref="S1145" r:id="rId1169"/>
    <hyperlink ref="Q1146" r:id="rId1170"/>
    <hyperlink ref="R1146" r:id="rId1171"/>
    <hyperlink ref="S1146" r:id="rId1172"/>
    <hyperlink ref="Q1148" r:id="rId1173"/>
    <hyperlink ref="R1148" r:id="rId1174"/>
    <hyperlink ref="S1148" r:id="rId1175"/>
    <hyperlink ref="Q1150" r:id="rId1176"/>
    <hyperlink ref="R1150" r:id="rId1177"/>
    <hyperlink ref="S1150" r:id="rId1178"/>
    <hyperlink ref="Q1151" r:id="rId1179"/>
    <hyperlink ref="R1151" r:id="rId1180"/>
    <hyperlink ref="S1151" r:id="rId1181"/>
    <hyperlink ref="Q1152" r:id="rId1182"/>
    <hyperlink ref="S1152" r:id="rId1183"/>
    <hyperlink ref="Q1153" r:id="rId1184"/>
    <hyperlink ref="R1153" r:id="rId1185"/>
    <hyperlink ref="S1153" r:id="rId1186"/>
    <hyperlink ref="S1156" r:id="rId1187"/>
    <hyperlink ref="Q1159" r:id="rId1188"/>
    <hyperlink ref="S1159" r:id="rId1189"/>
    <hyperlink ref="Q1161" r:id="rId1190"/>
    <hyperlink ref="R1161" r:id="rId1191"/>
    <hyperlink ref="S1161" r:id="rId1192"/>
    <hyperlink ref="Q1162" r:id="rId1193"/>
    <hyperlink ref="R1162" r:id="rId1194"/>
    <hyperlink ref="S1162" r:id="rId1195"/>
    <hyperlink ref="Q1163" r:id="rId1196"/>
    <hyperlink ref="R1163" r:id="rId1197"/>
    <hyperlink ref="S1163" r:id="rId1198"/>
    <hyperlink ref="Q1164" r:id="rId1199"/>
    <hyperlink ref="R1164" r:id="rId1200"/>
    <hyperlink ref="S1164" r:id="rId1201"/>
    <hyperlink ref="Q1169" r:id="rId1202"/>
    <hyperlink ref="R1169" r:id="rId1203"/>
    <hyperlink ref="S1169" r:id="rId1204"/>
    <hyperlink ref="Q1172" r:id="rId1205"/>
    <hyperlink ref="S1172" r:id="rId1206"/>
    <hyperlink ref="Q1173" r:id="rId1207"/>
    <hyperlink ref="R1173" r:id="rId1208"/>
    <hyperlink ref="S1173" r:id="rId1209"/>
    <hyperlink ref="Q1175" r:id="rId1210"/>
    <hyperlink ref="R1175" r:id="rId1211"/>
    <hyperlink ref="S1175" r:id="rId1212"/>
    <hyperlink ref="Q1176" r:id="rId1213"/>
    <hyperlink ref="R1176" r:id="rId1214"/>
    <hyperlink ref="S1176" r:id="rId1215"/>
    <hyperlink ref="Q1178" r:id="rId1216"/>
    <hyperlink ref="R1178" r:id="rId1217"/>
    <hyperlink ref="S1178" r:id="rId1218"/>
    <hyperlink ref="Q1183" r:id="rId1219"/>
    <hyperlink ref="R1183" r:id="rId1220"/>
    <hyperlink ref="S1183" r:id="rId1221"/>
    <hyperlink ref="Q1184" r:id="rId1222"/>
    <hyperlink ref="R1184" r:id="rId1223"/>
    <hyperlink ref="S1184" r:id="rId1224"/>
    <hyperlink ref="Q1187" r:id="rId1225"/>
    <hyperlink ref="R1187" r:id="rId1226"/>
    <hyperlink ref="S1187" r:id="rId1227"/>
    <hyperlink ref="Q1188" r:id="rId1228"/>
    <hyperlink ref="R1188" r:id="rId1229"/>
    <hyperlink ref="S1188" r:id="rId1230"/>
    <hyperlink ref="Q1190" r:id="rId1231"/>
    <hyperlink ref="R1190" r:id="rId1232"/>
    <hyperlink ref="S1190" r:id="rId1233"/>
    <hyperlink ref="Q1192" r:id="rId1234"/>
    <hyperlink ref="R1192" r:id="rId1235"/>
    <hyperlink ref="S1192" r:id="rId1236"/>
    <hyperlink ref="Q1199" r:id="rId1237"/>
    <hyperlink ref="R1199" r:id="rId1238"/>
    <hyperlink ref="S1199" r:id="rId1239"/>
    <hyperlink ref="Q1200" r:id="rId1240"/>
    <hyperlink ref="R1200" r:id="rId1241"/>
    <hyperlink ref="S1200" r:id="rId1242"/>
    <hyperlink ref="Q1202" r:id="rId1243"/>
    <hyperlink ref="R1202" r:id="rId1244"/>
    <hyperlink ref="S1202" r:id="rId1245"/>
    <hyperlink ref="R1207" r:id="rId1246"/>
    <hyperlink ref="Q1208" r:id="rId1247"/>
    <hyperlink ref="R1208" r:id="rId1248"/>
    <hyperlink ref="S1208" r:id="rId1249"/>
    <hyperlink ref="Q1209" r:id="rId1250"/>
    <hyperlink ref="R1209" r:id="rId1251"/>
    <hyperlink ref="S1209" r:id="rId1252"/>
    <hyperlink ref="Q1213" r:id="rId1253"/>
    <hyperlink ref="R1213" r:id="rId1254"/>
    <hyperlink ref="S1213" r:id="rId1255"/>
    <hyperlink ref="Q1214" r:id="rId1256"/>
    <hyperlink ref="R1214" r:id="rId1257"/>
    <hyperlink ref="S1214" r:id="rId1258"/>
    <hyperlink ref="R1215" r:id="rId1259"/>
    <hyperlink ref="S1215" r:id="rId1260"/>
    <hyperlink ref="Q1216" r:id="rId1261"/>
    <hyperlink ref="R1216" r:id="rId1262"/>
    <hyperlink ref="S1216" r:id="rId1263"/>
    <hyperlink ref="R1220" r:id="rId1264"/>
    <hyperlink ref="Q1221" r:id="rId1265"/>
    <hyperlink ref="R1221" r:id="rId1266"/>
    <hyperlink ref="S1221" r:id="rId1267"/>
    <hyperlink ref="R1222" r:id="rId1268"/>
    <hyperlink ref="Q1227" r:id="rId1269"/>
    <hyperlink ref="R1227" r:id="rId1270"/>
    <hyperlink ref="S1227" r:id="rId1271"/>
    <hyperlink ref="Q1228" r:id="rId1272"/>
    <hyperlink ref="R1228" r:id="rId1273"/>
    <hyperlink ref="S1228" r:id="rId1274"/>
    <hyperlink ref="Q1229" r:id="rId1275"/>
    <hyperlink ref="R1229" r:id="rId1276"/>
    <hyperlink ref="R1230" r:id="rId1277"/>
    <hyperlink ref="S1230" r:id="rId1278"/>
    <hyperlink ref="Q1231" r:id="rId1279"/>
    <hyperlink ref="R1231" r:id="rId1280"/>
    <hyperlink ref="S1231" r:id="rId1281"/>
    <hyperlink ref="Q1232" r:id="rId1282"/>
    <hyperlink ref="R1232" r:id="rId1283"/>
    <hyperlink ref="S1232" r:id="rId1284"/>
    <hyperlink ref="Q1233" r:id="rId1285"/>
    <hyperlink ref="R1233" r:id="rId1286"/>
    <hyperlink ref="S1233" r:id="rId1287"/>
    <hyperlink ref="Q1234" r:id="rId1288"/>
    <hyperlink ref="R1234" r:id="rId1289"/>
    <hyperlink ref="S1234" r:id="rId1290"/>
    <hyperlink ref="Q1254" r:id="rId1291"/>
    <hyperlink ref="R1254" r:id="rId1292"/>
    <hyperlink ref="S1254" r:id="rId1293"/>
    <hyperlink ref="R1255" r:id="rId1294"/>
    <hyperlink ref="Q1256" r:id="rId1295"/>
    <hyperlink ref="R1256" r:id="rId1296"/>
    <hyperlink ref="S1256" r:id="rId1297"/>
    <hyperlink ref="Q1259" r:id="rId1298"/>
    <hyperlink ref="R1259" r:id="rId1299"/>
    <hyperlink ref="S1259" r:id="rId1300"/>
    <hyperlink ref="R1260" r:id="rId1301"/>
    <hyperlink ref="Q1266" r:id="rId1302"/>
    <hyperlink ref="R1266" r:id="rId1303"/>
    <hyperlink ref="S1266" r:id="rId1304"/>
    <hyperlink ref="Q1267" r:id="rId1305"/>
    <hyperlink ref="R1267" r:id="rId1306"/>
    <hyperlink ref="S1267" r:id="rId1307"/>
    <hyperlink ref="S1268" r:id="rId1308"/>
    <hyperlink ref="Q1269" r:id="rId1309"/>
    <hyperlink ref="R1269" r:id="rId1310"/>
    <hyperlink ref="S1269" r:id="rId1311"/>
    <hyperlink ref="Q1270" r:id="rId1312"/>
    <hyperlink ref="R1270" r:id="rId1313"/>
    <hyperlink ref="S1270" r:id="rId1314"/>
    <hyperlink ref="S1272" r:id="rId1315"/>
    <hyperlink ref="Q1273" r:id="rId1316"/>
    <hyperlink ref="R1273" r:id="rId1317"/>
    <hyperlink ref="S1273" r:id="rId1318"/>
    <hyperlink ref="R1280" r:id="rId1319"/>
    <hyperlink ref="S1280" r:id="rId1320"/>
    <hyperlink ref="R1288" r:id="rId1321"/>
    <hyperlink ref="Q1289" r:id="rId1322"/>
    <hyperlink ref="R1289" r:id="rId1323"/>
    <hyperlink ref="S1289" r:id="rId1324"/>
    <hyperlink ref="Q1290" r:id="rId1325"/>
    <hyperlink ref="R1290" r:id="rId1326"/>
    <hyperlink ref="S1290" r:id="rId1327"/>
    <hyperlink ref="Q1292" r:id="rId1328"/>
    <hyperlink ref="R1292" r:id="rId1329"/>
    <hyperlink ref="S1292" r:id="rId1330"/>
    <hyperlink ref="Q1301" r:id="rId1331"/>
    <hyperlink ref="R1301" r:id="rId1332"/>
    <hyperlink ref="S1301" r:id="rId1333"/>
    <hyperlink ref="Q1310" r:id="rId1334"/>
    <hyperlink ref="R1310" r:id="rId1335"/>
    <hyperlink ref="Q1311" r:id="rId1336"/>
    <hyperlink ref="R1311" r:id="rId1337"/>
    <hyperlink ref="S1311" r:id="rId1338"/>
    <hyperlink ref="Q1315" r:id="rId1339"/>
    <hyperlink ref="R1315" r:id="rId1340"/>
    <hyperlink ref="S1315" r:id="rId1341"/>
    <hyperlink ref="R1316" r:id="rId1342"/>
    <hyperlink ref="R1317" r:id="rId1343"/>
    <hyperlink ref="Q1318" r:id="rId1344"/>
    <hyperlink ref="R1318" r:id="rId1345"/>
    <hyperlink ref="S1318" r:id="rId1346"/>
    <hyperlink ref="Q1319" r:id="rId1347"/>
    <hyperlink ref="R1319" r:id="rId1348"/>
    <hyperlink ref="Q1321" r:id="rId1349"/>
    <hyperlink ref="R1321" r:id="rId1350"/>
    <hyperlink ref="S1321" r:id="rId1351"/>
    <hyperlink ref="Q1322" r:id="rId1352"/>
    <hyperlink ref="S1322" r:id="rId1353"/>
    <hyperlink ref="Q1323" r:id="rId1354"/>
    <hyperlink ref="R1323" r:id="rId1355"/>
    <hyperlink ref="Q1326" r:id="rId1356"/>
    <hyperlink ref="R1326" r:id="rId1357"/>
    <hyperlink ref="S1326" r:id="rId1358"/>
    <hyperlink ref="Q1329" r:id="rId1359"/>
    <hyperlink ref="R1329" r:id="rId1360"/>
    <hyperlink ref="Q1331" r:id="rId1361"/>
    <hyperlink ref="R1331" r:id="rId1362"/>
    <hyperlink ref="R1335" r:id="rId1363"/>
    <hyperlink ref="R1336" r:id="rId1364"/>
    <hyperlink ref="Q1337" r:id="rId1365"/>
    <hyperlink ref="R1337" r:id="rId1366"/>
    <hyperlink ref="R1340" r:id="rId1367"/>
    <hyperlink ref="Q1341" r:id="rId1368"/>
    <hyperlink ref="R1341" r:id="rId1369"/>
    <hyperlink ref="Q1342" r:id="rId1370"/>
    <hyperlink ref="R1342" r:id="rId1371"/>
    <hyperlink ref="S1342" r:id="rId1372"/>
    <hyperlink ref="Q1344" r:id="rId1373"/>
    <hyperlink ref="R1344" r:id="rId1374"/>
    <hyperlink ref="S1344" r:id="rId1375"/>
    <hyperlink ref="R1345" r:id="rId1376"/>
    <hyperlink ref="Q1347" r:id="rId1377"/>
    <hyperlink ref="R1347" r:id="rId1378"/>
    <hyperlink ref="S1347" r:id="rId1379"/>
    <hyperlink ref="R1348" r:id="rId1380"/>
    <hyperlink ref="R1349" r:id="rId1381"/>
    <hyperlink ref="R1355" r:id="rId1382"/>
    <hyperlink ref="S1340" r:id="rId1383" display="https://gld.legislaturacba.gob.ar/Publics/Actas.aspx?id=Bd-6M0lAFxs=;"/>
    <hyperlink ref="S1345" r:id="rId1384"/>
    <hyperlink ref="S1348" r:id="rId1385"/>
    <hyperlink ref="S1349" r:id="rId1386"/>
    <hyperlink ref="S1355" r:id="rId1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836"/>
  <sheetViews>
    <sheetView workbookViewId="0"/>
  </sheetViews>
  <sheetFormatPr baseColWidth="10" defaultColWidth="12.5703125" defaultRowHeight="15.75" customHeight="1"/>
  <cols>
    <col min="1" max="2" width="10.7109375" customWidth="1"/>
    <col min="5" max="5" width="21.28515625" customWidth="1"/>
    <col min="6" max="6" width="22.42578125" customWidth="1"/>
    <col min="7" max="7" width="21.28515625" customWidth="1"/>
    <col min="8" max="8" width="15.42578125" customWidth="1"/>
  </cols>
  <sheetData>
    <row r="1" spans="1:8" ht="25.5">
      <c r="A1" s="64" t="s">
        <v>1</v>
      </c>
      <c r="B1" s="64" t="s">
        <v>0</v>
      </c>
      <c r="C1" s="65" t="s">
        <v>5</v>
      </c>
      <c r="D1" s="66" t="s">
        <v>3</v>
      </c>
      <c r="E1" s="65" t="s">
        <v>3282</v>
      </c>
      <c r="F1" s="67" t="s">
        <v>3283</v>
      </c>
      <c r="G1" s="68" t="s">
        <v>3284</v>
      </c>
      <c r="H1" s="68" t="s">
        <v>3285</v>
      </c>
    </row>
    <row r="2" spans="1:8" ht="12.75">
      <c r="A2" s="69">
        <v>2020</v>
      </c>
      <c r="B2" s="69">
        <v>16</v>
      </c>
      <c r="C2" s="70" t="s">
        <v>60</v>
      </c>
      <c r="D2" s="71">
        <v>43893</v>
      </c>
      <c r="E2" s="72" t="s">
        <v>3286</v>
      </c>
      <c r="F2" s="73" t="s">
        <v>3287</v>
      </c>
      <c r="G2" s="74" t="s">
        <v>1319</v>
      </c>
      <c r="H2" s="74" t="s">
        <v>3288</v>
      </c>
    </row>
    <row r="3" spans="1:8" ht="12.75">
      <c r="A3" s="69">
        <v>2020</v>
      </c>
      <c r="B3" s="69">
        <v>19</v>
      </c>
      <c r="C3" s="70" t="s">
        <v>39</v>
      </c>
      <c r="D3" s="71">
        <v>43893</v>
      </c>
      <c r="E3" s="72" t="s">
        <v>3289</v>
      </c>
      <c r="F3" s="73" t="s">
        <v>3290</v>
      </c>
      <c r="G3" s="74" t="s">
        <v>3291</v>
      </c>
      <c r="H3" s="74" t="s">
        <v>3292</v>
      </c>
    </row>
    <row r="4" spans="1:8" ht="12.75">
      <c r="A4" s="69">
        <v>2020</v>
      </c>
      <c r="B4" s="69">
        <v>19</v>
      </c>
      <c r="C4" s="70" t="s">
        <v>39</v>
      </c>
      <c r="D4" s="71">
        <v>43893</v>
      </c>
      <c r="E4" s="73" t="s">
        <v>3293</v>
      </c>
      <c r="F4" s="73" t="s">
        <v>3294</v>
      </c>
      <c r="G4" s="74" t="s">
        <v>3291</v>
      </c>
      <c r="H4" s="74" t="s">
        <v>3292</v>
      </c>
    </row>
    <row r="5" spans="1:8" ht="12.75">
      <c r="A5" s="69">
        <v>2020</v>
      </c>
      <c r="B5" s="69">
        <v>19</v>
      </c>
      <c r="C5" s="70" t="s">
        <v>39</v>
      </c>
      <c r="D5" s="71">
        <v>43893</v>
      </c>
      <c r="E5" s="73" t="s">
        <v>3295</v>
      </c>
      <c r="F5" s="73" t="s">
        <v>3296</v>
      </c>
      <c r="G5" s="74" t="s">
        <v>3291</v>
      </c>
      <c r="H5" s="74" t="s">
        <v>3292</v>
      </c>
    </row>
    <row r="6" spans="1:8" ht="12.75">
      <c r="A6" s="69">
        <v>2020</v>
      </c>
      <c r="B6" s="69">
        <v>19</v>
      </c>
      <c r="C6" s="70" t="s">
        <v>39</v>
      </c>
      <c r="D6" s="71">
        <v>43893</v>
      </c>
      <c r="E6" s="72" t="s">
        <v>3297</v>
      </c>
      <c r="F6" s="74" t="s">
        <v>3298</v>
      </c>
      <c r="G6" s="74" t="s">
        <v>3291</v>
      </c>
      <c r="H6" s="74" t="s">
        <v>3292</v>
      </c>
    </row>
    <row r="7" spans="1:8" ht="12.75">
      <c r="A7" s="69">
        <v>2020</v>
      </c>
      <c r="B7" s="69">
        <v>19</v>
      </c>
      <c r="C7" s="70" t="s">
        <v>39</v>
      </c>
      <c r="D7" s="71">
        <v>43893</v>
      </c>
      <c r="E7" s="73" t="s">
        <v>3299</v>
      </c>
      <c r="F7" s="73" t="s">
        <v>3300</v>
      </c>
      <c r="G7" s="74" t="s">
        <v>3291</v>
      </c>
      <c r="H7" s="74" t="s">
        <v>3292</v>
      </c>
    </row>
    <row r="8" spans="1:8" ht="12.75">
      <c r="A8" s="69">
        <v>2020</v>
      </c>
      <c r="B8" s="69">
        <v>21</v>
      </c>
      <c r="C8" s="70" t="s">
        <v>41</v>
      </c>
      <c r="D8" s="71">
        <v>43893</v>
      </c>
      <c r="E8" s="72" t="s">
        <v>3301</v>
      </c>
      <c r="F8" s="73" t="s">
        <v>3302</v>
      </c>
      <c r="G8" s="74" t="s">
        <v>3303</v>
      </c>
      <c r="H8" s="74" t="s">
        <v>3292</v>
      </c>
    </row>
    <row r="9" spans="1:8" ht="12.75">
      <c r="A9" s="69">
        <v>2020</v>
      </c>
      <c r="B9" s="69">
        <v>27</v>
      </c>
      <c r="C9" s="70" t="s">
        <v>73</v>
      </c>
      <c r="D9" s="71">
        <v>43900</v>
      </c>
      <c r="E9" s="72" t="s">
        <v>3304</v>
      </c>
      <c r="F9" s="73" t="s">
        <v>3305</v>
      </c>
      <c r="G9" s="74" t="s">
        <v>3306</v>
      </c>
      <c r="H9" s="74" t="s">
        <v>3292</v>
      </c>
    </row>
    <row r="10" spans="1:8" ht="12.75">
      <c r="A10" s="69">
        <v>2020</v>
      </c>
      <c r="B10" s="69">
        <v>28</v>
      </c>
      <c r="C10" s="70" t="s">
        <v>35</v>
      </c>
      <c r="D10" s="71">
        <v>43900</v>
      </c>
      <c r="E10" s="72" t="s">
        <v>3307</v>
      </c>
      <c r="F10" s="73" t="s">
        <v>3308</v>
      </c>
      <c r="G10" s="74" t="s">
        <v>3309</v>
      </c>
      <c r="H10" s="74" t="s">
        <v>3292</v>
      </c>
    </row>
    <row r="11" spans="1:8" ht="12.75">
      <c r="A11" s="69">
        <v>2020</v>
      </c>
      <c r="B11" s="69">
        <v>32</v>
      </c>
      <c r="C11" s="70" t="s">
        <v>55</v>
      </c>
      <c r="D11" s="71">
        <v>43935</v>
      </c>
      <c r="E11" s="72" t="s">
        <v>3310</v>
      </c>
      <c r="F11" s="73" t="s">
        <v>3302</v>
      </c>
      <c r="G11" s="74" t="s">
        <v>3311</v>
      </c>
      <c r="H11" s="74" t="s">
        <v>3292</v>
      </c>
    </row>
    <row r="12" spans="1:8" ht="12.75">
      <c r="A12" s="69">
        <v>2020</v>
      </c>
      <c r="B12" s="69">
        <v>33</v>
      </c>
      <c r="C12" s="70" t="s">
        <v>51</v>
      </c>
      <c r="D12" s="71">
        <v>43950</v>
      </c>
      <c r="E12" s="72" t="s">
        <v>3312</v>
      </c>
      <c r="F12" s="73" t="s">
        <v>3302</v>
      </c>
      <c r="G12" s="74" t="s">
        <v>3313</v>
      </c>
      <c r="H12" s="74" t="s">
        <v>3292</v>
      </c>
    </row>
    <row r="13" spans="1:8" ht="12.75">
      <c r="A13" s="69">
        <v>2020</v>
      </c>
      <c r="B13" s="69">
        <v>34</v>
      </c>
      <c r="C13" s="70" t="s">
        <v>41</v>
      </c>
      <c r="D13" s="71">
        <v>43956</v>
      </c>
      <c r="E13" s="72" t="s">
        <v>3314</v>
      </c>
      <c r="F13" s="73" t="s">
        <v>3302</v>
      </c>
      <c r="G13" s="74" t="s">
        <v>3303</v>
      </c>
      <c r="H13" s="74" t="s">
        <v>3292</v>
      </c>
    </row>
    <row r="14" spans="1:8" ht="12.75">
      <c r="A14" s="69">
        <v>2020</v>
      </c>
      <c r="B14" s="69">
        <v>35</v>
      </c>
      <c r="C14" s="70" t="s">
        <v>26</v>
      </c>
      <c r="D14" s="71">
        <v>43957</v>
      </c>
      <c r="E14" s="72" t="s">
        <v>3315</v>
      </c>
      <c r="F14" s="73" t="s">
        <v>3302</v>
      </c>
      <c r="G14" s="74" t="s">
        <v>3316</v>
      </c>
      <c r="H14" s="74" t="s">
        <v>3292</v>
      </c>
    </row>
    <row r="15" spans="1:8" ht="12.75">
      <c r="A15" s="69">
        <v>2020</v>
      </c>
      <c r="B15" s="69">
        <v>36</v>
      </c>
      <c r="C15" s="70" t="s">
        <v>67</v>
      </c>
      <c r="D15" s="71">
        <v>43958</v>
      </c>
      <c r="E15" s="72" t="s">
        <v>3317</v>
      </c>
      <c r="F15" s="73" t="s">
        <v>3318</v>
      </c>
      <c r="G15" s="74" t="s">
        <v>3291</v>
      </c>
      <c r="H15" s="74" t="s">
        <v>3292</v>
      </c>
    </row>
    <row r="16" spans="1:8" ht="12.75">
      <c r="A16" s="69">
        <v>2020</v>
      </c>
      <c r="B16" s="69">
        <v>36</v>
      </c>
      <c r="C16" s="70" t="s">
        <v>67</v>
      </c>
      <c r="D16" s="71">
        <v>43958</v>
      </c>
      <c r="E16" s="72" t="s">
        <v>3319</v>
      </c>
      <c r="F16" s="74" t="s">
        <v>3320</v>
      </c>
      <c r="G16" s="74" t="s">
        <v>3291</v>
      </c>
      <c r="H16" s="74" t="s">
        <v>3292</v>
      </c>
    </row>
    <row r="17" spans="1:8" ht="12.75">
      <c r="A17" s="69">
        <v>2020</v>
      </c>
      <c r="B17" s="69">
        <v>38</v>
      </c>
      <c r="C17" s="70" t="s">
        <v>73</v>
      </c>
      <c r="D17" s="71">
        <v>43963</v>
      </c>
      <c r="E17" s="72" t="s">
        <v>3321</v>
      </c>
      <c r="F17" s="74" t="s">
        <v>3322</v>
      </c>
      <c r="G17" s="74" t="s">
        <v>3323</v>
      </c>
      <c r="H17" s="74" t="s">
        <v>3292</v>
      </c>
    </row>
    <row r="18" spans="1:8" ht="12.75">
      <c r="A18" s="69">
        <v>2020</v>
      </c>
      <c r="B18" s="69">
        <v>39</v>
      </c>
      <c r="C18" s="70" t="s">
        <v>45</v>
      </c>
      <c r="D18" s="71">
        <v>43964</v>
      </c>
      <c r="E18" s="75" t="s">
        <v>3324</v>
      </c>
      <c r="F18" s="76" t="s">
        <v>3302</v>
      </c>
      <c r="G18" s="76" t="s">
        <v>3325</v>
      </c>
      <c r="H18" s="76" t="s">
        <v>3292</v>
      </c>
    </row>
    <row r="19" spans="1:8" ht="12.75">
      <c r="A19" s="69">
        <v>2020</v>
      </c>
      <c r="B19" s="69">
        <v>39</v>
      </c>
      <c r="C19" s="70" t="s">
        <v>45</v>
      </c>
      <c r="D19" s="71">
        <v>43965</v>
      </c>
      <c r="E19" s="72" t="s">
        <v>3326</v>
      </c>
      <c r="F19" s="74" t="s">
        <v>3327</v>
      </c>
      <c r="G19" s="74" t="s">
        <v>3328</v>
      </c>
      <c r="H19" s="74" t="s">
        <v>3292</v>
      </c>
    </row>
    <row r="20" spans="1:8" ht="12.75">
      <c r="A20" s="69">
        <v>2020</v>
      </c>
      <c r="B20" s="69">
        <v>43</v>
      </c>
      <c r="C20" s="70" t="s">
        <v>148</v>
      </c>
      <c r="D20" s="71">
        <v>43970</v>
      </c>
      <c r="E20" s="72" t="s">
        <v>3329</v>
      </c>
      <c r="F20" s="74" t="s">
        <v>3330</v>
      </c>
      <c r="G20" s="74" t="s">
        <v>3331</v>
      </c>
      <c r="H20" s="74" t="s">
        <v>3292</v>
      </c>
    </row>
    <row r="21" spans="1:8" ht="12.75">
      <c r="A21" s="69">
        <v>2020</v>
      </c>
      <c r="B21" s="69">
        <v>43</v>
      </c>
      <c r="C21" s="70" t="s">
        <v>148</v>
      </c>
      <c r="D21" s="71">
        <v>43970</v>
      </c>
      <c r="E21" s="73" t="s">
        <v>3332</v>
      </c>
      <c r="F21" s="73" t="s">
        <v>3333</v>
      </c>
      <c r="G21" s="74" t="s">
        <v>3331</v>
      </c>
      <c r="H21" s="74" t="s">
        <v>3292</v>
      </c>
    </row>
    <row r="22" spans="1:8" ht="12.75">
      <c r="A22" s="69">
        <v>2020</v>
      </c>
      <c r="B22" s="69">
        <v>43</v>
      </c>
      <c r="C22" s="70" t="s">
        <v>148</v>
      </c>
      <c r="D22" s="71">
        <v>43970</v>
      </c>
      <c r="E22" s="73" t="s">
        <v>3334</v>
      </c>
      <c r="F22" s="73" t="s">
        <v>3335</v>
      </c>
      <c r="G22" s="74" t="s">
        <v>3331</v>
      </c>
      <c r="H22" s="74" t="s">
        <v>3292</v>
      </c>
    </row>
    <row r="23" spans="1:8" ht="12.75">
      <c r="A23" s="69">
        <v>2020</v>
      </c>
      <c r="B23" s="69">
        <v>45</v>
      </c>
      <c r="C23" s="70" t="s">
        <v>43</v>
      </c>
      <c r="D23" s="71">
        <v>43972</v>
      </c>
      <c r="E23" s="72" t="s">
        <v>3336</v>
      </c>
      <c r="F23" s="74" t="s">
        <v>3330</v>
      </c>
      <c r="G23" s="74" t="s">
        <v>3337</v>
      </c>
      <c r="H23" s="74" t="s">
        <v>3292</v>
      </c>
    </row>
    <row r="24" spans="1:8" ht="12.75">
      <c r="A24" s="69">
        <v>2020</v>
      </c>
      <c r="B24" s="69">
        <v>52</v>
      </c>
      <c r="C24" s="70" t="s">
        <v>35</v>
      </c>
      <c r="D24" s="71">
        <v>43984</v>
      </c>
      <c r="E24" s="72" t="s">
        <v>3307</v>
      </c>
      <c r="F24" s="74" t="s">
        <v>3308</v>
      </c>
      <c r="G24" s="74" t="s">
        <v>3309</v>
      </c>
      <c r="H24" s="74" t="s">
        <v>3292</v>
      </c>
    </row>
    <row r="25" spans="1:8" ht="12.75">
      <c r="A25" s="69">
        <v>2020</v>
      </c>
      <c r="B25" s="69">
        <v>52</v>
      </c>
      <c r="C25" s="70" t="s">
        <v>35</v>
      </c>
      <c r="D25" s="71">
        <v>43984</v>
      </c>
      <c r="E25" s="72" t="s">
        <v>3338</v>
      </c>
      <c r="F25" s="74" t="s">
        <v>3339</v>
      </c>
      <c r="G25" s="74" t="s">
        <v>3309</v>
      </c>
      <c r="H25" s="74" t="s">
        <v>3292</v>
      </c>
    </row>
    <row r="26" spans="1:8" ht="12.75">
      <c r="A26" s="69">
        <v>2020</v>
      </c>
      <c r="B26" s="69">
        <v>52</v>
      </c>
      <c r="C26" s="70" t="s">
        <v>35</v>
      </c>
      <c r="D26" s="71">
        <v>43984</v>
      </c>
      <c r="E26" s="72" t="s">
        <v>3340</v>
      </c>
      <c r="F26" s="74" t="s">
        <v>3341</v>
      </c>
      <c r="G26" s="74" t="s">
        <v>3309</v>
      </c>
      <c r="H26" s="74" t="s">
        <v>3292</v>
      </c>
    </row>
    <row r="27" spans="1:8" ht="12.75">
      <c r="A27" s="69">
        <v>2020</v>
      </c>
      <c r="B27" s="69">
        <v>52</v>
      </c>
      <c r="C27" s="70" t="s">
        <v>35</v>
      </c>
      <c r="D27" s="71">
        <v>43984</v>
      </c>
      <c r="E27" s="72" t="s">
        <v>3342</v>
      </c>
      <c r="F27" s="73" t="s">
        <v>3343</v>
      </c>
      <c r="G27" s="74" t="s">
        <v>3309</v>
      </c>
      <c r="H27" s="74" t="s">
        <v>3292</v>
      </c>
    </row>
    <row r="28" spans="1:8" ht="12.75">
      <c r="A28" s="69">
        <v>2020</v>
      </c>
      <c r="B28" s="69">
        <v>53</v>
      </c>
      <c r="C28" s="77" t="s">
        <v>185</v>
      </c>
      <c r="D28" s="71">
        <v>43984</v>
      </c>
      <c r="E28" s="72" t="s">
        <v>3310</v>
      </c>
      <c r="F28" s="74" t="s">
        <v>3302</v>
      </c>
      <c r="G28" s="74" t="s">
        <v>3311</v>
      </c>
      <c r="H28" s="74" t="s">
        <v>3292</v>
      </c>
    </row>
    <row r="29" spans="1:8" ht="12.75">
      <c r="A29" s="69">
        <v>2020</v>
      </c>
      <c r="B29" s="69">
        <v>53</v>
      </c>
      <c r="C29" s="77" t="s">
        <v>185</v>
      </c>
      <c r="D29" s="71">
        <v>43984</v>
      </c>
      <c r="E29" s="72" t="s">
        <v>3344</v>
      </c>
      <c r="F29" s="74" t="s">
        <v>3345</v>
      </c>
      <c r="G29" s="74" t="s">
        <v>3311</v>
      </c>
      <c r="H29" s="74" t="s">
        <v>3292</v>
      </c>
    </row>
    <row r="30" spans="1:8" ht="12.75">
      <c r="A30" s="69">
        <v>2020</v>
      </c>
      <c r="B30" s="69">
        <v>53</v>
      </c>
      <c r="C30" s="77" t="s">
        <v>185</v>
      </c>
      <c r="D30" s="71">
        <v>43984</v>
      </c>
      <c r="E30" s="72" t="s">
        <v>3346</v>
      </c>
      <c r="F30" s="74" t="s">
        <v>3347</v>
      </c>
      <c r="G30" s="74" t="s">
        <v>3311</v>
      </c>
      <c r="H30" s="74" t="s">
        <v>3292</v>
      </c>
    </row>
    <row r="31" spans="1:8" ht="12.75">
      <c r="A31" s="69">
        <v>2020</v>
      </c>
      <c r="B31" s="69">
        <v>53</v>
      </c>
      <c r="C31" s="77" t="s">
        <v>185</v>
      </c>
      <c r="D31" s="71">
        <v>43984</v>
      </c>
      <c r="E31" s="72" t="s">
        <v>3348</v>
      </c>
      <c r="F31" s="73" t="s">
        <v>3349</v>
      </c>
      <c r="G31" s="74" t="s">
        <v>3311</v>
      </c>
      <c r="H31" s="74" t="s">
        <v>3292</v>
      </c>
    </row>
    <row r="32" spans="1:8" ht="12.75">
      <c r="A32" s="69">
        <v>2020</v>
      </c>
      <c r="B32" s="69">
        <v>57</v>
      </c>
      <c r="C32" s="70" t="s">
        <v>21</v>
      </c>
      <c r="D32" s="71">
        <v>43991</v>
      </c>
      <c r="E32" s="72" t="s">
        <v>3350</v>
      </c>
      <c r="F32" s="74" t="s">
        <v>3330</v>
      </c>
      <c r="G32" s="74" t="s">
        <v>3351</v>
      </c>
      <c r="H32" s="74" t="s">
        <v>3292</v>
      </c>
    </row>
    <row r="33" spans="1:8" ht="12.75">
      <c r="A33" s="69">
        <v>2020</v>
      </c>
      <c r="B33" s="69">
        <v>58</v>
      </c>
      <c r="C33" s="70" t="s">
        <v>73</v>
      </c>
      <c r="D33" s="71">
        <v>43991</v>
      </c>
      <c r="E33" s="72" t="s">
        <v>3352</v>
      </c>
      <c r="F33" s="74" t="s">
        <v>3302</v>
      </c>
      <c r="G33" s="74" t="s">
        <v>3353</v>
      </c>
      <c r="H33" s="74" t="s">
        <v>3292</v>
      </c>
    </row>
    <row r="34" spans="1:8" ht="12.75">
      <c r="A34" s="69">
        <v>2020</v>
      </c>
      <c r="B34" s="69">
        <v>58</v>
      </c>
      <c r="C34" s="70" t="s">
        <v>73</v>
      </c>
      <c r="D34" s="71">
        <v>43991</v>
      </c>
      <c r="E34" s="72" t="s">
        <v>3354</v>
      </c>
      <c r="F34" s="74" t="s">
        <v>3355</v>
      </c>
      <c r="G34" s="74" t="s">
        <v>3353</v>
      </c>
      <c r="H34" s="74" t="s">
        <v>3292</v>
      </c>
    </row>
    <row r="35" spans="1:8" ht="12.75">
      <c r="A35" s="69">
        <v>2020</v>
      </c>
      <c r="B35" s="69">
        <v>59</v>
      </c>
      <c r="C35" s="70" t="s">
        <v>35</v>
      </c>
      <c r="D35" s="71">
        <v>43993</v>
      </c>
      <c r="E35" s="72" t="s">
        <v>3356</v>
      </c>
      <c r="F35" s="73" t="s">
        <v>3357</v>
      </c>
      <c r="G35" s="74" t="s">
        <v>3358</v>
      </c>
      <c r="H35" s="74" t="s">
        <v>3288</v>
      </c>
    </row>
    <row r="36" spans="1:8" ht="12.75">
      <c r="A36" s="69">
        <v>2020</v>
      </c>
      <c r="B36" s="69">
        <v>59</v>
      </c>
      <c r="C36" s="70" t="s">
        <v>35</v>
      </c>
      <c r="D36" s="71">
        <v>43993</v>
      </c>
      <c r="E36" s="73" t="s">
        <v>3359</v>
      </c>
      <c r="F36" s="73" t="s">
        <v>3360</v>
      </c>
      <c r="G36" s="74" t="s">
        <v>3358</v>
      </c>
      <c r="H36" s="74" t="s">
        <v>3288</v>
      </c>
    </row>
    <row r="37" spans="1:8" ht="12.75">
      <c r="A37" s="69">
        <v>2020</v>
      </c>
      <c r="B37" s="69">
        <v>60</v>
      </c>
      <c r="C37" s="77" t="s">
        <v>217</v>
      </c>
      <c r="D37" s="71">
        <v>43993</v>
      </c>
      <c r="E37" s="72" t="s">
        <v>3361</v>
      </c>
      <c r="F37" s="74" t="s">
        <v>3362</v>
      </c>
      <c r="G37" s="74" t="s">
        <v>3291</v>
      </c>
      <c r="H37" s="74" t="s">
        <v>3292</v>
      </c>
    </row>
    <row r="38" spans="1:8" ht="12.75">
      <c r="A38" s="69">
        <v>2020</v>
      </c>
      <c r="B38" s="69">
        <v>62</v>
      </c>
      <c r="C38" s="77" t="s">
        <v>225</v>
      </c>
      <c r="D38" s="71">
        <v>43998</v>
      </c>
      <c r="E38" s="72" t="s">
        <v>3363</v>
      </c>
      <c r="F38" s="74" t="s">
        <v>3364</v>
      </c>
      <c r="G38" s="74" t="s">
        <v>3291</v>
      </c>
      <c r="H38" s="74" t="s">
        <v>3292</v>
      </c>
    </row>
    <row r="39" spans="1:8" ht="12.75">
      <c r="A39" s="69">
        <v>2020</v>
      </c>
      <c r="B39" s="69">
        <v>62</v>
      </c>
      <c r="C39" s="77" t="s">
        <v>225</v>
      </c>
      <c r="D39" s="71">
        <v>43998</v>
      </c>
      <c r="E39" s="72" t="s">
        <v>3365</v>
      </c>
      <c r="F39" s="74" t="s">
        <v>3366</v>
      </c>
      <c r="G39" s="74" t="s">
        <v>3291</v>
      </c>
      <c r="H39" s="74" t="s">
        <v>3292</v>
      </c>
    </row>
    <row r="40" spans="1:8" ht="12.75">
      <c r="A40" s="69">
        <v>2020</v>
      </c>
      <c r="B40" s="69">
        <v>62</v>
      </c>
      <c r="C40" s="77" t="s">
        <v>225</v>
      </c>
      <c r="D40" s="71">
        <v>43998</v>
      </c>
      <c r="E40" s="72" t="s">
        <v>3367</v>
      </c>
      <c r="F40" s="74" t="s">
        <v>3368</v>
      </c>
      <c r="G40" s="74" t="s">
        <v>3291</v>
      </c>
      <c r="H40" s="74" t="s">
        <v>3292</v>
      </c>
    </row>
    <row r="41" spans="1:8" ht="12.75">
      <c r="A41" s="69">
        <v>2020</v>
      </c>
      <c r="B41" s="69">
        <v>62</v>
      </c>
      <c r="C41" s="77" t="s">
        <v>225</v>
      </c>
      <c r="D41" s="71">
        <v>43998</v>
      </c>
      <c r="E41" s="72" t="s">
        <v>3369</v>
      </c>
      <c r="F41" s="74" t="s">
        <v>3370</v>
      </c>
      <c r="G41" s="74" t="s">
        <v>3291</v>
      </c>
      <c r="H41" s="74" t="s">
        <v>3292</v>
      </c>
    </row>
    <row r="42" spans="1:8" ht="12.75">
      <c r="A42" s="69">
        <v>2020</v>
      </c>
      <c r="B42" s="69">
        <v>62</v>
      </c>
      <c r="C42" s="77" t="s">
        <v>225</v>
      </c>
      <c r="D42" s="71">
        <v>43998</v>
      </c>
      <c r="E42" s="72" t="s">
        <v>3371</v>
      </c>
      <c r="F42" s="74" t="s">
        <v>3372</v>
      </c>
      <c r="G42" s="74" t="s">
        <v>3291</v>
      </c>
      <c r="H42" s="74" t="s">
        <v>3292</v>
      </c>
    </row>
    <row r="43" spans="1:8" ht="12.75">
      <c r="A43" s="69">
        <v>2020</v>
      </c>
      <c r="B43" s="69">
        <v>62</v>
      </c>
      <c r="C43" s="77" t="s">
        <v>225</v>
      </c>
      <c r="D43" s="71">
        <v>43998</v>
      </c>
      <c r="E43" s="72" t="s">
        <v>3373</v>
      </c>
      <c r="F43" s="74" t="s">
        <v>3374</v>
      </c>
      <c r="G43" s="74" t="s">
        <v>3291</v>
      </c>
      <c r="H43" s="74" t="s">
        <v>3292</v>
      </c>
    </row>
    <row r="44" spans="1:8" ht="12.75">
      <c r="A44" s="69">
        <v>2020</v>
      </c>
      <c r="B44" s="69">
        <v>62</v>
      </c>
      <c r="C44" s="77" t="s">
        <v>225</v>
      </c>
      <c r="D44" s="71">
        <v>43998</v>
      </c>
      <c r="E44" s="72" t="s">
        <v>3375</v>
      </c>
      <c r="F44" s="74" t="s">
        <v>3376</v>
      </c>
      <c r="G44" s="74" t="s">
        <v>3291</v>
      </c>
      <c r="H44" s="74" t="s">
        <v>3292</v>
      </c>
    </row>
    <row r="45" spans="1:8" ht="12.75">
      <c r="A45" s="69">
        <v>2020</v>
      </c>
      <c r="B45" s="69">
        <v>67</v>
      </c>
      <c r="C45" s="77" t="s">
        <v>244</v>
      </c>
      <c r="D45" s="71">
        <v>44005</v>
      </c>
      <c r="E45" s="72" t="s">
        <v>3329</v>
      </c>
      <c r="F45" s="74" t="s">
        <v>3330</v>
      </c>
      <c r="G45" s="74" t="s">
        <v>3331</v>
      </c>
      <c r="H45" s="74" t="s">
        <v>3292</v>
      </c>
    </row>
    <row r="46" spans="1:8" ht="12.75">
      <c r="A46" s="69">
        <v>2020</v>
      </c>
      <c r="B46" s="69">
        <v>68</v>
      </c>
      <c r="C46" s="70" t="s">
        <v>41</v>
      </c>
      <c r="D46" s="71">
        <v>44006</v>
      </c>
      <c r="E46" s="72" t="s">
        <v>3377</v>
      </c>
      <c r="F46" s="74" t="s">
        <v>3378</v>
      </c>
      <c r="G46" s="74" t="s">
        <v>3303</v>
      </c>
      <c r="H46" s="74" t="s">
        <v>3292</v>
      </c>
    </row>
    <row r="47" spans="1:8" ht="12.75">
      <c r="A47" s="69">
        <v>2020</v>
      </c>
      <c r="B47" s="69">
        <v>69</v>
      </c>
      <c r="C47" s="77" t="s">
        <v>250</v>
      </c>
      <c r="D47" s="71">
        <v>44007</v>
      </c>
      <c r="E47" s="72" t="s">
        <v>3379</v>
      </c>
      <c r="F47" s="74" t="s">
        <v>3302</v>
      </c>
      <c r="G47" s="74" t="s">
        <v>3306</v>
      </c>
      <c r="H47" s="74" t="s">
        <v>3292</v>
      </c>
    </row>
    <row r="48" spans="1:8" ht="12.75">
      <c r="A48" s="69">
        <v>2020</v>
      </c>
      <c r="B48" s="69">
        <v>69</v>
      </c>
      <c r="C48" s="77" t="s">
        <v>250</v>
      </c>
      <c r="D48" s="71">
        <v>44007</v>
      </c>
      <c r="E48" s="73" t="s">
        <v>3380</v>
      </c>
      <c r="F48" s="73" t="s">
        <v>3381</v>
      </c>
      <c r="G48" s="74" t="s">
        <v>3306</v>
      </c>
      <c r="H48" s="74" t="s">
        <v>3292</v>
      </c>
    </row>
    <row r="49" spans="1:8" ht="12.75">
      <c r="A49" s="69">
        <v>2020</v>
      </c>
      <c r="B49" s="69">
        <v>70</v>
      </c>
      <c r="C49" s="70" t="s">
        <v>35</v>
      </c>
      <c r="D49" s="71">
        <v>44007</v>
      </c>
      <c r="E49" s="72" t="s">
        <v>3382</v>
      </c>
      <c r="F49" s="73" t="s">
        <v>3383</v>
      </c>
      <c r="G49" s="74" t="s">
        <v>3309</v>
      </c>
      <c r="H49" s="74" t="s">
        <v>3292</v>
      </c>
    </row>
    <row r="50" spans="1:8" ht="12.75">
      <c r="A50" s="69">
        <v>2020</v>
      </c>
      <c r="B50" s="69">
        <v>70</v>
      </c>
      <c r="C50" s="70" t="s">
        <v>35</v>
      </c>
      <c r="D50" s="71">
        <v>44007</v>
      </c>
      <c r="E50" s="72" t="s">
        <v>3384</v>
      </c>
      <c r="F50" s="74" t="s">
        <v>3385</v>
      </c>
      <c r="G50" s="74" t="s">
        <v>3309</v>
      </c>
      <c r="H50" s="74" t="s">
        <v>3292</v>
      </c>
    </row>
    <row r="51" spans="1:8" ht="12.75">
      <c r="A51" s="69">
        <v>2020</v>
      </c>
      <c r="B51" s="69">
        <v>71</v>
      </c>
      <c r="C51" s="77" t="s">
        <v>3386</v>
      </c>
      <c r="D51" s="71">
        <v>44012</v>
      </c>
      <c r="E51" s="72" t="s">
        <v>3387</v>
      </c>
      <c r="F51" s="74" t="s">
        <v>3388</v>
      </c>
      <c r="G51" s="74" t="s">
        <v>3389</v>
      </c>
      <c r="H51" s="74" t="s">
        <v>3288</v>
      </c>
    </row>
    <row r="52" spans="1:8" ht="12.75">
      <c r="A52" s="69">
        <v>2020</v>
      </c>
      <c r="B52" s="78">
        <v>73</v>
      </c>
      <c r="C52" s="70" t="s">
        <v>43</v>
      </c>
      <c r="D52" s="71">
        <v>44012</v>
      </c>
      <c r="E52" s="72" t="s">
        <v>3390</v>
      </c>
      <c r="F52" s="74" t="s">
        <v>3391</v>
      </c>
      <c r="G52" s="74" t="s">
        <v>3392</v>
      </c>
      <c r="H52" s="74" t="s">
        <v>3393</v>
      </c>
    </row>
    <row r="53" spans="1:8" ht="12.75">
      <c r="A53" s="69">
        <v>2020</v>
      </c>
      <c r="B53" s="69">
        <v>74</v>
      </c>
      <c r="C53" s="70" t="s">
        <v>49</v>
      </c>
      <c r="D53" s="71">
        <v>44014</v>
      </c>
      <c r="E53" s="72" t="s">
        <v>3394</v>
      </c>
      <c r="F53" s="73" t="s">
        <v>3395</v>
      </c>
      <c r="G53" s="74" t="s">
        <v>3396</v>
      </c>
      <c r="H53" s="74" t="s">
        <v>3393</v>
      </c>
    </row>
    <row r="54" spans="1:8" ht="12.75">
      <c r="A54" s="69">
        <v>2020</v>
      </c>
      <c r="B54" s="78">
        <v>76</v>
      </c>
      <c r="C54" s="77" t="s">
        <v>225</v>
      </c>
      <c r="D54" s="71">
        <v>44019</v>
      </c>
      <c r="E54" s="73" t="s">
        <v>3363</v>
      </c>
      <c r="F54" s="74" t="s">
        <v>3364</v>
      </c>
      <c r="G54" s="74" t="s">
        <v>3291</v>
      </c>
      <c r="H54" s="74" t="s">
        <v>3292</v>
      </c>
    </row>
    <row r="55" spans="1:8" ht="12.75">
      <c r="A55" s="69">
        <v>2020</v>
      </c>
      <c r="B55" s="78">
        <v>76</v>
      </c>
      <c r="C55" s="77" t="s">
        <v>225</v>
      </c>
      <c r="D55" s="71">
        <v>44019</v>
      </c>
      <c r="E55" s="72" t="s">
        <v>3397</v>
      </c>
      <c r="F55" s="74" t="s">
        <v>3398</v>
      </c>
      <c r="G55" s="74" t="s">
        <v>3328</v>
      </c>
      <c r="H55" s="74" t="s">
        <v>3292</v>
      </c>
    </row>
    <row r="56" spans="1:8" ht="12.75">
      <c r="A56" s="69">
        <v>2020</v>
      </c>
      <c r="B56" s="78">
        <v>76</v>
      </c>
      <c r="C56" s="77" t="s">
        <v>225</v>
      </c>
      <c r="D56" s="71">
        <v>44019</v>
      </c>
      <c r="E56" s="72" t="s">
        <v>3399</v>
      </c>
      <c r="F56" s="79" t="s">
        <v>3400</v>
      </c>
      <c r="G56" s="74" t="s">
        <v>3291</v>
      </c>
      <c r="H56" s="74" t="s">
        <v>3292</v>
      </c>
    </row>
    <row r="57" spans="1:8" ht="12.75">
      <c r="A57" s="69">
        <v>2020</v>
      </c>
      <c r="B57" s="78">
        <v>76</v>
      </c>
      <c r="C57" s="77" t="s">
        <v>225</v>
      </c>
      <c r="D57" s="71">
        <v>44019</v>
      </c>
      <c r="E57" s="72" t="s">
        <v>3401</v>
      </c>
      <c r="F57" s="74" t="s">
        <v>3402</v>
      </c>
      <c r="G57" s="74" t="s">
        <v>3306</v>
      </c>
      <c r="H57" s="74" t="s">
        <v>3292</v>
      </c>
    </row>
    <row r="58" spans="1:8" ht="12.75">
      <c r="A58" s="69">
        <v>2020</v>
      </c>
      <c r="B58" s="78">
        <v>76</v>
      </c>
      <c r="C58" s="77" t="s">
        <v>225</v>
      </c>
      <c r="D58" s="71">
        <v>44019</v>
      </c>
      <c r="E58" s="72" t="s">
        <v>3375</v>
      </c>
      <c r="F58" s="74" t="s">
        <v>3403</v>
      </c>
      <c r="G58" s="74" t="s">
        <v>3306</v>
      </c>
      <c r="H58" s="74" t="s">
        <v>3292</v>
      </c>
    </row>
    <row r="59" spans="1:8" ht="12.75">
      <c r="A59" s="69">
        <v>2020</v>
      </c>
      <c r="B59" s="78">
        <v>76</v>
      </c>
      <c r="C59" s="77" t="s">
        <v>225</v>
      </c>
      <c r="D59" s="71">
        <v>44019</v>
      </c>
      <c r="E59" s="72" t="s">
        <v>3404</v>
      </c>
      <c r="F59" s="74" t="s">
        <v>3405</v>
      </c>
      <c r="G59" s="74" t="s">
        <v>3291</v>
      </c>
      <c r="H59" s="74" t="s">
        <v>3292</v>
      </c>
    </row>
    <row r="60" spans="1:8" ht="12.75">
      <c r="A60" s="69">
        <v>2020</v>
      </c>
      <c r="B60" s="78">
        <v>78</v>
      </c>
      <c r="C60" s="77" t="s">
        <v>3406</v>
      </c>
      <c r="D60" s="71">
        <v>44019</v>
      </c>
      <c r="E60" s="75" t="s">
        <v>3407</v>
      </c>
      <c r="F60" s="76" t="s">
        <v>3408</v>
      </c>
      <c r="G60" s="76" t="s">
        <v>3409</v>
      </c>
      <c r="H60" s="76" t="s">
        <v>3288</v>
      </c>
    </row>
    <row r="61" spans="1:8" ht="12.75">
      <c r="A61" s="69">
        <v>2020</v>
      </c>
      <c r="B61" s="78">
        <v>78</v>
      </c>
      <c r="C61" s="77" t="s">
        <v>3406</v>
      </c>
      <c r="D61" s="71">
        <v>44019</v>
      </c>
      <c r="E61" s="72" t="s">
        <v>3410</v>
      </c>
      <c r="F61" s="74" t="s">
        <v>3411</v>
      </c>
      <c r="G61" s="76" t="s">
        <v>3409</v>
      </c>
      <c r="H61" s="76" t="s">
        <v>3288</v>
      </c>
    </row>
    <row r="62" spans="1:8" ht="12.75">
      <c r="A62" s="69">
        <v>2020</v>
      </c>
      <c r="B62" s="78">
        <v>78</v>
      </c>
      <c r="C62" s="77" t="s">
        <v>3406</v>
      </c>
      <c r="D62" s="71">
        <v>44019</v>
      </c>
      <c r="E62" s="72" t="s">
        <v>3412</v>
      </c>
      <c r="F62" s="74" t="s">
        <v>3413</v>
      </c>
      <c r="G62" s="74" t="s">
        <v>3409</v>
      </c>
      <c r="H62" s="74" t="s">
        <v>3288</v>
      </c>
    </row>
    <row r="63" spans="1:8" ht="12.75">
      <c r="A63" s="69">
        <v>2020</v>
      </c>
      <c r="B63" s="78">
        <v>78</v>
      </c>
      <c r="C63" s="77" t="s">
        <v>3406</v>
      </c>
      <c r="D63" s="71">
        <v>44019</v>
      </c>
      <c r="E63" s="72" t="s">
        <v>3414</v>
      </c>
      <c r="F63" s="74" t="s">
        <v>3415</v>
      </c>
      <c r="G63" s="74" t="s">
        <v>3409</v>
      </c>
      <c r="H63" s="74" t="s">
        <v>3288</v>
      </c>
    </row>
    <row r="64" spans="1:8" ht="12.75">
      <c r="A64" s="69">
        <v>2020</v>
      </c>
      <c r="B64" s="78">
        <v>78</v>
      </c>
      <c r="C64" s="77" t="s">
        <v>3406</v>
      </c>
      <c r="D64" s="71">
        <v>44019</v>
      </c>
      <c r="E64" s="72" t="s">
        <v>3416</v>
      </c>
      <c r="F64" s="74" t="s">
        <v>3417</v>
      </c>
      <c r="G64" s="74" t="s">
        <v>3409</v>
      </c>
      <c r="H64" s="74" t="s">
        <v>3288</v>
      </c>
    </row>
    <row r="65" spans="1:8" ht="12.75">
      <c r="A65" s="69">
        <v>2020</v>
      </c>
      <c r="B65" s="78">
        <v>78</v>
      </c>
      <c r="C65" s="77" t="s">
        <v>3406</v>
      </c>
      <c r="D65" s="71">
        <v>44019</v>
      </c>
      <c r="E65" s="72" t="s">
        <v>3418</v>
      </c>
      <c r="F65" s="74" t="s">
        <v>3419</v>
      </c>
      <c r="G65" s="74" t="s">
        <v>3409</v>
      </c>
      <c r="H65" s="74" t="s">
        <v>3288</v>
      </c>
    </row>
    <row r="66" spans="1:8" ht="12.75">
      <c r="A66" s="69">
        <v>2020</v>
      </c>
      <c r="B66" s="78">
        <v>78</v>
      </c>
      <c r="C66" s="77" t="s">
        <v>3406</v>
      </c>
      <c r="D66" s="71">
        <v>44019</v>
      </c>
      <c r="E66" s="72" t="s">
        <v>3420</v>
      </c>
      <c r="F66" s="74" t="s">
        <v>3421</v>
      </c>
      <c r="G66" s="74" t="s">
        <v>3409</v>
      </c>
      <c r="H66" s="74" t="s">
        <v>3288</v>
      </c>
    </row>
    <row r="67" spans="1:8" ht="12.75">
      <c r="A67" s="69">
        <v>2020</v>
      </c>
      <c r="B67" s="78">
        <v>78</v>
      </c>
      <c r="C67" s="77" t="s">
        <v>3406</v>
      </c>
      <c r="D67" s="71">
        <v>44019</v>
      </c>
      <c r="E67" s="72" t="s">
        <v>3422</v>
      </c>
      <c r="F67" s="74" t="s">
        <v>3423</v>
      </c>
      <c r="G67" s="74" t="s">
        <v>3409</v>
      </c>
      <c r="H67" s="74" t="s">
        <v>3288</v>
      </c>
    </row>
    <row r="68" spans="1:8" ht="12.75">
      <c r="A68" s="69">
        <v>2020</v>
      </c>
      <c r="B68" s="78">
        <v>78</v>
      </c>
      <c r="C68" s="77" t="s">
        <v>3406</v>
      </c>
      <c r="D68" s="71">
        <v>44019</v>
      </c>
      <c r="E68" s="72" t="s">
        <v>3424</v>
      </c>
      <c r="F68" s="74" t="s">
        <v>3425</v>
      </c>
      <c r="G68" s="74" t="s">
        <v>3409</v>
      </c>
      <c r="H68" s="74" t="s">
        <v>3288</v>
      </c>
    </row>
    <row r="69" spans="1:8" ht="12.75">
      <c r="A69" s="69">
        <v>2020</v>
      </c>
      <c r="B69" s="78">
        <v>78</v>
      </c>
      <c r="C69" s="77" t="s">
        <v>3406</v>
      </c>
      <c r="D69" s="71">
        <v>44019</v>
      </c>
      <c r="E69" s="72" t="s">
        <v>3426</v>
      </c>
      <c r="F69" s="74" t="s">
        <v>3427</v>
      </c>
      <c r="G69" s="74" t="s">
        <v>3409</v>
      </c>
      <c r="H69" s="74" t="s">
        <v>3288</v>
      </c>
    </row>
    <row r="70" spans="1:8" ht="12.75">
      <c r="A70" s="69">
        <v>2020</v>
      </c>
      <c r="B70" s="78">
        <v>79</v>
      </c>
      <c r="C70" s="77" t="s">
        <v>299</v>
      </c>
      <c r="D70" s="71">
        <v>44026</v>
      </c>
      <c r="E70" s="72" t="s">
        <v>3428</v>
      </c>
      <c r="F70" s="73" t="s">
        <v>3429</v>
      </c>
      <c r="G70" s="74" t="s">
        <v>3389</v>
      </c>
      <c r="H70" s="74" t="s">
        <v>3288</v>
      </c>
    </row>
    <row r="71" spans="1:8" ht="12.75">
      <c r="A71" s="69">
        <v>2020</v>
      </c>
      <c r="B71" s="78">
        <v>82</v>
      </c>
      <c r="C71" s="70" t="s">
        <v>28</v>
      </c>
      <c r="D71" s="71">
        <v>44027</v>
      </c>
      <c r="E71" s="72" t="s">
        <v>3430</v>
      </c>
      <c r="F71" s="73" t="s">
        <v>3431</v>
      </c>
      <c r="G71" s="74" t="s">
        <v>3432</v>
      </c>
      <c r="H71" s="74" t="s">
        <v>3292</v>
      </c>
    </row>
    <row r="72" spans="1:8" ht="12.75">
      <c r="A72" s="69">
        <v>2020</v>
      </c>
      <c r="B72" s="78">
        <v>82</v>
      </c>
      <c r="C72" s="70" t="s">
        <v>28</v>
      </c>
      <c r="D72" s="71">
        <v>44027</v>
      </c>
      <c r="E72" s="73" t="s">
        <v>3433</v>
      </c>
      <c r="F72" s="73" t="s">
        <v>3434</v>
      </c>
      <c r="G72" s="74" t="s">
        <v>3432</v>
      </c>
      <c r="H72" s="74" t="s">
        <v>3292</v>
      </c>
    </row>
    <row r="73" spans="1:8" ht="12.75">
      <c r="A73" s="69">
        <v>2020</v>
      </c>
      <c r="B73" s="69">
        <v>85</v>
      </c>
      <c r="C73" s="70" t="s">
        <v>45</v>
      </c>
      <c r="D73" s="71">
        <v>44033</v>
      </c>
      <c r="E73" s="72" t="s">
        <v>3435</v>
      </c>
      <c r="F73" s="74" t="s">
        <v>3436</v>
      </c>
      <c r="G73" s="74" t="s">
        <v>3325</v>
      </c>
      <c r="H73" s="74" t="s">
        <v>3292</v>
      </c>
    </row>
    <row r="74" spans="1:8" ht="12.75">
      <c r="A74" s="69">
        <v>2020</v>
      </c>
      <c r="B74" s="69">
        <v>86</v>
      </c>
      <c r="C74" s="70" t="s">
        <v>41</v>
      </c>
      <c r="D74" s="71">
        <v>44033</v>
      </c>
      <c r="E74" s="72" t="s">
        <v>3437</v>
      </c>
      <c r="F74" s="74" t="s">
        <v>3438</v>
      </c>
      <c r="G74" s="74" t="s">
        <v>3439</v>
      </c>
      <c r="H74" s="74" t="s">
        <v>3288</v>
      </c>
    </row>
    <row r="75" spans="1:8" ht="12.75">
      <c r="A75" s="69">
        <v>2020</v>
      </c>
      <c r="B75" s="69">
        <v>86</v>
      </c>
      <c r="C75" s="70" t="s">
        <v>41</v>
      </c>
      <c r="D75" s="71">
        <v>44033</v>
      </c>
      <c r="E75" s="73" t="s">
        <v>3440</v>
      </c>
      <c r="F75" s="73" t="s">
        <v>3441</v>
      </c>
      <c r="G75" s="74" t="s">
        <v>3439</v>
      </c>
      <c r="H75" s="74" t="s">
        <v>3288</v>
      </c>
    </row>
    <row r="76" spans="1:8" ht="12.75">
      <c r="A76" s="69">
        <v>2020</v>
      </c>
      <c r="B76" s="78">
        <v>89</v>
      </c>
      <c r="C76" s="77" t="s">
        <v>344</v>
      </c>
      <c r="D76" s="71">
        <v>44035</v>
      </c>
      <c r="E76" s="72" t="s">
        <v>3442</v>
      </c>
      <c r="F76" s="74" t="s">
        <v>3443</v>
      </c>
      <c r="G76" s="74" t="s">
        <v>1319</v>
      </c>
      <c r="H76" s="74" t="s">
        <v>3288</v>
      </c>
    </row>
    <row r="77" spans="1:8" ht="12.75">
      <c r="A77" s="69">
        <v>2020</v>
      </c>
      <c r="B77" s="78">
        <v>92</v>
      </c>
      <c r="C77" s="77" t="s">
        <v>98</v>
      </c>
      <c r="D77" s="71">
        <v>44040</v>
      </c>
      <c r="E77" s="73" t="s">
        <v>3444</v>
      </c>
      <c r="F77" s="73" t="s">
        <v>3445</v>
      </c>
      <c r="G77" s="74" t="s">
        <v>3446</v>
      </c>
      <c r="H77" s="74" t="s">
        <v>3288</v>
      </c>
    </row>
    <row r="78" spans="1:8" ht="12.75">
      <c r="A78" s="69">
        <v>2020</v>
      </c>
      <c r="B78" s="78">
        <v>92</v>
      </c>
      <c r="C78" s="77" t="s">
        <v>98</v>
      </c>
      <c r="D78" s="71">
        <v>44040</v>
      </c>
      <c r="E78" s="73" t="s">
        <v>3447</v>
      </c>
      <c r="F78" s="73" t="s">
        <v>3448</v>
      </c>
      <c r="G78" s="74" t="s">
        <v>3446</v>
      </c>
      <c r="H78" s="74" t="s">
        <v>3288</v>
      </c>
    </row>
    <row r="79" spans="1:8" ht="12.75">
      <c r="A79" s="69">
        <v>2020</v>
      </c>
      <c r="B79" s="78">
        <v>92</v>
      </c>
      <c r="C79" s="77" t="s">
        <v>98</v>
      </c>
      <c r="D79" s="71">
        <v>44040</v>
      </c>
      <c r="E79" s="73" t="s">
        <v>3449</v>
      </c>
      <c r="F79" s="73" t="s">
        <v>3450</v>
      </c>
      <c r="G79" s="74" t="s">
        <v>3446</v>
      </c>
      <c r="H79" s="74" t="s">
        <v>3288</v>
      </c>
    </row>
    <row r="80" spans="1:8" ht="12.75">
      <c r="A80" s="69">
        <v>2020</v>
      </c>
      <c r="B80" s="78">
        <v>92</v>
      </c>
      <c r="C80" s="77" t="s">
        <v>98</v>
      </c>
      <c r="D80" s="71">
        <v>44040</v>
      </c>
      <c r="E80" s="73" t="s">
        <v>3451</v>
      </c>
      <c r="F80" s="73" t="s">
        <v>3452</v>
      </c>
      <c r="G80" s="74" t="s">
        <v>3446</v>
      </c>
      <c r="H80" s="74" t="s">
        <v>3288</v>
      </c>
    </row>
    <row r="81" spans="1:8" ht="12.75">
      <c r="A81" s="69">
        <v>2020</v>
      </c>
      <c r="B81" s="78">
        <v>92</v>
      </c>
      <c r="C81" s="77" t="s">
        <v>98</v>
      </c>
      <c r="D81" s="71">
        <v>44040</v>
      </c>
      <c r="E81" s="73" t="s">
        <v>3453</v>
      </c>
      <c r="F81" s="73" t="s">
        <v>3454</v>
      </c>
      <c r="G81" s="74" t="s">
        <v>3446</v>
      </c>
      <c r="H81" s="74" t="s">
        <v>3288</v>
      </c>
    </row>
    <row r="82" spans="1:8" ht="12.75">
      <c r="A82" s="69">
        <v>2020</v>
      </c>
      <c r="B82" s="78">
        <v>92</v>
      </c>
      <c r="C82" s="77" t="s">
        <v>98</v>
      </c>
      <c r="D82" s="71">
        <v>44040</v>
      </c>
      <c r="E82" s="73" t="s">
        <v>3455</v>
      </c>
      <c r="F82" s="74" t="s">
        <v>3454</v>
      </c>
      <c r="G82" s="74" t="s">
        <v>3446</v>
      </c>
      <c r="H82" s="74" t="s">
        <v>3288</v>
      </c>
    </row>
    <row r="83" spans="1:8" ht="12.75">
      <c r="A83" s="69">
        <v>2020</v>
      </c>
      <c r="B83" s="69">
        <v>94</v>
      </c>
      <c r="C83" s="77" t="s">
        <v>60</v>
      </c>
      <c r="D83" s="71">
        <v>44040</v>
      </c>
      <c r="E83" s="72" t="s">
        <v>3456</v>
      </c>
      <c r="F83" s="73" t="s">
        <v>3457</v>
      </c>
      <c r="G83" s="74" t="s">
        <v>3458</v>
      </c>
      <c r="H83" s="74" t="s">
        <v>3288</v>
      </c>
    </row>
    <row r="84" spans="1:8" ht="12.75">
      <c r="A84" s="69">
        <v>2020</v>
      </c>
      <c r="B84" s="78">
        <v>96</v>
      </c>
      <c r="C84" s="70" t="s">
        <v>370</v>
      </c>
      <c r="D84" s="71">
        <v>44041</v>
      </c>
      <c r="E84" s="72" t="s">
        <v>3459</v>
      </c>
      <c r="F84" s="74" t="s">
        <v>3460</v>
      </c>
      <c r="G84" s="74" t="s">
        <v>3439</v>
      </c>
      <c r="H84" s="74" t="s">
        <v>3288</v>
      </c>
    </row>
    <row r="85" spans="1:8" ht="12.75">
      <c r="A85" s="69">
        <v>2020</v>
      </c>
      <c r="B85" s="78">
        <v>96</v>
      </c>
      <c r="C85" s="70" t="s">
        <v>370</v>
      </c>
      <c r="D85" s="71">
        <v>44041</v>
      </c>
      <c r="E85" s="73" t="s">
        <v>3461</v>
      </c>
      <c r="F85" s="74" t="s">
        <v>3460</v>
      </c>
      <c r="G85" s="74" t="s">
        <v>3439</v>
      </c>
      <c r="H85" s="74" t="s">
        <v>3288</v>
      </c>
    </row>
    <row r="86" spans="1:8" ht="12.75">
      <c r="A86" s="69">
        <v>2020</v>
      </c>
      <c r="B86" s="78">
        <v>97</v>
      </c>
      <c r="C86" s="70" t="s">
        <v>41</v>
      </c>
      <c r="D86" s="71">
        <v>44042</v>
      </c>
      <c r="E86" s="72" t="s">
        <v>3462</v>
      </c>
      <c r="F86" s="74" t="s">
        <v>3463</v>
      </c>
      <c r="G86" s="74" t="s">
        <v>3464</v>
      </c>
      <c r="H86" s="74" t="s">
        <v>3288</v>
      </c>
    </row>
    <row r="87" spans="1:8" ht="12.75">
      <c r="A87" s="69">
        <v>2020</v>
      </c>
      <c r="B87" s="78">
        <v>97</v>
      </c>
      <c r="C87" s="70" t="s">
        <v>41</v>
      </c>
      <c r="D87" s="71">
        <v>44042</v>
      </c>
      <c r="E87" s="73" t="s">
        <v>3465</v>
      </c>
      <c r="F87" s="74" t="s">
        <v>3463</v>
      </c>
      <c r="G87" s="74" t="s">
        <v>3466</v>
      </c>
      <c r="H87" s="74" t="s">
        <v>3288</v>
      </c>
    </row>
    <row r="88" spans="1:8" ht="12.75">
      <c r="A88" s="69">
        <v>2020</v>
      </c>
      <c r="B88" s="78">
        <v>97</v>
      </c>
      <c r="C88" s="70" t="s">
        <v>41</v>
      </c>
      <c r="D88" s="71">
        <v>44042</v>
      </c>
      <c r="E88" s="72" t="s">
        <v>3467</v>
      </c>
      <c r="F88" s="74" t="s">
        <v>3468</v>
      </c>
      <c r="G88" s="74" t="s">
        <v>3469</v>
      </c>
      <c r="H88" s="74" t="s">
        <v>3288</v>
      </c>
    </row>
    <row r="89" spans="1:8" ht="12.75">
      <c r="A89" s="69">
        <v>2020</v>
      </c>
      <c r="B89" s="78">
        <v>97</v>
      </c>
      <c r="C89" s="70" t="s">
        <v>41</v>
      </c>
      <c r="D89" s="71">
        <v>44042</v>
      </c>
      <c r="E89" s="73" t="s">
        <v>3470</v>
      </c>
      <c r="F89" s="74" t="s">
        <v>3471</v>
      </c>
      <c r="G89" s="73" t="s">
        <v>3472</v>
      </c>
      <c r="H89" s="74" t="s">
        <v>3288</v>
      </c>
    </row>
    <row r="90" spans="1:8" ht="12.75">
      <c r="A90" s="69">
        <v>2020</v>
      </c>
      <c r="B90" s="69">
        <v>98</v>
      </c>
      <c r="C90" s="70" t="s">
        <v>51</v>
      </c>
      <c r="D90" s="71">
        <v>44042</v>
      </c>
      <c r="E90" s="72" t="s">
        <v>3473</v>
      </c>
      <c r="F90" s="74" t="s">
        <v>3302</v>
      </c>
      <c r="G90" s="74" t="s">
        <v>3474</v>
      </c>
      <c r="H90" s="74" t="s">
        <v>3292</v>
      </c>
    </row>
    <row r="91" spans="1:8" ht="12.75">
      <c r="A91" s="69">
        <v>2020</v>
      </c>
      <c r="B91" s="69">
        <v>99</v>
      </c>
      <c r="C91" s="77" t="s">
        <v>386</v>
      </c>
      <c r="D91" s="71">
        <v>44047</v>
      </c>
      <c r="E91" s="72" t="s">
        <v>3475</v>
      </c>
      <c r="F91" s="74" t="s">
        <v>3476</v>
      </c>
      <c r="G91" s="74" t="s">
        <v>3469</v>
      </c>
      <c r="H91" s="74" t="s">
        <v>3288</v>
      </c>
    </row>
    <row r="92" spans="1:8" ht="12.75">
      <c r="A92" s="69">
        <v>2020</v>
      </c>
      <c r="B92" s="69">
        <v>99</v>
      </c>
      <c r="C92" s="77" t="s">
        <v>386</v>
      </c>
      <c r="D92" s="71">
        <v>44047</v>
      </c>
      <c r="E92" s="72" t="s">
        <v>3477</v>
      </c>
      <c r="F92" s="74" t="s">
        <v>3476</v>
      </c>
      <c r="G92" s="74" t="s">
        <v>3469</v>
      </c>
      <c r="H92" s="74" t="s">
        <v>3288</v>
      </c>
    </row>
    <row r="93" spans="1:8" ht="12.75">
      <c r="A93" s="69">
        <v>2020</v>
      </c>
      <c r="B93" s="69">
        <v>99</v>
      </c>
      <c r="C93" s="77" t="s">
        <v>386</v>
      </c>
      <c r="D93" s="71">
        <v>44047</v>
      </c>
      <c r="E93" s="72" t="s">
        <v>3478</v>
      </c>
      <c r="F93" s="74" t="s">
        <v>3476</v>
      </c>
      <c r="G93" s="74" t="s">
        <v>3469</v>
      </c>
      <c r="H93" s="74" t="s">
        <v>3288</v>
      </c>
    </row>
    <row r="94" spans="1:8" ht="12.75">
      <c r="A94" s="69">
        <v>2020</v>
      </c>
      <c r="B94" s="69">
        <v>102</v>
      </c>
      <c r="C94" s="77" t="s">
        <v>396</v>
      </c>
      <c r="D94" s="71">
        <v>44047</v>
      </c>
      <c r="E94" s="72" t="s">
        <v>3479</v>
      </c>
      <c r="F94" s="74" t="s">
        <v>3480</v>
      </c>
      <c r="G94" s="74" t="s">
        <v>1319</v>
      </c>
      <c r="H94" s="74" t="s">
        <v>3288</v>
      </c>
    </row>
    <row r="95" spans="1:8" ht="12.75">
      <c r="A95" s="69">
        <v>2020</v>
      </c>
      <c r="B95" s="69">
        <v>104</v>
      </c>
      <c r="C95" s="70" t="s">
        <v>190</v>
      </c>
      <c r="D95" s="71">
        <v>44048</v>
      </c>
      <c r="E95" s="72" t="s">
        <v>3481</v>
      </c>
      <c r="F95" s="74" t="s">
        <v>3482</v>
      </c>
      <c r="G95" s="74" t="s">
        <v>3306</v>
      </c>
      <c r="H95" s="74" t="s">
        <v>3292</v>
      </c>
    </row>
    <row r="96" spans="1:8" ht="12.75">
      <c r="A96" s="69">
        <v>2020</v>
      </c>
      <c r="B96" s="78">
        <v>105</v>
      </c>
      <c r="C96" s="70" t="s">
        <v>39</v>
      </c>
      <c r="D96" s="71">
        <v>44049</v>
      </c>
      <c r="E96" s="72" t="s">
        <v>3483</v>
      </c>
      <c r="F96" s="73" t="s">
        <v>3330</v>
      </c>
      <c r="G96" s="74" t="s">
        <v>3484</v>
      </c>
      <c r="H96" s="74" t="s">
        <v>3292</v>
      </c>
    </row>
    <row r="97" spans="1:8" ht="12.75">
      <c r="A97" s="69">
        <v>2020</v>
      </c>
      <c r="B97" s="69">
        <v>107</v>
      </c>
      <c r="C97" s="77" t="s">
        <v>421</v>
      </c>
      <c r="D97" s="71">
        <v>44054</v>
      </c>
      <c r="E97" s="72" t="s">
        <v>3485</v>
      </c>
      <c r="F97" s="74" t="s">
        <v>3486</v>
      </c>
      <c r="G97" s="74" t="s">
        <v>3389</v>
      </c>
      <c r="H97" s="74" t="s">
        <v>3288</v>
      </c>
    </row>
    <row r="98" spans="1:8" ht="12.75">
      <c r="A98" s="69">
        <v>2020</v>
      </c>
      <c r="B98" s="78">
        <v>108</v>
      </c>
      <c r="C98" s="77" t="s">
        <v>426</v>
      </c>
      <c r="D98" s="71">
        <v>44054</v>
      </c>
      <c r="E98" s="72" t="s">
        <v>3487</v>
      </c>
      <c r="F98" s="73" t="s">
        <v>3488</v>
      </c>
      <c r="G98" s="74" t="s">
        <v>3489</v>
      </c>
      <c r="H98" s="74" t="s">
        <v>3490</v>
      </c>
    </row>
    <row r="99" spans="1:8" ht="12.75">
      <c r="A99" s="69">
        <v>2020</v>
      </c>
      <c r="B99" s="69">
        <v>111</v>
      </c>
      <c r="C99" s="70" t="s">
        <v>3491</v>
      </c>
      <c r="D99" s="71">
        <v>44056</v>
      </c>
      <c r="E99" s="72" t="s">
        <v>3492</v>
      </c>
      <c r="F99" s="74" t="s">
        <v>3493</v>
      </c>
      <c r="G99" s="74" t="s">
        <v>3409</v>
      </c>
      <c r="H99" s="74" t="s">
        <v>3288</v>
      </c>
    </row>
    <row r="100" spans="1:8" ht="12.75">
      <c r="A100" s="69">
        <v>2020</v>
      </c>
      <c r="B100" s="78">
        <v>111</v>
      </c>
      <c r="C100" s="70" t="s">
        <v>3491</v>
      </c>
      <c r="D100" s="71">
        <v>44056</v>
      </c>
      <c r="E100" s="72" t="s">
        <v>3494</v>
      </c>
      <c r="F100" s="74" t="s">
        <v>3495</v>
      </c>
      <c r="G100" s="74" t="s">
        <v>3409</v>
      </c>
      <c r="H100" s="74" t="s">
        <v>3288</v>
      </c>
    </row>
    <row r="101" spans="1:8" ht="12.75">
      <c r="A101" s="69">
        <v>2020</v>
      </c>
      <c r="B101" s="78">
        <v>111</v>
      </c>
      <c r="C101" s="70" t="s">
        <v>3491</v>
      </c>
      <c r="D101" s="71">
        <v>44056</v>
      </c>
      <c r="E101" s="73" t="s">
        <v>3496</v>
      </c>
      <c r="F101" s="73" t="s">
        <v>3497</v>
      </c>
      <c r="G101" s="74" t="s">
        <v>3409</v>
      </c>
      <c r="H101" s="74" t="s">
        <v>3288</v>
      </c>
    </row>
    <row r="102" spans="1:8" ht="12.75">
      <c r="A102" s="69">
        <v>2020</v>
      </c>
      <c r="B102" s="78">
        <v>111</v>
      </c>
      <c r="C102" s="70" t="s">
        <v>3491</v>
      </c>
      <c r="D102" s="71">
        <v>44056</v>
      </c>
      <c r="E102" s="72" t="s">
        <v>3498</v>
      </c>
      <c r="F102" s="74" t="s">
        <v>3499</v>
      </c>
      <c r="G102" s="74" t="s">
        <v>3409</v>
      </c>
      <c r="H102" s="74" t="s">
        <v>3288</v>
      </c>
    </row>
    <row r="103" spans="1:8" ht="12.75">
      <c r="A103" s="69">
        <v>2020</v>
      </c>
      <c r="B103" s="78">
        <v>111</v>
      </c>
      <c r="C103" s="70" t="s">
        <v>3491</v>
      </c>
      <c r="D103" s="71">
        <v>44056</v>
      </c>
      <c r="E103" s="73" t="s">
        <v>3500</v>
      </c>
      <c r="F103" s="74" t="s">
        <v>3501</v>
      </c>
      <c r="G103" s="74" t="s">
        <v>3409</v>
      </c>
      <c r="H103" s="74" t="s">
        <v>3288</v>
      </c>
    </row>
    <row r="104" spans="1:8" ht="12.75">
      <c r="A104" s="69">
        <v>2020</v>
      </c>
      <c r="B104" s="78">
        <v>111</v>
      </c>
      <c r="C104" s="70" t="s">
        <v>3491</v>
      </c>
      <c r="D104" s="71">
        <v>44056</v>
      </c>
      <c r="E104" s="73" t="s">
        <v>3502</v>
      </c>
      <c r="F104" s="73" t="s">
        <v>3503</v>
      </c>
      <c r="G104" s="74" t="s">
        <v>3446</v>
      </c>
      <c r="H104" s="74" t="s">
        <v>3288</v>
      </c>
    </row>
    <row r="105" spans="1:8" ht="12.75">
      <c r="A105" s="69">
        <v>2020</v>
      </c>
      <c r="B105" s="78">
        <v>114</v>
      </c>
      <c r="C105" s="77" t="s">
        <v>452</v>
      </c>
      <c r="D105" s="71">
        <v>44061</v>
      </c>
      <c r="E105" s="72" t="s">
        <v>3324</v>
      </c>
      <c r="F105" s="74" t="s">
        <v>3302</v>
      </c>
      <c r="G105" s="74" t="s">
        <v>3325</v>
      </c>
      <c r="H105" s="74" t="s">
        <v>3292</v>
      </c>
    </row>
    <row r="106" spans="1:8" ht="12.75">
      <c r="A106" s="69">
        <v>2020</v>
      </c>
      <c r="B106" s="78">
        <v>114</v>
      </c>
      <c r="C106" s="77" t="s">
        <v>452</v>
      </c>
      <c r="D106" s="71">
        <v>44061</v>
      </c>
      <c r="E106" s="73" t="s">
        <v>3326</v>
      </c>
      <c r="F106" s="73" t="s">
        <v>3327</v>
      </c>
      <c r="G106" s="74" t="s">
        <v>3328</v>
      </c>
      <c r="H106" s="74" t="s">
        <v>3292</v>
      </c>
    </row>
    <row r="107" spans="1:8" ht="12.75">
      <c r="A107" s="69">
        <v>2020</v>
      </c>
      <c r="B107" s="78">
        <v>116</v>
      </c>
      <c r="C107" s="70" t="s">
        <v>190</v>
      </c>
      <c r="D107" s="71">
        <v>44062</v>
      </c>
      <c r="E107" s="72" t="s">
        <v>3504</v>
      </c>
      <c r="F107" s="73" t="s">
        <v>3505</v>
      </c>
      <c r="G107" s="74" t="s">
        <v>3306</v>
      </c>
      <c r="H107" s="74" t="s">
        <v>3292</v>
      </c>
    </row>
    <row r="108" spans="1:8" ht="12.75">
      <c r="A108" s="69">
        <v>2020</v>
      </c>
      <c r="B108" s="78">
        <v>117</v>
      </c>
      <c r="C108" s="70" t="s">
        <v>49</v>
      </c>
      <c r="D108" s="71">
        <v>44063</v>
      </c>
      <c r="E108" s="72" t="s">
        <v>3506</v>
      </c>
      <c r="F108" s="73" t="s">
        <v>3507</v>
      </c>
      <c r="G108" s="73" t="s">
        <v>3353</v>
      </c>
      <c r="H108" s="74" t="s">
        <v>3393</v>
      </c>
    </row>
    <row r="109" spans="1:8" ht="12.75">
      <c r="A109" s="69">
        <v>2020</v>
      </c>
      <c r="B109" s="78">
        <v>118</v>
      </c>
      <c r="C109" s="70" t="s">
        <v>471</v>
      </c>
      <c r="D109" s="71">
        <v>44063</v>
      </c>
      <c r="E109" s="72" t="s">
        <v>3508</v>
      </c>
      <c r="F109" s="73" t="s">
        <v>3322</v>
      </c>
      <c r="G109" s="73" t="s">
        <v>3509</v>
      </c>
      <c r="H109" s="74" t="s">
        <v>3292</v>
      </c>
    </row>
    <row r="110" spans="1:8" ht="12.75">
      <c r="A110" s="69">
        <v>2020</v>
      </c>
      <c r="B110" s="78">
        <v>119</v>
      </c>
      <c r="C110" s="70" t="s">
        <v>39</v>
      </c>
      <c r="D110" s="71">
        <v>44063</v>
      </c>
      <c r="E110" s="72" t="s">
        <v>3361</v>
      </c>
      <c r="F110" s="74" t="s">
        <v>3362</v>
      </c>
      <c r="G110" s="74" t="s">
        <v>3291</v>
      </c>
      <c r="H110" s="74" t="s">
        <v>3292</v>
      </c>
    </row>
    <row r="111" spans="1:8" ht="12.75">
      <c r="A111" s="69">
        <v>2020</v>
      </c>
      <c r="B111" s="69">
        <v>120</v>
      </c>
      <c r="C111" s="70" t="s">
        <v>190</v>
      </c>
      <c r="D111" s="71">
        <v>44067</v>
      </c>
      <c r="E111" s="72" t="s">
        <v>3510</v>
      </c>
      <c r="F111" s="74" t="s">
        <v>3511</v>
      </c>
      <c r="G111" s="74" t="s">
        <v>3512</v>
      </c>
      <c r="H111" s="74" t="s">
        <v>3513</v>
      </c>
    </row>
    <row r="112" spans="1:8" ht="12.75">
      <c r="A112" s="69">
        <v>2020</v>
      </c>
      <c r="B112" s="69">
        <v>120</v>
      </c>
      <c r="C112" s="70" t="s">
        <v>190</v>
      </c>
      <c r="D112" s="71">
        <v>44067</v>
      </c>
      <c r="E112" s="73" t="s">
        <v>3514</v>
      </c>
      <c r="F112" s="73" t="s">
        <v>3515</v>
      </c>
      <c r="G112" s="74" t="s">
        <v>3512</v>
      </c>
      <c r="H112" s="74" t="s">
        <v>3513</v>
      </c>
    </row>
    <row r="113" spans="1:8" ht="12.75">
      <c r="A113" s="69">
        <v>2020</v>
      </c>
      <c r="B113" s="69">
        <v>120</v>
      </c>
      <c r="C113" s="70" t="s">
        <v>190</v>
      </c>
      <c r="D113" s="71">
        <v>44067</v>
      </c>
      <c r="E113" s="73" t="s">
        <v>3516</v>
      </c>
      <c r="F113" s="73" t="s">
        <v>3517</v>
      </c>
      <c r="G113" s="74" t="s">
        <v>3512</v>
      </c>
      <c r="H113" s="74" t="s">
        <v>3513</v>
      </c>
    </row>
    <row r="114" spans="1:8" ht="12.75">
      <c r="A114" s="69">
        <v>2020</v>
      </c>
      <c r="B114" s="78">
        <v>121</v>
      </c>
      <c r="C114" s="77" t="s">
        <v>483</v>
      </c>
      <c r="D114" s="71">
        <v>44068</v>
      </c>
      <c r="E114" s="72" t="s">
        <v>3518</v>
      </c>
      <c r="F114" s="74" t="s">
        <v>3519</v>
      </c>
      <c r="G114" s="74" t="s">
        <v>3389</v>
      </c>
      <c r="H114" s="74" t="s">
        <v>3288</v>
      </c>
    </row>
    <row r="115" spans="1:8" ht="12.75">
      <c r="A115" s="69">
        <v>2020</v>
      </c>
      <c r="B115" s="78">
        <v>123</v>
      </c>
      <c r="C115" s="70" t="s">
        <v>43</v>
      </c>
      <c r="D115" s="71">
        <v>44068</v>
      </c>
      <c r="E115" s="72" t="s">
        <v>3520</v>
      </c>
      <c r="F115" s="73" t="s">
        <v>3521</v>
      </c>
      <c r="G115" s="74" t="s">
        <v>3409</v>
      </c>
      <c r="H115" s="74" t="s">
        <v>3288</v>
      </c>
    </row>
    <row r="116" spans="1:8" ht="12.75">
      <c r="A116" s="69">
        <v>2020</v>
      </c>
      <c r="B116" s="78">
        <v>123</v>
      </c>
      <c r="C116" s="70" t="s">
        <v>43</v>
      </c>
      <c r="D116" s="71">
        <v>44068</v>
      </c>
      <c r="E116" s="72" t="s">
        <v>3522</v>
      </c>
      <c r="F116" s="73" t="s">
        <v>3523</v>
      </c>
      <c r="G116" s="74" t="s">
        <v>3409</v>
      </c>
      <c r="H116" s="74" t="s">
        <v>3288</v>
      </c>
    </row>
    <row r="117" spans="1:8" ht="12.75">
      <c r="A117" s="69">
        <v>2020</v>
      </c>
      <c r="B117" s="78">
        <v>123</v>
      </c>
      <c r="C117" s="70" t="s">
        <v>43</v>
      </c>
      <c r="D117" s="71">
        <v>44068</v>
      </c>
      <c r="E117" s="72" t="s">
        <v>3524</v>
      </c>
      <c r="F117" s="73" t="s">
        <v>3525</v>
      </c>
      <c r="G117" s="74" t="s">
        <v>3409</v>
      </c>
      <c r="H117" s="74" t="s">
        <v>3288</v>
      </c>
    </row>
    <row r="118" spans="1:8" ht="12.75">
      <c r="A118" s="69">
        <v>2020</v>
      </c>
      <c r="B118" s="78">
        <v>123</v>
      </c>
      <c r="C118" s="70" t="s">
        <v>43</v>
      </c>
      <c r="D118" s="71">
        <v>44068</v>
      </c>
      <c r="E118" s="72" t="s">
        <v>3526</v>
      </c>
      <c r="F118" s="73" t="s">
        <v>3527</v>
      </c>
      <c r="G118" s="74" t="s">
        <v>3409</v>
      </c>
      <c r="H118" s="74" t="s">
        <v>3288</v>
      </c>
    </row>
    <row r="119" spans="1:8" ht="12.75">
      <c r="A119" s="69">
        <v>2020</v>
      </c>
      <c r="B119" s="78">
        <v>123</v>
      </c>
      <c r="C119" s="70" t="s">
        <v>43</v>
      </c>
      <c r="D119" s="71">
        <v>44068</v>
      </c>
      <c r="E119" s="72" t="s">
        <v>3528</v>
      </c>
      <c r="F119" s="73" t="s">
        <v>3529</v>
      </c>
      <c r="G119" s="74" t="s">
        <v>3409</v>
      </c>
      <c r="H119" s="74" t="s">
        <v>3288</v>
      </c>
    </row>
    <row r="120" spans="1:8" ht="12.75">
      <c r="A120" s="69">
        <v>2020</v>
      </c>
      <c r="B120" s="78">
        <v>123</v>
      </c>
      <c r="C120" s="70" t="s">
        <v>43</v>
      </c>
      <c r="D120" s="71">
        <v>44068</v>
      </c>
      <c r="E120" s="72" t="s">
        <v>3530</v>
      </c>
      <c r="F120" s="73" t="s">
        <v>3531</v>
      </c>
      <c r="G120" s="74" t="s">
        <v>3409</v>
      </c>
      <c r="H120" s="74" t="s">
        <v>3288</v>
      </c>
    </row>
    <row r="121" spans="1:8" ht="12.75">
      <c r="A121" s="69">
        <v>2020</v>
      </c>
      <c r="B121" s="78">
        <v>123</v>
      </c>
      <c r="C121" s="70" t="s">
        <v>43</v>
      </c>
      <c r="D121" s="71">
        <v>44068</v>
      </c>
      <c r="E121" s="72" t="s">
        <v>3532</v>
      </c>
      <c r="F121" s="73" t="s">
        <v>3533</v>
      </c>
      <c r="G121" s="74" t="s">
        <v>3409</v>
      </c>
      <c r="H121" s="74" t="s">
        <v>3288</v>
      </c>
    </row>
    <row r="122" spans="1:8" ht="12.75">
      <c r="A122" s="69">
        <v>2020</v>
      </c>
      <c r="B122" s="78">
        <v>123</v>
      </c>
      <c r="C122" s="70" t="s">
        <v>43</v>
      </c>
      <c r="D122" s="71">
        <v>44068</v>
      </c>
      <c r="E122" s="72" t="s">
        <v>3534</v>
      </c>
      <c r="F122" s="73" t="s">
        <v>3535</v>
      </c>
      <c r="G122" s="74" t="s">
        <v>3409</v>
      </c>
      <c r="H122" s="74" t="s">
        <v>3288</v>
      </c>
    </row>
    <row r="123" spans="1:8" ht="12.75">
      <c r="A123" s="69">
        <v>2020</v>
      </c>
      <c r="B123" s="78">
        <v>123</v>
      </c>
      <c r="C123" s="70" t="s">
        <v>43</v>
      </c>
      <c r="D123" s="71">
        <v>44068</v>
      </c>
      <c r="E123" s="72" t="s">
        <v>3536</v>
      </c>
      <c r="F123" s="73" t="s">
        <v>3537</v>
      </c>
      <c r="G123" s="74" t="s">
        <v>3409</v>
      </c>
      <c r="H123" s="74" t="s">
        <v>3288</v>
      </c>
    </row>
    <row r="124" spans="1:8" ht="12.75">
      <c r="A124" s="69">
        <v>2020</v>
      </c>
      <c r="B124" s="78">
        <v>123</v>
      </c>
      <c r="C124" s="70" t="s">
        <v>43</v>
      </c>
      <c r="D124" s="71">
        <v>44068</v>
      </c>
      <c r="E124" s="72" t="s">
        <v>3538</v>
      </c>
      <c r="F124" s="73" t="s">
        <v>3539</v>
      </c>
      <c r="G124" s="74" t="s">
        <v>3409</v>
      </c>
      <c r="H124" s="74" t="s">
        <v>3288</v>
      </c>
    </row>
    <row r="125" spans="1:8" ht="12.75">
      <c r="A125" s="69">
        <v>2020</v>
      </c>
      <c r="B125" s="78">
        <v>123</v>
      </c>
      <c r="C125" s="70" t="s">
        <v>43</v>
      </c>
      <c r="D125" s="71">
        <v>44068</v>
      </c>
      <c r="E125" s="72" t="s">
        <v>3540</v>
      </c>
      <c r="F125" s="73" t="s">
        <v>3541</v>
      </c>
      <c r="G125" s="74" t="s">
        <v>3409</v>
      </c>
      <c r="H125" s="74" t="s">
        <v>3288</v>
      </c>
    </row>
    <row r="126" spans="1:8" ht="12.75">
      <c r="A126" s="69">
        <v>2020</v>
      </c>
      <c r="B126" s="78">
        <v>123</v>
      </c>
      <c r="C126" s="70" t="s">
        <v>43</v>
      </c>
      <c r="D126" s="71">
        <v>44068</v>
      </c>
      <c r="E126" s="72" t="s">
        <v>3542</v>
      </c>
      <c r="F126" s="73" t="s">
        <v>3543</v>
      </c>
      <c r="G126" s="74" t="s">
        <v>3409</v>
      </c>
      <c r="H126" s="74" t="s">
        <v>3288</v>
      </c>
    </row>
    <row r="127" spans="1:8" ht="12.75">
      <c r="A127" s="69">
        <v>2020</v>
      </c>
      <c r="B127" s="78">
        <v>124</v>
      </c>
      <c r="C127" s="70" t="s">
        <v>39</v>
      </c>
      <c r="D127" s="71">
        <v>44070</v>
      </c>
      <c r="E127" s="72" t="s">
        <v>3363</v>
      </c>
      <c r="F127" s="73" t="s">
        <v>3364</v>
      </c>
      <c r="G127" s="74" t="s">
        <v>3291</v>
      </c>
      <c r="H127" s="74" t="s">
        <v>3292</v>
      </c>
    </row>
    <row r="128" spans="1:8" ht="12.75">
      <c r="A128" s="69">
        <v>2020</v>
      </c>
      <c r="B128" s="78">
        <v>124</v>
      </c>
      <c r="C128" s="70" t="s">
        <v>39</v>
      </c>
      <c r="D128" s="71">
        <v>44070</v>
      </c>
      <c r="E128" s="72" t="s">
        <v>3401</v>
      </c>
      <c r="F128" s="74" t="s">
        <v>3402</v>
      </c>
      <c r="G128" s="74" t="s">
        <v>3306</v>
      </c>
      <c r="H128" s="74" t="s">
        <v>3292</v>
      </c>
    </row>
    <row r="129" spans="1:8" ht="12.75">
      <c r="A129" s="69">
        <v>2020</v>
      </c>
      <c r="B129" s="78">
        <v>124</v>
      </c>
      <c r="C129" s="70" t="s">
        <v>39</v>
      </c>
      <c r="D129" s="71">
        <v>44070</v>
      </c>
      <c r="E129" s="73" t="s">
        <v>3365</v>
      </c>
      <c r="F129" s="74" t="s">
        <v>3366</v>
      </c>
      <c r="G129" s="74" t="s">
        <v>3291</v>
      </c>
      <c r="H129" s="74" t="s">
        <v>3292</v>
      </c>
    </row>
    <row r="130" spans="1:8" ht="12.75">
      <c r="A130" s="69">
        <v>2020</v>
      </c>
      <c r="B130" s="78">
        <v>126</v>
      </c>
      <c r="C130" s="70" t="s">
        <v>73</v>
      </c>
      <c r="D130" s="71">
        <v>44070</v>
      </c>
      <c r="E130" s="72" t="s">
        <v>3544</v>
      </c>
      <c r="F130" s="74" t="s">
        <v>3545</v>
      </c>
      <c r="G130" s="74" t="s">
        <v>3546</v>
      </c>
      <c r="H130" s="74" t="s">
        <v>3292</v>
      </c>
    </row>
    <row r="131" spans="1:8" ht="12.75">
      <c r="A131" s="69">
        <v>2020</v>
      </c>
      <c r="B131" s="78">
        <v>126</v>
      </c>
      <c r="C131" s="70" t="s">
        <v>73</v>
      </c>
      <c r="D131" s="71">
        <v>44070</v>
      </c>
      <c r="E131" s="72" t="s">
        <v>3547</v>
      </c>
      <c r="F131" s="74" t="s">
        <v>3548</v>
      </c>
      <c r="G131" s="74" t="s">
        <v>3546</v>
      </c>
      <c r="H131" s="74" t="s">
        <v>3292</v>
      </c>
    </row>
    <row r="132" spans="1:8" ht="12.75">
      <c r="A132" s="69">
        <v>2020</v>
      </c>
      <c r="B132" s="78">
        <v>129</v>
      </c>
      <c r="C132" s="70" t="s">
        <v>51</v>
      </c>
      <c r="D132" s="71">
        <v>44076</v>
      </c>
      <c r="E132" s="72" t="s">
        <v>3549</v>
      </c>
      <c r="F132" s="74" t="s">
        <v>3550</v>
      </c>
      <c r="G132" s="74" t="s">
        <v>3469</v>
      </c>
      <c r="H132" s="74" t="s">
        <v>3288</v>
      </c>
    </row>
    <row r="133" spans="1:8" ht="12.75">
      <c r="A133" s="69">
        <v>2020</v>
      </c>
      <c r="B133" s="78">
        <v>129</v>
      </c>
      <c r="C133" s="70" t="s">
        <v>51</v>
      </c>
      <c r="D133" s="71">
        <v>44076</v>
      </c>
      <c r="E133" s="73" t="s">
        <v>3551</v>
      </c>
      <c r="F133" s="74" t="s">
        <v>3550</v>
      </c>
      <c r="G133" s="74" t="s">
        <v>3469</v>
      </c>
      <c r="H133" s="74" t="s">
        <v>3288</v>
      </c>
    </row>
    <row r="134" spans="1:8" ht="12.75">
      <c r="A134" s="69">
        <v>2020</v>
      </c>
      <c r="B134" s="78">
        <v>129</v>
      </c>
      <c r="C134" s="70" t="s">
        <v>51</v>
      </c>
      <c r="D134" s="71">
        <v>44076</v>
      </c>
      <c r="E134" s="73" t="s">
        <v>3552</v>
      </c>
      <c r="F134" s="73" t="s">
        <v>3550</v>
      </c>
      <c r="G134" s="74" t="s">
        <v>3469</v>
      </c>
      <c r="H134" s="74" t="s">
        <v>3288</v>
      </c>
    </row>
    <row r="135" spans="1:8" ht="12.75">
      <c r="A135" s="69">
        <v>2020</v>
      </c>
      <c r="B135" s="78">
        <v>130</v>
      </c>
      <c r="C135" s="70" t="s">
        <v>45</v>
      </c>
      <c r="D135" s="71">
        <v>44077</v>
      </c>
      <c r="E135" s="72" t="s">
        <v>3553</v>
      </c>
      <c r="F135" s="74" t="s">
        <v>3554</v>
      </c>
      <c r="G135" s="74" t="s">
        <v>3325</v>
      </c>
      <c r="H135" s="74" t="s">
        <v>3292</v>
      </c>
    </row>
    <row r="136" spans="1:8" ht="12.75">
      <c r="A136" s="69">
        <v>2020</v>
      </c>
      <c r="B136" s="78">
        <v>131</v>
      </c>
      <c r="C136" s="70" t="s">
        <v>190</v>
      </c>
      <c r="D136" s="71">
        <v>44077</v>
      </c>
      <c r="E136" s="72" t="s">
        <v>3555</v>
      </c>
      <c r="F136" s="74" t="s">
        <v>3556</v>
      </c>
      <c r="G136" s="74" t="s">
        <v>3469</v>
      </c>
      <c r="H136" s="74" t="s">
        <v>3288</v>
      </c>
    </row>
    <row r="137" spans="1:8" ht="12.75">
      <c r="A137" s="69">
        <v>2020</v>
      </c>
      <c r="B137" s="78">
        <v>131</v>
      </c>
      <c r="C137" s="70" t="s">
        <v>190</v>
      </c>
      <c r="D137" s="71">
        <v>44077</v>
      </c>
      <c r="E137" s="73" t="s">
        <v>3557</v>
      </c>
      <c r="F137" s="74" t="s">
        <v>3558</v>
      </c>
      <c r="G137" s="74" t="s">
        <v>3469</v>
      </c>
      <c r="H137" s="74" t="s">
        <v>3288</v>
      </c>
    </row>
    <row r="138" spans="1:8" ht="12.75">
      <c r="A138" s="69">
        <v>2020</v>
      </c>
      <c r="B138" s="78">
        <v>131</v>
      </c>
      <c r="C138" s="70" t="s">
        <v>190</v>
      </c>
      <c r="D138" s="71">
        <v>44077</v>
      </c>
      <c r="E138" s="72" t="s">
        <v>3559</v>
      </c>
      <c r="F138" s="74" t="s">
        <v>3558</v>
      </c>
      <c r="G138" s="74" t="s">
        <v>3469</v>
      </c>
      <c r="H138" s="74" t="s">
        <v>3288</v>
      </c>
    </row>
    <row r="139" spans="1:8" ht="12.75">
      <c r="A139" s="69">
        <v>2020</v>
      </c>
      <c r="B139" s="78">
        <v>131</v>
      </c>
      <c r="C139" s="70" t="s">
        <v>190</v>
      </c>
      <c r="D139" s="71">
        <v>44077</v>
      </c>
      <c r="E139" s="73" t="s">
        <v>3560</v>
      </c>
      <c r="F139" s="74" t="s">
        <v>3561</v>
      </c>
      <c r="G139" s="74" t="s">
        <v>3469</v>
      </c>
      <c r="H139" s="74" t="s">
        <v>3288</v>
      </c>
    </row>
    <row r="140" spans="1:8" ht="12.75">
      <c r="A140" s="69">
        <v>2020</v>
      </c>
      <c r="B140" s="78">
        <v>131</v>
      </c>
      <c r="C140" s="70" t="s">
        <v>190</v>
      </c>
      <c r="D140" s="71">
        <v>44077</v>
      </c>
      <c r="E140" s="73" t="s">
        <v>3562</v>
      </c>
      <c r="F140" s="74" t="s">
        <v>3563</v>
      </c>
      <c r="G140" s="74" t="s">
        <v>3439</v>
      </c>
      <c r="H140" s="74" t="s">
        <v>3288</v>
      </c>
    </row>
    <row r="141" spans="1:8" ht="12.75">
      <c r="A141" s="69">
        <v>2020</v>
      </c>
      <c r="B141" s="78">
        <v>132</v>
      </c>
      <c r="C141" s="70" t="s">
        <v>43</v>
      </c>
      <c r="D141" s="71">
        <v>44077</v>
      </c>
      <c r="E141" s="72" t="s">
        <v>3564</v>
      </c>
      <c r="F141" s="74" t="s">
        <v>3565</v>
      </c>
      <c r="G141" s="74" t="s">
        <v>3566</v>
      </c>
      <c r="H141" s="74" t="s">
        <v>3567</v>
      </c>
    </row>
    <row r="142" spans="1:8" ht="12.75">
      <c r="A142" s="69">
        <v>2020</v>
      </c>
      <c r="B142" s="78">
        <v>132</v>
      </c>
      <c r="C142" s="70" t="s">
        <v>43</v>
      </c>
      <c r="D142" s="71">
        <v>44077</v>
      </c>
      <c r="E142" s="72" t="s">
        <v>3568</v>
      </c>
      <c r="F142" s="74" t="s">
        <v>3565</v>
      </c>
      <c r="G142" s="74" t="s">
        <v>3569</v>
      </c>
      <c r="H142" s="74" t="s">
        <v>3567</v>
      </c>
    </row>
    <row r="143" spans="1:8" ht="12.75">
      <c r="A143" s="69">
        <v>2020</v>
      </c>
      <c r="B143" s="78">
        <v>132</v>
      </c>
      <c r="C143" s="70" t="s">
        <v>43</v>
      </c>
      <c r="D143" s="71">
        <v>44077</v>
      </c>
      <c r="E143" s="72" t="s">
        <v>3570</v>
      </c>
      <c r="F143" s="74" t="s">
        <v>3565</v>
      </c>
      <c r="G143" s="74" t="s">
        <v>3571</v>
      </c>
      <c r="H143" s="74" t="s">
        <v>3567</v>
      </c>
    </row>
    <row r="144" spans="1:8" ht="12.75">
      <c r="A144" s="69">
        <v>2020</v>
      </c>
      <c r="B144" s="78">
        <v>132</v>
      </c>
      <c r="C144" s="70" t="s">
        <v>43</v>
      </c>
      <c r="D144" s="71">
        <v>44077</v>
      </c>
      <c r="E144" s="72" t="s">
        <v>3572</v>
      </c>
      <c r="F144" s="74" t="s">
        <v>3573</v>
      </c>
      <c r="G144" s="74" t="s">
        <v>3574</v>
      </c>
      <c r="H144" s="74" t="s">
        <v>3567</v>
      </c>
    </row>
    <row r="145" spans="1:8" ht="12.75">
      <c r="A145" s="69">
        <v>2020</v>
      </c>
      <c r="B145" s="78">
        <v>132</v>
      </c>
      <c r="C145" s="70" t="s">
        <v>43</v>
      </c>
      <c r="D145" s="71">
        <v>44077</v>
      </c>
      <c r="E145" s="72" t="s">
        <v>3575</v>
      </c>
      <c r="F145" s="74" t="s">
        <v>3576</v>
      </c>
      <c r="G145" s="74" t="s">
        <v>3577</v>
      </c>
      <c r="H145" s="74" t="s">
        <v>3567</v>
      </c>
    </row>
    <row r="146" spans="1:8" ht="12.75">
      <c r="A146" s="69">
        <v>2020</v>
      </c>
      <c r="B146" s="78">
        <v>132</v>
      </c>
      <c r="C146" s="70" t="s">
        <v>43</v>
      </c>
      <c r="D146" s="71">
        <v>44077</v>
      </c>
      <c r="E146" s="72" t="s">
        <v>3578</v>
      </c>
      <c r="F146" s="74" t="s">
        <v>3565</v>
      </c>
      <c r="G146" s="74" t="s">
        <v>3579</v>
      </c>
      <c r="H146" s="74" t="s">
        <v>3567</v>
      </c>
    </row>
    <row r="147" spans="1:8" ht="12.75">
      <c r="A147" s="69">
        <v>2020</v>
      </c>
      <c r="B147" s="78">
        <v>132</v>
      </c>
      <c r="C147" s="70" t="s">
        <v>43</v>
      </c>
      <c r="D147" s="71">
        <v>44077</v>
      </c>
      <c r="E147" s="72" t="s">
        <v>3580</v>
      </c>
      <c r="F147" s="74" t="s">
        <v>3565</v>
      </c>
      <c r="G147" s="74" t="s">
        <v>3581</v>
      </c>
      <c r="H147" s="74" t="s">
        <v>3567</v>
      </c>
    </row>
    <row r="148" spans="1:8" ht="12.75">
      <c r="A148" s="69">
        <v>2020</v>
      </c>
      <c r="B148" s="78">
        <v>132</v>
      </c>
      <c r="C148" s="70" t="s">
        <v>43</v>
      </c>
      <c r="D148" s="71">
        <v>44077</v>
      </c>
      <c r="E148" s="72" t="s">
        <v>3582</v>
      </c>
      <c r="F148" s="74" t="s">
        <v>3565</v>
      </c>
      <c r="G148" s="74" t="s">
        <v>3583</v>
      </c>
      <c r="H148" s="74" t="s">
        <v>3567</v>
      </c>
    </row>
    <row r="149" spans="1:8" ht="12.75">
      <c r="A149" s="69">
        <v>2020</v>
      </c>
      <c r="B149" s="78">
        <v>132</v>
      </c>
      <c r="C149" s="70" t="s">
        <v>43</v>
      </c>
      <c r="D149" s="71">
        <v>44077</v>
      </c>
      <c r="E149" s="72" t="s">
        <v>3584</v>
      </c>
      <c r="F149" s="74" t="s">
        <v>3565</v>
      </c>
      <c r="G149" s="74" t="s">
        <v>3585</v>
      </c>
      <c r="H149" s="74" t="s">
        <v>3567</v>
      </c>
    </row>
    <row r="150" spans="1:8" ht="12.75">
      <c r="A150" s="69">
        <v>2020</v>
      </c>
      <c r="B150" s="78">
        <v>132</v>
      </c>
      <c r="C150" s="70" t="s">
        <v>43</v>
      </c>
      <c r="D150" s="71">
        <v>44077</v>
      </c>
      <c r="E150" s="72" t="s">
        <v>3586</v>
      </c>
      <c r="F150" s="74" t="s">
        <v>3587</v>
      </c>
      <c r="G150" s="74" t="s">
        <v>3585</v>
      </c>
      <c r="H150" s="74" t="s">
        <v>3567</v>
      </c>
    </row>
    <row r="151" spans="1:8" ht="12.75">
      <c r="A151" s="69">
        <v>2020</v>
      </c>
      <c r="B151" s="78">
        <v>132</v>
      </c>
      <c r="C151" s="70" t="s">
        <v>43</v>
      </c>
      <c r="D151" s="71">
        <v>44077</v>
      </c>
      <c r="E151" s="72" t="s">
        <v>3588</v>
      </c>
      <c r="F151" s="74" t="s">
        <v>3565</v>
      </c>
      <c r="G151" s="74" t="s">
        <v>3589</v>
      </c>
      <c r="H151" s="74" t="s">
        <v>3567</v>
      </c>
    </row>
    <row r="152" spans="1:8" ht="12.75">
      <c r="A152" s="69">
        <v>2020</v>
      </c>
      <c r="B152" s="78">
        <v>132</v>
      </c>
      <c r="C152" s="70" t="s">
        <v>43</v>
      </c>
      <c r="D152" s="71">
        <v>44077</v>
      </c>
      <c r="E152" s="72" t="s">
        <v>3590</v>
      </c>
      <c r="F152" s="74" t="s">
        <v>3565</v>
      </c>
      <c r="G152" s="74" t="s">
        <v>3591</v>
      </c>
      <c r="H152" s="74" t="s">
        <v>3567</v>
      </c>
    </row>
    <row r="153" spans="1:8" ht="12.75">
      <c r="A153" s="69">
        <v>2020</v>
      </c>
      <c r="B153" s="78">
        <v>132</v>
      </c>
      <c r="C153" s="70" t="s">
        <v>43</v>
      </c>
      <c r="D153" s="71">
        <v>44077</v>
      </c>
      <c r="E153" s="72" t="s">
        <v>3592</v>
      </c>
      <c r="F153" s="74" t="s">
        <v>3565</v>
      </c>
      <c r="G153" s="74" t="s">
        <v>3593</v>
      </c>
      <c r="H153" s="74" t="s">
        <v>3567</v>
      </c>
    </row>
    <row r="154" spans="1:8" ht="12.75">
      <c r="A154" s="69">
        <v>2020</v>
      </c>
      <c r="B154" s="78">
        <v>132</v>
      </c>
      <c r="C154" s="70" t="s">
        <v>43</v>
      </c>
      <c r="D154" s="71">
        <v>44077</v>
      </c>
      <c r="E154" s="72" t="s">
        <v>3594</v>
      </c>
      <c r="F154" s="74" t="s">
        <v>3595</v>
      </c>
      <c r="G154" s="74" t="s">
        <v>3596</v>
      </c>
      <c r="H154" s="74" t="s">
        <v>3567</v>
      </c>
    </row>
    <row r="155" spans="1:8" ht="12.75">
      <c r="A155" s="69">
        <v>2020</v>
      </c>
      <c r="B155" s="78">
        <v>132</v>
      </c>
      <c r="C155" s="70" t="s">
        <v>43</v>
      </c>
      <c r="D155" s="71">
        <v>44077</v>
      </c>
      <c r="E155" s="72" t="s">
        <v>3597</v>
      </c>
      <c r="F155" s="74" t="s">
        <v>3598</v>
      </c>
      <c r="G155" s="74" t="s">
        <v>3599</v>
      </c>
      <c r="H155" s="74" t="s">
        <v>3567</v>
      </c>
    </row>
    <row r="156" spans="1:8" ht="12.75">
      <c r="A156" s="69">
        <v>2020</v>
      </c>
      <c r="B156" s="78">
        <v>132</v>
      </c>
      <c r="C156" s="70" t="s">
        <v>43</v>
      </c>
      <c r="D156" s="71">
        <v>44077</v>
      </c>
      <c r="E156" s="72" t="s">
        <v>3600</v>
      </c>
      <c r="F156" s="74" t="s">
        <v>3565</v>
      </c>
      <c r="G156" s="74" t="s">
        <v>3601</v>
      </c>
      <c r="H156" s="74" t="s">
        <v>3567</v>
      </c>
    </row>
    <row r="157" spans="1:8" ht="12.75">
      <c r="A157" s="69">
        <v>2020</v>
      </c>
      <c r="B157" s="78">
        <v>132</v>
      </c>
      <c r="C157" s="70" t="s">
        <v>43</v>
      </c>
      <c r="D157" s="71">
        <v>44077</v>
      </c>
      <c r="E157" s="72" t="s">
        <v>3602</v>
      </c>
      <c r="F157" s="74" t="s">
        <v>3565</v>
      </c>
      <c r="G157" s="74" t="s">
        <v>3603</v>
      </c>
      <c r="H157" s="74" t="s">
        <v>3567</v>
      </c>
    </row>
    <row r="158" spans="1:8" ht="12.75">
      <c r="A158" s="69">
        <v>2020</v>
      </c>
      <c r="B158" s="78">
        <v>132</v>
      </c>
      <c r="C158" s="70" t="s">
        <v>43</v>
      </c>
      <c r="D158" s="71">
        <v>44077</v>
      </c>
      <c r="E158" s="72" t="s">
        <v>3604</v>
      </c>
      <c r="F158" s="74" t="s">
        <v>3605</v>
      </c>
      <c r="G158" s="74" t="s">
        <v>3606</v>
      </c>
      <c r="H158" s="74" t="s">
        <v>3567</v>
      </c>
    </row>
    <row r="159" spans="1:8" ht="12.75">
      <c r="A159" s="69">
        <v>2020</v>
      </c>
      <c r="B159" s="78">
        <v>133</v>
      </c>
      <c r="C159" s="77" t="s">
        <v>526</v>
      </c>
      <c r="D159" s="71">
        <v>44082</v>
      </c>
      <c r="E159" s="72" t="s">
        <v>3607</v>
      </c>
      <c r="F159" s="73" t="s">
        <v>3608</v>
      </c>
      <c r="G159" s="74" t="s">
        <v>3389</v>
      </c>
      <c r="H159" s="74" t="s">
        <v>3288</v>
      </c>
    </row>
    <row r="160" spans="1:8" ht="12.75">
      <c r="A160" s="69">
        <v>2020</v>
      </c>
      <c r="B160" s="78">
        <v>135</v>
      </c>
      <c r="C160" s="70" t="s">
        <v>471</v>
      </c>
      <c r="D160" s="71">
        <v>44082</v>
      </c>
      <c r="E160" s="72" t="s">
        <v>3324</v>
      </c>
      <c r="F160" s="74" t="s">
        <v>3302</v>
      </c>
      <c r="G160" s="74" t="s">
        <v>3325</v>
      </c>
      <c r="H160" s="74" t="s">
        <v>3292</v>
      </c>
    </row>
    <row r="161" spans="1:8" ht="12.75">
      <c r="A161" s="69">
        <v>2020</v>
      </c>
      <c r="B161" s="78">
        <v>137</v>
      </c>
      <c r="C161" s="70" t="s">
        <v>41</v>
      </c>
      <c r="D161" s="71">
        <v>44083</v>
      </c>
      <c r="E161" s="72" t="s">
        <v>3609</v>
      </c>
      <c r="F161" s="73" t="s">
        <v>3610</v>
      </c>
      <c r="G161" s="74" t="s">
        <v>3469</v>
      </c>
      <c r="H161" s="74" t="s">
        <v>3288</v>
      </c>
    </row>
    <row r="162" spans="1:8" ht="12.75">
      <c r="A162" s="69">
        <v>2020</v>
      </c>
      <c r="B162" s="78">
        <v>137</v>
      </c>
      <c r="C162" s="70" t="s">
        <v>41</v>
      </c>
      <c r="D162" s="71">
        <v>44083</v>
      </c>
      <c r="E162" s="73" t="s">
        <v>3611</v>
      </c>
      <c r="F162" s="73" t="s">
        <v>3610</v>
      </c>
      <c r="G162" s="74" t="s">
        <v>3469</v>
      </c>
      <c r="H162" s="74" t="s">
        <v>3288</v>
      </c>
    </row>
    <row r="163" spans="1:8" ht="12.75">
      <c r="A163" s="69">
        <v>2020</v>
      </c>
      <c r="B163" s="78">
        <v>138</v>
      </c>
      <c r="C163" s="70" t="s">
        <v>370</v>
      </c>
      <c r="D163" s="71">
        <v>44084</v>
      </c>
      <c r="E163" s="72" t="s">
        <v>3397</v>
      </c>
      <c r="F163" s="74" t="s">
        <v>3398</v>
      </c>
      <c r="G163" s="74" t="s">
        <v>3328</v>
      </c>
      <c r="H163" s="74" t="s">
        <v>3292</v>
      </c>
    </row>
    <row r="164" spans="1:8" ht="12.75">
      <c r="A164" s="69">
        <v>2020</v>
      </c>
      <c r="B164" s="78">
        <v>140</v>
      </c>
      <c r="C164" s="70" t="s">
        <v>51</v>
      </c>
      <c r="D164" s="71">
        <v>44089</v>
      </c>
      <c r="E164" s="72" t="s">
        <v>3612</v>
      </c>
      <c r="F164" s="74" t="s">
        <v>3613</v>
      </c>
      <c r="G164" s="74" t="s">
        <v>1319</v>
      </c>
      <c r="H164" s="74" t="s">
        <v>3288</v>
      </c>
    </row>
    <row r="165" spans="1:8" ht="12.75">
      <c r="A165" s="69">
        <v>2020</v>
      </c>
      <c r="B165" s="78">
        <v>140</v>
      </c>
      <c r="C165" s="70" t="s">
        <v>51</v>
      </c>
      <c r="D165" s="71">
        <v>44089</v>
      </c>
      <c r="E165" s="73" t="s">
        <v>3614</v>
      </c>
      <c r="F165" s="74" t="s">
        <v>3613</v>
      </c>
      <c r="G165" s="74" t="s">
        <v>1319</v>
      </c>
      <c r="H165" s="74" t="s">
        <v>3288</v>
      </c>
    </row>
    <row r="166" spans="1:8" ht="12.75">
      <c r="A166" s="69">
        <v>2020</v>
      </c>
      <c r="B166" s="78">
        <v>140</v>
      </c>
      <c r="C166" s="70" t="s">
        <v>51</v>
      </c>
      <c r="D166" s="71">
        <v>44089</v>
      </c>
      <c r="E166" s="73" t="s">
        <v>3615</v>
      </c>
      <c r="F166" s="74" t="s">
        <v>3613</v>
      </c>
      <c r="G166" s="74" t="s">
        <v>1319</v>
      </c>
      <c r="H166" s="74" t="s">
        <v>3288</v>
      </c>
    </row>
    <row r="167" spans="1:8" ht="12.75">
      <c r="A167" s="69">
        <v>2020</v>
      </c>
      <c r="B167" s="78">
        <v>140</v>
      </c>
      <c r="C167" s="70" t="s">
        <v>51</v>
      </c>
      <c r="D167" s="71">
        <v>44089</v>
      </c>
      <c r="E167" s="73" t="s">
        <v>3616</v>
      </c>
      <c r="F167" s="74" t="s">
        <v>3613</v>
      </c>
      <c r="G167" s="74" t="s">
        <v>1319</v>
      </c>
      <c r="H167" s="74" t="s">
        <v>3288</v>
      </c>
    </row>
    <row r="168" spans="1:8" ht="12.75">
      <c r="A168" s="69">
        <v>2020</v>
      </c>
      <c r="B168" s="78">
        <v>140</v>
      </c>
      <c r="C168" s="70" t="s">
        <v>51</v>
      </c>
      <c r="D168" s="71">
        <v>44089</v>
      </c>
      <c r="E168" s="73" t="s">
        <v>3617</v>
      </c>
      <c r="F168" s="74" t="s">
        <v>3613</v>
      </c>
      <c r="G168" s="74" t="s">
        <v>1319</v>
      </c>
      <c r="H168" s="74" t="s">
        <v>3288</v>
      </c>
    </row>
    <row r="169" spans="1:8" ht="12.75">
      <c r="A169" s="69">
        <v>2020</v>
      </c>
      <c r="B169" s="78">
        <v>141</v>
      </c>
      <c r="C169" s="70" t="s">
        <v>39</v>
      </c>
      <c r="D169" s="71">
        <v>44089</v>
      </c>
      <c r="E169" s="72" t="s">
        <v>3618</v>
      </c>
      <c r="F169" s="73" t="s">
        <v>3619</v>
      </c>
      <c r="G169" s="73" t="s">
        <v>3620</v>
      </c>
      <c r="H169" s="74" t="s">
        <v>3292</v>
      </c>
    </row>
    <row r="170" spans="1:8" ht="12.75">
      <c r="A170" s="69">
        <v>2020</v>
      </c>
      <c r="B170" s="78">
        <v>143</v>
      </c>
      <c r="C170" s="70" t="s">
        <v>148</v>
      </c>
      <c r="D170" s="71">
        <v>44090</v>
      </c>
      <c r="E170" s="72" t="s">
        <v>3621</v>
      </c>
      <c r="F170" s="73" t="s">
        <v>3622</v>
      </c>
      <c r="G170" s="74" t="s">
        <v>3623</v>
      </c>
      <c r="H170" s="74" t="s">
        <v>3292</v>
      </c>
    </row>
    <row r="171" spans="1:8" ht="12.75">
      <c r="A171" s="69">
        <v>2020</v>
      </c>
      <c r="B171" s="78">
        <v>144</v>
      </c>
      <c r="C171" s="77" t="s">
        <v>567</v>
      </c>
      <c r="D171" s="71">
        <v>44091</v>
      </c>
      <c r="E171" s="72" t="s">
        <v>3350</v>
      </c>
      <c r="F171" s="74" t="s">
        <v>3330</v>
      </c>
      <c r="G171" s="74" t="s">
        <v>3351</v>
      </c>
      <c r="H171" s="74" t="s">
        <v>3292</v>
      </c>
    </row>
    <row r="172" spans="1:8" ht="12.75">
      <c r="A172" s="69">
        <v>2020</v>
      </c>
      <c r="B172" s="78">
        <v>145</v>
      </c>
      <c r="C172" s="70" t="s">
        <v>43</v>
      </c>
      <c r="D172" s="71">
        <v>44091</v>
      </c>
      <c r="E172" s="72" t="s">
        <v>3336</v>
      </c>
      <c r="F172" s="74" t="s">
        <v>3330</v>
      </c>
      <c r="G172" s="74" t="s">
        <v>3337</v>
      </c>
      <c r="H172" s="74" t="s">
        <v>3292</v>
      </c>
    </row>
    <row r="173" spans="1:8" ht="12.75">
      <c r="A173" s="69">
        <v>2020</v>
      </c>
      <c r="B173" s="78">
        <v>146</v>
      </c>
      <c r="C173" s="77" t="s">
        <v>282</v>
      </c>
      <c r="D173" s="71">
        <v>44091</v>
      </c>
      <c r="E173" s="72" t="s">
        <v>3624</v>
      </c>
      <c r="F173" s="73" t="s">
        <v>3625</v>
      </c>
      <c r="G173" s="74" t="s">
        <v>3439</v>
      </c>
      <c r="H173" s="74" t="s">
        <v>3288</v>
      </c>
    </row>
    <row r="174" spans="1:8" ht="12.75">
      <c r="A174" s="69">
        <v>2020</v>
      </c>
      <c r="B174" s="78">
        <v>147</v>
      </c>
      <c r="C174" s="70" t="s">
        <v>26</v>
      </c>
      <c r="D174" s="71">
        <v>44096</v>
      </c>
      <c r="E174" s="72" t="s">
        <v>3626</v>
      </c>
      <c r="F174" s="73" t="s">
        <v>3627</v>
      </c>
      <c r="G174" s="74" t="s">
        <v>3389</v>
      </c>
      <c r="H174" s="74" t="s">
        <v>3288</v>
      </c>
    </row>
    <row r="175" spans="1:8" ht="12.75">
      <c r="A175" s="69">
        <v>2020</v>
      </c>
      <c r="B175" s="78">
        <v>149</v>
      </c>
      <c r="C175" s="77" t="s">
        <v>589</v>
      </c>
      <c r="D175" s="71">
        <v>44096</v>
      </c>
      <c r="E175" s="72" t="s">
        <v>3628</v>
      </c>
      <c r="F175" s="74" t="s">
        <v>3629</v>
      </c>
      <c r="G175" s="74" t="s">
        <v>1319</v>
      </c>
      <c r="H175" s="74" t="s">
        <v>3288</v>
      </c>
    </row>
    <row r="176" spans="1:8" ht="12.75">
      <c r="A176" s="69">
        <v>2020</v>
      </c>
      <c r="B176" s="78">
        <v>149</v>
      </c>
      <c r="C176" s="77" t="s">
        <v>589</v>
      </c>
      <c r="D176" s="71">
        <v>44096</v>
      </c>
      <c r="E176" s="73" t="s">
        <v>3630</v>
      </c>
      <c r="F176" s="74" t="s">
        <v>3629</v>
      </c>
      <c r="G176" s="74" t="s">
        <v>1319</v>
      </c>
      <c r="H176" s="74" t="s">
        <v>3288</v>
      </c>
    </row>
    <row r="177" spans="1:8" ht="12.75">
      <c r="A177" s="69">
        <v>2020</v>
      </c>
      <c r="B177" s="78">
        <v>149</v>
      </c>
      <c r="C177" s="77" t="s">
        <v>589</v>
      </c>
      <c r="D177" s="80">
        <v>44096</v>
      </c>
      <c r="E177" s="73" t="s">
        <v>3631</v>
      </c>
      <c r="F177" s="74" t="s">
        <v>3629</v>
      </c>
      <c r="G177" s="74" t="s">
        <v>1319</v>
      </c>
      <c r="H177" s="74" t="s">
        <v>3288</v>
      </c>
    </row>
    <row r="178" spans="1:8" ht="12.75">
      <c r="A178" s="69">
        <v>2020</v>
      </c>
      <c r="B178" s="78">
        <v>149</v>
      </c>
      <c r="C178" s="77" t="s">
        <v>589</v>
      </c>
      <c r="D178" s="80">
        <v>44096</v>
      </c>
      <c r="E178" s="73" t="s">
        <v>3632</v>
      </c>
      <c r="F178" s="74" t="s">
        <v>3633</v>
      </c>
      <c r="G178" s="74" t="s">
        <v>1319</v>
      </c>
      <c r="H178" s="74" t="s">
        <v>3288</v>
      </c>
    </row>
    <row r="179" spans="1:8" ht="12.75">
      <c r="A179" s="69">
        <v>2020</v>
      </c>
      <c r="B179" s="78">
        <v>149</v>
      </c>
      <c r="C179" s="77" t="s">
        <v>589</v>
      </c>
      <c r="D179" s="80">
        <v>44096</v>
      </c>
      <c r="E179" s="73" t="s">
        <v>3634</v>
      </c>
      <c r="F179" s="74" t="s">
        <v>3633</v>
      </c>
      <c r="G179" s="74" t="s">
        <v>1319</v>
      </c>
      <c r="H179" s="74" t="s">
        <v>3288</v>
      </c>
    </row>
    <row r="180" spans="1:8" ht="12.75">
      <c r="A180" s="69">
        <v>2020</v>
      </c>
      <c r="B180" s="78">
        <v>149</v>
      </c>
      <c r="C180" s="77" t="s">
        <v>589</v>
      </c>
      <c r="D180" s="80">
        <v>44096</v>
      </c>
      <c r="E180" s="73" t="s">
        <v>3635</v>
      </c>
      <c r="F180" s="73" t="s">
        <v>3633</v>
      </c>
      <c r="G180" s="74" t="s">
        <v>1319</v>
      </c>
      <c r="H180" s="74" t="s">
        <v>3288</v>
      </c>
    </row>
    <row r="181" spans="1:8" ht="12.75">
      <c r="A181" s="69">
        <v>2020</v>
      </c>
      <c r="B181" s="78">
        <v>151</v>
      </c>
      <c r="C181" s="77" t="s">
        <v>596</v>
      </c>
      <c r="D181" s="80">
        <v>44098</v>
      </c>
      <c r="E181" s="74" t="s">
        <v>3636</v>
      </c>
      <c r="F181" s="74" t="s">
        <v>3637</v>
      </c>
      <c r="G181" s="74" t="s">
        <v>1319</v>
      </c>
      <c r="H181" s="74" t="s">
        <v>3288</v>
      </c>
    </row>
    <row r="182" spans="1:8" ht="12.75">
      <c r="A182" s="69">
        <v>2020</v>
      </c>
      <c r="B182" s="78">
        <v>151</v>
      </c>
      <c r="C182" s="77" t="s">
        <v>596</v>
      </c>
      <c r="D182" s="80">
        <v>44098</v>
      </c>
      <c r="E182" s="74" t="s">
        <v>3638</v>
      </c>
      <c r="F182" s="74" t="s">
        <v>3639</v>
      </c>
      <c r="G182" s="74" t="s">
        <v>1319</v>
      </c>
      <c r="H182" s="74" t="s">
        <v>3288</v>
      </c>
    </row>
    <row r="183" spans="1:8" ht="12.75">
      <c r="A183" s="69">
        <v>2020</v>
      </c>
      <c r="B183" s="78">
        <v>151</v>
      </c>
      <c r="C183" s="77" t="s">
        <v>596</v>
      </c>
      <c r="D183" s="80">
        <v>44098</v>
      </c>
      <c r="E183" s="74" t="s">
        <v>3640</v>
      </c>
      <c r="F183" s="74" t="s">
        <v>3641</v>
      </c>
      <c r="G183" s="74" t="s">
        <v>1319</v>
      </c>
      <c r="H183" s="74" t="s">
        <v>3288</v>
      </c>
    </row>
    <row r="184" spans="1:8" ht="12.75">
      <c r="A184" s="69">
        <v>2020</v>
      </c>
      <c r="B184" s="78">
        <v>151</v>
      </c>
      <c r="C184" s="77" t="s">
        <v>596</v>
      </c>
      <c r="D184" s="80">
        <v>44098</v>
      </c>
      <c r="E184" s="74" t="s">
        <v>3642</v>
      </c>
      <c r="F184" s="74" t="s">
        <v>3643</v>
      </c>
      <c r="G184" s="74" t="s">
        <v>1319</v>
      </c>
      <c r="H184" s="74" t="s">
        <v>3288</v>
      </c>
    </row>
    <row r="185" spans="1:8" ht="12.75">
      <c r="A185" s="69">
        <v>2020</v>
      </c>
      <c r="B185" s="78">
        <v>152</v>
      </c>
      <c r="C185" s="77" t="s">
        <v>3644</v>
      </c>
      <c r="D185" s="80">
        <v>44098</v>
      </c>
      <c r="E185" s="72" t="s">
        <v>3645</v>
      </c>
      <c r="F185" s="73" t="s">
        <v>3646</v>
      </c>
      <c r="G185" s="74" t="s">
        <v>1319</v>
      </c>
      <c r="H185" s="74" t="s">
        <v>3288</v>
      </c>
    </row>
    <row r="186" spans="1:8" ht="12.75">
      <c r="A186" s="69">
        <v>2020</v>
      </c>
      <c r="B186" s="69">
        <v>154</v>
      </c>
      <c r="C186" s="70" t="s">
        <v>51</v>
      </c>
      <c r="D186" s="80">
        <v>44103</v>
      </c>
      <c r="E186" s="72" t="s">
        <v>3647</v>
      </c>
      <c r="F186" s="74" t="s">
        <v>3648</v>
      </c>
      <c r="G186" s="74" t="s">
        <v>3469</v>
      </c>
      <c r="H186" s="74" t="s">
        <v>3288</v>
      </c>
    </row>
    <row r="187" spans="1:8" ht="12.75">
      <c r="A187" s="69">
        <v>2020</v>
      </c>
      <c r="B187" s="69">
        <v>154</v>
      </c>
      <c r="C187" s="70" t="s">
        <v>51</v>
      </c>
      <c r="D187" s="80">
        <v>44103</v>
      </c>
      <c r="E187" s="72" t="s">
        <v>3649</v>
      </c>
      <c r="F187" s="74" t="s">
        <v>3648</v>
      </c>
      <c r="G187" s="74" t="s">
        <v>3469</v>
      </c>
      <c r="H187" s="74" t="s">
        <v>3288</v>
      </c>
    </row>
    <row r="188" spans="1:8" ht="12.75">
      <c r="A188" s="69">
        <v>2020</v>
      </c>
      <c r="B188" s="69">
        <v>154</v>
      </c>
      <c r="C188" s="70" t="s">
        <v>51</v>
      </c>
      <c r="D188" s="80">
        <v>44103</v>
      </c>
      <c r="E188" s="72" t="s">
        <v>3650</v>
      </c>
      <c r="F188" s="74" t="s">
        <v>3648</v>
      </c>
      <c r="G188" s="74" t="s">
        <v>3469</v>
      </c>
      <c r="H188" s="74" t="s">
        <v>3288</v>
      </c>
    </row>
    <row r="189" spans="1:8" ht="12.75">
      <c r="A189" s="69">
        <v>2020</v>
      </c>
      <c r="B189" s="69">
        <v>154</v>
      </c>
      <c r="C189" s="70" t="s">
        <v>51</v>
      </c>
      <c r="D189" s="80">
        <v>44103</v>
      </c>
      <c r="E189" s="72" t="s">
        <v>3651</v>
      </c>
      <c r="F189" s="74" t="s">
        <v>3648</v>
      </c>
      <c r="G189" s="74" t="s">
        <v>3469</v>
      </c>
      <c r="H189" s="74" t="s">
        <v>3288</v>
      </c>
    </row>
    <row r="190" spans="1:8" ht="12.75">
      <c r="A190" s="69">
        <v>2020</v>
      </c>
      <c r="B190" s="69">
        <v>154</v>
      </c>
      <c r="C190" s="70" t="s">
        <v>51</v>
      </c>
      <c r="D190" s="80">
        <v>44103</v>
      </c>
      <c r="E190" s="72" t="s">
        <v>3652</v>
      </c>
      <c r="F190" s="74" t="s">
        <v>3648</v>
      </c>
      <c r="G190" s="74" t="s">
        <v>3469</v>
      </c>
      <c r="H190" s="74" t="s">
        <v>3288</v>
      </c>
    </row>
    <row r="191" spans="1:8" ht="12.75">
      <c r="A191" s="69">
        <v>2020</v>
      </c>
      <c r="B191" s="69">
        <v>154</v>
      </c>
      <c r="C191" s="70" t="s">
        <v>51</v>
      </c>
      <c r="D191" s="80">
        <v>44103</v>
      </c>
      <c r="E191" s="72" t="s">
        <v>3653</v>
      </c>
      <c r="F191" s="74" t="s">
        <v>3648</v>
      </c>
      <c r="G191" s="74" t="s">
        <v>3469</v>
      </c>
      <c r="H191" s="74" t="s">
        <v>3288</v>
      </c>
    </row>
    <row r="192" spans="1:8" ht="12.75">
      <c r="A192" s="69">
        <v>2020</v>
      </c>
      <c r="B192" s="69">
        <v>155</v>
      </c>
      <c r="C192" s="70" t="s">
        <v>41</v>
      </c>
      <c r="D192" s="80">
        <v>44105</v>
      </c>
      <c r="E192" s="72" t="s">
        <v>3654</v>
      </c>
      <c r="F192" s="74" t="s">
        <v>3655</v>
      </c>
      <c r="G192" s="74" t="s">
        <v>1319</v>
      </c>
      <c r="H192" s="74" t="s">
        <v>3288</v>
      </c>
    </row>
    <row r="193" spans="1:8" ht="12.75">
      <c r="A193" s="69">
        <v>2020</v>
      </c>
      <c r="B193" s="69">
        <v>156</v>
      </c>
      <c r="C193" s="70" t="s">
        <v>45</v>
      </c>
      <c r="D193" s="80">
        <v>44109</v>
      </c>
      <c r="E193" s="72" t="s">
        <v>3324</v>
      </c>
      <c r="F193" s="74" t="s">
        <v>3302</v>
      </c>
      <c r="G193" s="74" t="s">
        <v>3325</v>
      </c>
      <c r="H193" s="74" t="s">
        <v>3292</v>
      </c>
    </row>
    <row r="194" spans="1:8" ht="12.75">
      <c r="A194" s="69">
        <v>2020</v>
      </c>
      <c r="B194" s="69">
        <v>157</v>
      </c>
      <c r="C194" s="70" t="s">
        <v>26</v>
      </c>
      <c r="D194" s="80">
        <v>44110</v>
      </c>
      <c r="E194" s="72" t="s">
        <v>3656</v>
      </c>
      <c r="F194" s="79" t="s">
        <v>3657</v>
      </c>
      <c r="G194" s="74" t="s">
        <v>3389</v>
      </c>
      <c r="H194" s="74" t="s">
        <v>3288</v>
      </c>
    </row>
    <row r="195" spans="1:8" ht="12.75">
      <c r="A195" s="69">
        <v>2020</v>
      </c>
      <c r="B195" s="69">
        <v>158</v>
      </c>
      <c r="C195" s="70" t="s">
        <v>67</v>
      </c>
      <c r="D195" s="80">
        <v>44110</v>
      </c>
      <c r="E195" s="72" t="s">
        <v>3317</v>
      </c>
      <c r="F195" s="74" t="s">
        <v>3318</v>
      </c>
      <c r="G195" s="74" t="s">
        <v>3291</v>
      </c>
      <c r="H195" s="74" t="s">
        <v>3292</v>
      </c>
    </row>
    <row r="196" spans="1:8" ht="12.75">
      <c r="A196" s="69">
        <v>2020</v>
      </c>
      <c r="B196" s="69">
        <v>158</v>
      </c>
      <c r="C196" s="70" t="s">
        <v>67</v>
      </c>
      <c r="D196" s="80">
        <v>44110</v>
      </c>
      <c r="E196" s="73" t="s">
        <v>3319</v>
      </c>
      <c r="F196" s="73" t="s">
        <v>3320</v>
      </c>
      <c r="G196" s="74" t="s">
        <v>3291</v>
      </c>
      <c r="H196" s="74" t="s">
        <v>3292</v>
      </c>
    </row>
    <row r="197" spans="1:8" ht="12.75">
      <c r="A197" s="69">
        <v>2020</v>
      </c>
      <c r="B197" s="69">
        <v>158</v>
      </c>
      <c r="C197" s="70" t="s">
        <v>67</v>
      </c>
      <c r="D197" s="80">
        <v>44110</v>
      </c>
      <c r="E197" s="73" t="s">
        <v>3658</v>
      </c>
      <c r="F197" s="73" t="s">
        <v>3659</v>
      </c>
      <c r="G197" s="74" t="s">
        <v>3439</v>
      </c>
      <c r="H197" s="74" t="s">
        <v>3288</v>
      </c>
    </row>
    <row r="198" spans="1:8" ht="12.75">
      <c r="A198" s="69">
        <v>2020</v>
      </c>
      <c r="B198" s="69">
        <v>160</v>
      </c>
      <c r="C198" s="70" t="s">
        <v>39</v>
      </c>
      <c r="D198" s="80">
        <v>44112</v>
      </c>
      <c r="E198" s="72" t="s">
        <v>3660</v>
      </c>
      <c r="F198" s="74" t="s">
        <v>3661</v>
      </c>
      <c r="G198" s="74" t="s">
        <v>3291</v>
      </c>
      <c r="H198" s="74" t="s">
        <v>3292</v>
      </c>
    </row>
    <row r="199" spans="1:8" ht="12.75">
      <c r="A199" s="69">
        <v>2020</v>
      </c>
      <c r="B199" s="69">
        <v>160</v>
      </c>
      <c r="C199" s="70" t="s">
        <v>39</v>
      </c>
      <c r="D199" s="80">
        <v>44112</v>
      </c>
      <c r="E199" s="73" t="s">
        <v>3662</v>
      </c>
      <c r="F199" s="73" t="s">
        <v>3663</v>
      </c>
      <c r="G199" s="74" t="s">
        <v>3291</v>
      </c>
      <c r="H199" s="74" t="s">
        <v>3292</v>
      </c>
    </row>
    <row r="200" spans="1:8" ht="12.75">
      <c r="A200" s="69">
        <v>2020</v>
      </c>
      <c r="B200" s="69">
        <v>160</v>
      </c>
      <c r="C200" s="70" t="s">
        <v>39</v>
      </c>
      <c r="D200" s="80">
        <v>44112</v>
      </c>
      <c r="E200" s="72" t="s">
        <v>3664</v>
      </c>
      <c r="F200" s="73" t="s">
        <v>3665</v>
      </c>
      <c r="G200" s="74" t="s">
        <v>3291</v>
      </c>
      <c r="H200" s="74" t="s">
        <v>3292</v>
      </c>
    </row>
    <row r="201" spans="1:8" ht="12.75">
      <c r="A201" s="69">
        <v>2020</v>
      </c>
      <c r="B201" s="69">
        <v>160</v>
      </c>
      <c r="C201" s="70" t="s">
        <v>39</v>
      </c>
      <c r="D201" s="80">
        <v>44112</v>
      </c>
      <c r="E201" s="73" t="s">
        <v>3666</v>
      </c>
      <c r="F201" s="73" t="s">
        <v>3667</v>
      </c>
      <c r="G201" s="74" t="s">
        <v>3291</v>
      </c>
      <c r="H201" s="74" t="s">
        <v>3292</v>
      </c>
    </row>
    <row r="202" spans="1:8" ht="12.75">
      <c r="A202" s="69">
        <v>2020</v>
      </c>
      <c r="B202" s="69">
        <v>161</v>
      </c>
      <c r="C202" s="77" t="s">
        <v>635</v>
      </c>
      <c r="D202" s="80">
        <v>44112</v>
      </c>
      <c r="E202" s="73" t="s">
        <v>3451</v>
      </c>
      <c r="F202" s="73" t="s">
        <v>3668</v>
      </c>
      <c r="G202" s="74" t="s">
        <v>3446</v>
      </c>
      <c r="H202" s="74" t="s">
        <v>3288</v>
      </c>
    </row>
    <row r="203" spans="1:8" ht="12.75">
      <c r="A203" s="69">
        <v>2020</v>
      </c>
      <c r="B203" s="69">
        <v>161</v>
      </c>
      <c r="C203" s="77" t="s">
        <v>635</v>
      </c>
      <c r="D203" s="80">
        <v>44112</v>
      </c>
      <c r="E203" s="73" t="s">
        <v>3669</v>
      </c>
      <c r="F203" s="73" t="s">
        <v>3670</v>
      </c>
      <c r="G203" s="74" t="s">
        <v>3446</v>
      </c>
      <c r="H203" s="74" t="s">
        <v>3288</v>
      </c>
    </row>
    <row r="204" spans="1:8" ht="12.75">
      <c r="A204" s="69">
        <v>2020</v>
      </c>
      <c r="B204" s="69">
        <v>161</v>
      </c>
      <c r="C204" s="77" t="s">
        <v>635</v>
      </c>
      <c r="D204" s="80">
        <v>44112</v>
      </c>
      <c r="E204" s="73" t="s">
        <v>3453</v>
      </c>
      <c r="F204" s="73" t="s">
        <v>3671</v>
      </c>
      <c r="G204" s="74" t="s">
        <v>3446</v>
      </c>
      <c r="H204" s="74" t="s">
        <v>3288</v>
      </c>
    </row>
    <row r="205" spans="1:8" ht="12.75">
      <c r="A205" s="69">
        <v>2020</v>
      </c>
      <c r="B205" s="69">
        <v>161</v>
      </c>
      <c r="C205" s="77" t="s">
        <v>635</v>
      </c>
      <c r="D205" s="80">
        <v>44112</v>
      </c>
      <c r="E205" s="73" t="s">
        <v>3672</v>
      </c>
      <c r="F205" s="73" t="s">
        <v>3673</v>
      </c>
      <c r="G205" s="74" t="s">
        <v>3446</v>
      </c>
      <c r="H205" s="74" t="s">
        <v>3288</v>
      </c>
    </row>
    <row r="206" spans="1:8" ht="12.75">
      <c r="A206" s="69">
        <v>2020</v>
      </c>
      <c r="B206" s="69">
        <v>161</v>
      </c>
      <c r="C206" s="77" t="s">
        <v>635</v>
      </c>
      <c r="D206" s="80">
        <v>44112</v>
      </c>
      <c r="E206" s="73" t="s">
        <v>3674</v>
      </c>
      <c r="F206" s="73" t="s">
        <v>3675</v>
      </c>
      <c r="G206" s="74" t="s">
        <v>3446</v>
      </c>
      <c r="H206" s="74" t="s">
        <v>3288</v>
      </c>
    </row>
    <row r="207" spans="1:8" ht="12.75">
      <c r="A207" s="69">
        <v>2020</v>
      </c>
      <c r="B207" s="69">
        <v>161</v>
      </c>
      <c r="C207" s="77" t="s">
        <v>635</v>
      </c>
      <c r="D207" s="80">
        <v>44112</v>
      </c>
      <c r="E207" s="73" t="s">
        <v>3676</v>
      </c>
      <c r="F207" s="73" t="s">
        <v>3677</v>
      </c>
      <c r="G207" s="74" t="s">
        <v>3446</v>
      </c>
      <c r="H207" s="74" t="s">
        <v>3288</v>
      </c>
    </row>
    <row r="208" spans="1:8" ht="12.75">
      <c r="A208" s="69">
        <v>2020</v>
      </c>
      <c r="B208" s="69">
        <v>161</v>
      </c>
      <c r="C208" s="77" t="s">
        <v>635</v>
      </c>
      <c r="D208" s="80">
        <v>44112</v>
      </c>
      <c r="E208" s="73" t="s">
        <v>3678</v>
      </c>
      <c r="F208" s="73" t="s">
        <v>3679</v>
      </c>
      <c r="G208" s="74" t="s">
        <v>3446</v>
      </c>
      <c r="H208" s="74" t="s">
        <v>3288</v>
      </c>
    </row>
    <row r="209" spans="1:8" ht="12.75">
      <c r="A209" s="69">
        <v>2020</v>
      </c>
      <c r="B209" s="69">
        <v>161</v>
      </c>
      <c r="C209" s="77" t="s">
        <v>635</v>
      </c>
      <c r="D209" s="80">
        <v>44112</v>
      </c>
      <c r="E209" s="72" t="s">
        <v>3447</v>
      </c>
      <c r="F209" s="73" t="s">
        <v>3448</v>
      </c>
      <c r="G209" s="74" t="s">
        <v>3446</v>
      </c>
      <c r="H209" s="74" t="s">
        <v>3288</v>
      </c>
    </row>
    <row r="210" spans="1:8" ht="12.75">
      <c r="A210" s="69">
        <v>2020</v>
      </c>
      <c r="B210" s="69">
        <v>161</v>
      </c>
      <c r="C210" s="77" t="s">
        <v>635</v>
      </c>
      <c r="D210" s="80">
        <v>44112</v>
      </c>
      <c r="E210" s="73" t="s">
        <v>3680</v>
      </c>
      <c r="F210" s="73" t="s">
        <v>3681</v>
      </c>
      <c r="G210" s="74" t="s">
        <v>3446</v>
      </c>
      <c r="H210" s="74" t="s">
        <v>3288</v>
      </c>
    </row>
    <row r="211" spans="1:8" ht="12.75">
      <c r="A211" s="69">
        <v>2020</v>
      </c>
      <c r="B211" s="69">
        <v>162</v>
      </c>
      <c r="C211" s="77" t="s">
        <v>471</v>
      </c>
      <c r="D211" s="80">
        <v>44112</v>
      </c>
      <c r="E211" s="73" t="s">
        <v>3682</v>
      </c>
      <c r="F211" s="73" t="s">
        <v>3683</v>
      </c>
      <c r="G211" s="74" t="s">
        <v>3439</v>
      </c>
      <c r="H211" s="74" t="s">
        <v>3288</v>
      </c>
    </row>
    <row r="212" spans="1:8" ht="12.75">
      <c r="A212" s="69">
        <v>2020</v>
      </c>
      <c r="B212" s="69">
        <v>163</v>
      </c>
      <c r="C212" s="70" t="s">
        <v>39</v>
      </c>
      <c r="D212" s="80">
        <v>44117</v>
      </c>
      <c r="E212" s="72" t="s">
        <v>3684</v>
      </c>
      <c r="F212" s="74" t="s">
        <v>3302</v>
      </c>
      <c r="G212" s="74" t="s">
        <v>3291</v>
      </c>
      <c r="H212" s="74" t="s">
        <v>3292</v>
      </c>
    </row>
    <row r="213" spans="1:8" ht="12.75">
      <c r="A213" s="69">
        <v>2020</v>
      </c>
      <c r="B213" s="69">
        <v>163</v>
      </c>
      <c r="C213" s="70" t="s">
        <v>39</v>
      </c>
      <c r="D213" s="80">
        <v>44117</v>
      </c>
      <c r="E213" s="72" t="s">
        <v>3289</v>
      </c>
      <c r="F213" s="74" t="s">
        <v>3290</v>
      </c>
      <c r="G213" s="74" t="s">
        <v>3291</v>
      </c>
      <c r="H213" s="74" t="s">
        <v>3292</v>
      </c>
    </row>
    <row r="214" spans="1:8" ht="12.75">
      <c r="A214" s="69">
        <v>2020</v>
      </c>
      <c r="B214" s="69">
        <v>165</v>
      </c>
      <c r="C214" s="77" t="s">
        <v>648</v>
      </c>
      <c r="D214" s="80">
        <v>44117</v>
      </c>
      <c r="E214" s="72" t="s">
        <v>3685</v>
      </c>
      <c r="F214" s="74" t="s">
        <v>3330</v>
      </c>
      <c r="G214" s="73" t="s">
        <v>3686</v>
      </c>
      <c r="H214" s="74" t="s">
        <v>3292</v>
      </c>
    </row>
    <row r="215" spans="1:8" ht="12.75">
      <c r="A215" s="69">
        <v>2020</v>
      </c>
      <c r="B215" s="78">
        <v>166</v>
      </c>
      <c r="C215" s="77" t="s">
        <v>217</v>
      </c>
      <c r="D215" s="80">
        <v>44119</v>
      </c>
      <c r="E215" s="72" t="s">
        <v>3687</v>
      </c>
      <c r="F215" s="73" t="s">
        <v>3688</v>
      </c>
      <c r="G215" s="74" t="s">
        <v>3306</v>
      </c>
      <c r="H215" s="74" t="s">
        <v>3292</v>
      </c>
    </row>
    <row r="216" spans="1:8" ht="12.75">
      <c r="A216" s="69">
        <v>2020</v>
      </c>
      <c r="B216" s="78">
        <v>166</v>
      </c>
      <c r="C216" s="77" t="s">
        <v>217</v>
      </c>
      <c r="D216" s="80">
        <v>44119</v>
      </c>
      <c r="E216" s="73" t="s">
        <v>3689</v>
      </c>
      <c r="F216" s="74" t="s">
        <v>3690</v>
      </c>
      <c r="G216" s="73" t="s">
        <v>3306</v>
      </c>
      <c r="H216" s="74" t="s">
        <v>3292</v>
      </c>
    </row>
    <row r="217" spans="1:8" ht="12.75">
      <c r="A217" s="69">
        <v>2020</v>
      </c>
      <c r="B217" s="78">
        <v>167</v>
      </c>
      <c r="C217" s="70" t="s">
        <v>55</v>
      </c>
      <c r="D217" s="80">
        <v>44119</v>
      </c>
      <c r="E217" s="73" t="s">
        <v>3691</v>
      </c>
      <c r="F217" s="74" t="s">
        <v>3692</v>
      </c>
      <c r="G217" s="73" t="s">
        <v>3489</v>
      </c>
      <c r="H217" s="74" t="s">
        <v>3490</v>
      </c>
    </row>
    <row r="218" spans="1:8" ht="12.75">
      <c r="A218" s="69">
        <v>2020</v>
      </c>
      <c r="B218" s="78">
        <v>168</v>
      </c>
      <c r="C218" s="70" t="s">
        <v>190</v>
      </c>
      <c r="D218" s="80">
        <v>44119</v>
      </c>
      <c r="E218" s="72" t="s">
        <v>3481</v>
      </c>
      <c r="F218" s="73" t="s">
        <v>3482</v>
      </c>
      <c r="G218" s="74" t="s">
        <v>3306</v>
      </c>
      <c r="H218" s="74" t="s">
        <v>3292</v>
      </c>
    </row>
    <row r="219" spans="1:8" ht="12.75">
      <c r="A219" s="69">
        <v>2020</v>
      </c>
      <c r="B219" s="78">
        <v>168</v>
      </c>
      <c r="C219" s="70" t="s">
        <v>190</v>
      </c>
      <c r="D219" s="80">
        <v>44119</v>
      </c>
      <c r="E219" s="72" t="s">
        <v>3693</v>
      </c>
      <c r="F219" s="73" t="s">
        <v>3694</v>
      </c>
      <c r="G219" s="74" t="s">
        <v>3512</v>
      </c>
      <c r="H219" s="74" t="s">
        <v>3695</v>
      </c>
    </row>
    <row r="220" spans="1:8" ht="12.75">
      <c r="A220" s="69">
        <v>2020</v>
      </c>
      <c r="B220" s="78">
        <v>168</v>
      </c>
      <c r="C220" s="70" t="s">
        <v>190</v>
      </c>
      <c r="D220" s="80">
        <v>44119</v>
      </c>
      <c r="E220" s="72" t="s">
        <v>3696</v>
      </c>
      <c r="F220" s="73" t="s">
        <v>3697</v>
      </c>
      <c r="G220" s="74" t="s">
        <v>3698</v>
      </c>
      <c r="H220" s="74" t="s">
        <v>3393</v>
      </c>
    </row>
    <row r="221" spans="1:8" ht="12.75">
      <c r="A221" s="69">
        <v>2020</v>
      </c>
      <c r="B221" s="78">
        <v>168</v>
      </c>
      <c r="C221" s="70" t="s">
        <v>190</v>
      </c>
      <c r="D221" s="80">
        <v>44119</v>
      </c>
      <c r="E221" s="72" t="s">
        <v>3699</v>
      </c>
      <c r="F221" s="73" t="s">
        <v>3700</v>
      </c>
      <c r="G221" s="74" t="s">
        <v>3512</v>
      </c>
      <c r="H221" s="74" t="s">
        <v>3695</v>
      </c>
    </row>
    <row r="222" spans="1:8" ht="12.75">
      <c r="A222" s="69">
        <v>2020</v>
      </c>
      <c r="B222" s="78">
        <v>168</v>
      </c>
      <c r="C222" s="70" t="s">
        <v>190</v>
      </c>
      <c r="D222" s="80">
        <v>44119</v>
      </c>
      <c r="E222" s="72" t="s">
        <v>3701</v>
      </c>
      <c r="F222" s="73" t="s">
        <v>3702</v>
      </c>
      <c r="G222" s="74" t="s">
        <v>3512</v>
      </c>
      <c r="H222" s="74" t="s">
        <v>3695</v>
      </c>
    </row>
    <row r="223" spans="1:8" ht="12.75">
      <c r="A223" s="69">
        <v>2020</v>
      </c>
      <c r="B223" s="78">
        <v>170</v>
      </c>
      <c r="C223" s="70" t="s">
        <v>73</v>
      </c>
      <c r="D223" s="80">
        <v>44124</v>
      </c>
      <c r="E223" s="73" t="s">
        <v>3352</v>
      </c>
      <c r="F223" s="73" t="s">
        <v>3302</v>
      </c>
      <c r="G223" s="74" t="s">
        <v>3353</v>
      </c>
      <c r="H223" s="74" t="s">
        <v>3292</v>
      </c>
    </row>
    <row r="224" spans="1:8" ht="12.75">
      <c r="A224" s="69">
        <v>2020</v>
      </c>
      <c r="B224" s="78">
        <v>170</v>
      </c>
      <c r="C224" s="70" t="s">
        <v>73</v>
      </c>
      <c r="D224" s="80">
        <v>44124</v>
      </c>
      <c r="E224" s="72" t="s">
        <v>3354</v>
      </c>
      <c r="F224" s="73" t="s">
        <v>3355</v>
      </c>
      <c r="G224" s="74" t="s">
        <v>3353</v>
      </c>
      <c r="H224" s="74" t="s">
        <v>3292</v>
      </c>
    </row>
    <row r="225" spans="1:8" ht="12.75">
      <c r="A225" s="69">
        <v>2020</v>
      </c>
      <c r="B225" s="78">
        <v>171</v>
      </c>
      <c r="C225" s="70" t="s">
        <v>45</v>
      </c>
      <c r="D225" s="80">
        <v>44124</v>
      </c>
      <c r="E225" s="73" t="s">
        <v>3703</v>
      </c>
      <c r="F225" s="73" t="s">
        <v>3704</v>
      </c>
      <c r="G225" s="74" t="s">
        <v>3325</v>
      </c>
      <c r="H225" s="74" t="s">
        <v>3292</v>
      </c>
    </row>
    <row r="226" spans="1:8" ht="12.75">
      <c r="A226" s="69">
        <v>2020</v>
      </c>
      <c r="B226" s="78">
        <v>171</v>
      </c>
      <c r="C226" s="70" t="s">
        <v>45</v>
      </c>
      <c r="D226" s="80">
        <v>44124</v>
      </c>
      <c r="E226" s="72" t="s">
        <v>3553</v>
      </c>
      <c r="F226" s="74" t="s">
        <v>3554</v>
      </c>
      <c r="G226" s="74" t="s">
        <v>3325</v>
      </c>
      <c r="H226" s="74" t="s">
        <v>3292</v>
      </c>
    </row>
    <row r="227" spans="1:8" ht="12.75">
      <c r="A227" s="69">
        <v>2020</v>
      </c>
      <c r="B227" s="78">
        <v>172</v>
      </c>
      <c r="C227" s="77" t="s">
        <v>676</v>
      </c>
      <c r="D227" s="80">
        <v>44125</v>
      </c>
      <c r="E227" s="73" t="s">
        <v>3705</v>
      </c>
      <c r="F227" s="73" t="s">
        <v>3706</v>
      </c>
      <c r="G227" s="73" t="s">
        <v>3707</v>
      </c>
      <c r="H227" s="74" t="s">
        <v>3292</v>
      </c>
    </row>
    <row r="228" spans="1:8" ht="12.75">
      <c r="A228" s="69">
        <v>2020</v>
      </c>
      <c r="B228" s="78">
        <v>172</v>
      </c>
      <c r="C228" s="77" t="s">
        <v>676</v>
      </c>
      <c r="D228" s="80">
        <v>44125</v>
      </c>
      <c r="E228" s="72" t="s">
        <v>3329</v>
      </c>
      <c r="F228" s="73" t="s">
        <v>3330</v>
      </c>
      <c r="G228" s="74" t="s">
        <v>3331</v>
      </c>
      <c r="H228" s="74" t="s">
        <v>3292</v>
      </c>
    </row>
    <row r="229" spans="1:8" ht="12.75">
      <c r="A229" s="69">
        <v>2020</v>
      </c>
      <c r="B229" s="78">
        <v>173</v>
      </c>
      <c r="C229" s="70" t="s">
        <v>41</v>
      </c>
      <c r="D229" s="80">
        <v>44126</v>
      </c>
      <c r="E229" s="72" t="s">
        <v>3708</v>
      </c>
      <c r="F229" s="74" t="s">
        <v>3709</v>
      </c>
      <c r="G229" s="73" t="s">
        <v>3710</v>
      </c>
      <c r="H229" s="74" t="s">
        <v>3288</v>
      </c>
    </row>
    <row r="230" spans="1:8" ht="12.75">
      <c r="A230" s="69">
        <v>2020</v>
      </c>
      <c r="B230" s="78">
        <v>173</v>
      </c>
      <c r="C230" s="70" t="s">
        <v>41</v>
      </c>
      <c r="D230" s="80">
        <v>44126</v>
      </c>
      <c r="E230" s="72" t="s">
        <v>3711</v>
      </c>
      <c r="F230" s="73" t="s">
        <v>3712</v>
      </c>
      <c r="G230" s="74" t="s">
        <v>3710</v>
      </c>
      <c r="H230" s="74" t="s">
        <v>3288</v>
      </c>
    </row>
    <row r="231" spans="1:8" ht="12.75">
      <c r="A231" s="69">
        <v>2020</v>
      </c>
      <c r="B231" s="78">
        <v>174</v>
      </c>
      <c r="C231" s="70" t="s">
        <v>43</v>
      </c>
      <c r="D231" s="80">
        <v>44126</v>
      </c>
      <c r="E231" s="72" t="s">
        <v>3713</v>
      </c>
      <c r="F231" s="74" t="s">
        <v>3714</v>
      </c>
      <c r="G231" s="73" t="s">
        <v>3715</v>
      </c>
      <c r="H231" s="74" t="s">
        <v>3292</v>
      </c>
    </row>
    <row r="232" spans="1:8" ht="12.75">
      <c r="A232" s="69">
        <v>2020</v>
      </c>
      <c r="B232" s="78">
        <v>175</v>
      </c>
      <c r="C232" s="70" t="s">
        <v>471</v>
      </c>
      <c r="D232" s="80">
        <v>44126</v>
      </c>
      <c r="E232" s="72" t="s">
        <v>3716</v>
      </c>
      <c r="F232" s="73" t="s">
        <v>3717</v>
      </c>
      <c r="G232" s="74" t="s">
        <v>3439</v>
      </c>
      <c r="H232" s="74" t="s">
        <v>3288</v>
      </c>
    </row>
    <row r="233" spans="1:8" ht="12.75">
      <c r="A233" s="69">
        <v>2020</v>
      </c>
      <c r="B233" s="78">
        <v>178</v>
      </c>
      <c r="C233" s="70" t="s">
        <v>49</v>
      </c>
      <c r="D233" s="80">
        <v>44133</v>
      </c>
      <c r="E233" s="73" t="s">
        <v>3718</v>
      </c>
      <c r="F233" s="73" t="s">
        <v>3719</v>
      </c>
      <c r="G233" s="74" t="s">
        <v>3720</v>
      </c>
      <c r="H233" s="74" t="s">
        <v>3292</v>
      </c>
    </row>
    <row r="234" spans="1:8" ht="12.75">
      <c r="A234" s="69">
        <v>2020</v>
      </c>
      <c r="B234" s="78">
        <v>183</v>
      </c>
      <c r="C234" s="70" t="s">
        <v>370</v>
      </c>
      <c r="D234" s="80">
        <v>44140</v>
      </c>
      <c r="E234" s="72" t="s">
        <v>3356</v>
      </c>
      <c r="F234" s="74" t="s">
        <v>3721</v>
      </c>
      <c r="G234" s="9" t="s">
        <v>3358</v>
      </c>
      <c r="H234" s="74" t="s">
        <v>3288</v>
      </c>
    </row>
    <row r="235" spans="1:8" ht="12.75">
      <c r="A235" s="69">
        <v>2020</v>
      </c>
      <c r="B235" s="78">
        <v>183</v>
      </c>
      <c r="C235" s="70" t="s">
        <v>370</v>
      </c>
      <c r="D235" s="80">
        <v>44140</v>
      </c>
      <c r="E235" s="72" t="s">
        <v>3722</v>
      </c>
      <c r="F235" s="74" t="s">
        <v>3723</v>
      </c>
      <c r="G235" s="74" t="s">
        <v>3358</v>
      </c>
      <c r="H235" s="74" t="s">
        <v>3288</v>
      </c>
    </row>
    <row r="236" spans="1:8" ht="12.75">
      <c r="A236" s="69">
        <v>2020</v>
      </c>
      <c r="B236" s="78">
        <v>184</v>
      </c>
      <c r="C236" s="70" t="s">
        <v>43</v>
      </c>
      <c r="D236" s="80">
        <v>44140</v>
      </c>
      <c r="E236" s="72" t="s">
        <v>3724</v>
      </c>
      <c r="F236" s="74" t="s">
        <v>3725</v>
      </c>
      <c r="G236" s="74" t="s">
        <v>3469</v>
      </c>
      <c r="H236" s="74" t="s">
        <v>3288</v>
      </c>
    </row>
    <row r="237" spans="1:8" ht="12.75">
      <c r="A237" s="69">
        <v>2020</v>
      </c>
      <c r="B237" s="78">
        <v>184</v>
      </c>
      <c r="C237" s="70" t="s">
        <v>43</v>
      </c>
      <c r="D237" s="80">
        <v>44140</v>
      </c>
      <c r="E237" s="72" t="s">
        <v>3726</v>
      </c>
      <c r="F237" s="73" t="s">
        <v>3725</v>
      </c>
      <c r="G237" s="74" t="s">
        <v>3469</v>
      </c>
      <c r="H237" s="74" t="s">
        <v>3288</v>
      </c>
    </row>
    <row r="238" spans="1:8" ht="12.75">
      <c r="A238" s="69">
        <v>2020</v>
      </c>
      <c r="B238" s="78">
        <v>184</v>
      </c>
      <c r="C238" s="70" t="s">
        <v>43</v>
      </c>
      <c r="D238" s="80">
        <v>44140</v>
      </c>
      <c r="E238" s="72" t="s">
        <v>3727</v>
      </c>
      <c r="F238" s="73" t="s">
        <v>3728</v>
      </c>
      <c r="G238" s="74" t="s">
        <v>1319</v>
      </c>
      <c r="H238" s="74" t="s">
        <v>3288</v>
      </c>
    </row>
    <row r="239" spans="1:8" ht="12.75">
      <c r="A239" s="69">
        <v>2020</v>
      </c>
      <c r="B239" s="78">
        <v>184</v>
      </c>
      <c r="C239" s="70" t="s">
        <v>43</v>
      </c>
      <c r="D239" s="80">
        <v>44140</v>
      </c>
      <c r="E239" s="72" t="s">
        <v>3729</v>
      </c>
      <c r="F239" s="73" t="s">
        <v>3730</v>
      </c>
      <c r="G239" s="74" t="s">
        <v>1319</v>
      </c>
      <c r="H239" s="74" t="s">
        <v>3288</v>
      </c>
    </row>
    <row r="240" spans="1:8" ht="12.75">
      <c r="A240" s="69">
        <v>2020</v>
      </c>
      <c r="B240" s="78">
        <v>184</v>
      </c>
      <c r="C240" s="70" t="s">
        <v>43</v>
      </c>
      <c r="D240" s="80">
        <v>44140</v>
      </c>
      <c r="E240" s="72" t="s">
        <v>3731</v>
      </c>
      <c r="F240" s="73" t="s">
        <v>3732</v>
      </c>
      <c r="G240" s="74" t="s">
        <v>1319</v>
      </c>
      <c r="H240" s="74" t="s">
        <v>3288</v>
      </c>
    </row>
    <row r="241" spans="1:8" ht="12.75">
      <c r="A241" s="69">
        <v>2020</v>
      </c>
      <c r="B241" s="78">
        <v>186</v>
      </c>
      <c r="C241" s="70" t="s">
        <v>26</v>
      </c>
      <c r="D241" s="80">
        <v>44145</v>
      </c>
      <c r="E241" s="72" t="s">
        <v>3733</v>
      </c>
      <c r="F241" s="74" t="s">
        <v>3734</v>
      </c>
      <c r="G241" s="74" t="s">
        <v>3389</v>
      </c>
      <c r="H241" s="74" t="s">
        <v>3288</v>
      </c>
    </row>
    <row r="242" spans="1:8" ht="12.75">
      <c r="A242" s="69">
        <v>2020</v>
      </c>
      <c r="B242" s="78">
        <v>187</v>
      </c>
      <c r="C242" s="70" t="s">
        <v>733</v>
      </c>
      <c r="D242" s="80">
        <v>44145</v>
      </c>
      <c r="E242" s="72" t="s">
        <v>3735</v>
      </c>
      <c r="F242" s="74" t="s">
        <v>3302</v>
      </c>
      <c r="G242" s="74" t="s">
        <v>3720</v>
      </c>
      <c r="H242" s="74" t="s">
        <v>3292</v>
      </c>
    </row>
    <row r="243" spans="1:8" ht="12.75">
      <c r="A243" s="69">
        <v>2020</v>
      </c>
      <c r="B243" s="78">
        <v>187</v>
      </c>
      <c r="C243" s="70" t="s">
        <v>733</v>
      </c>
      <c r="D243" s="80">
        <v>44145</v>
      </c>
      <c r="E243" s="72" t="s">
        <v>3324</v>
      </c>
      <c r="F243" s="74" t="s">
        <v>3302</v>
      </c>
      <c r="G243" s="74" t="s">
        <v>3325</v>
      </c>
      <c r="H243" s="74" t="s">
        <v>3292</v>
      </c>
    </row>
    <row r="244" spans="1:8" ht="12.75">
      <c r="A244" s="69">
        <v>2020</v>
      </c>
      <c r="B244" s="78">
        <v>187</v>
      </c>
      <c r="C244" s="70" t="s">
        <v>733</v>
      </c>
      <c r="D244" s="80">
        <v>44145</v>
      </c>
      <c r="E244" s="72" t="s">
        <v>3736</v>
      </c>
      <c r="F244" s="74" t="s">
        <v>3302</v>
      </c>
      <c r="G244" s="74" t="s">
        <v>3309</v>
      </c>
      <c r="H244" s="74" t="s">
        <v>3292</v>
      </c>
    </row>
    <row r="245" spans="1:8" ht="12.75">
      <c r="A245" s="69">
        <v>2020</v>
      </c>
      <c r="B245" s="78">
        <v>187</v>
      </c>
      <c r="C245" s="77" t="s">
        <v>733</v>
      </c>
      <c r="D245" s="80">
        <v>44145</v>
      </c>
      <c r="E245" s="72" t="s">
        <v>3473</v>
      </c>
      <c r="F245" s="74" t="s">
        <v>3302</v>
      </c>
      <c r="G245" s="74" t="s">
        <v>3474</v>
      </c>
      <c r="H245" s="74" t="s">
        <v>3292</v>
      </c>
    </row>
    <row r="246" spans="1:8" ht="12.75">
      <c r="A246" s="69">
        <v>2020</v>
      </c>
      <c r="B246" s="78">
        <v>190</v>
      </c>
      <c r="C246" s="77" t="s">
        <v>746</v>
      </c>
      <c r="D246" s="80">
        <v>44146</v>
      </c>
      <c r="E246" s="72" t="s">
        <v>3737</v>
      </c>
      <c r="F246" s="74" t="s">
        <v>3738</v>
      </c>
      <c r="G246" s="74" t="s">
        <v>3291</v>
      </c>
      <c r="H246" s="74" t="s">
        <v>3292</v>
      </c>
    </row>
    <row r="247" spans="1:8" ht="12.75">
      <c r="A247" s="69">
        <v>2020</v>
      </c>
      <c r="B247" s="78">
        <v>191</v>
      </c>
      <c r="C247" s="77" t="s">
        <v>676</v>
      </c>
      <c r="D247" s="80">
        <v>44147</v>
      </c>
      <c r="E247" s="72" t="s">
        <v>3739</v>
      </c>
      <c r="F247" s="74" t="s">
        <v>3740</v>
      </c>
      <c r="G247" s="74" t="s">
        <v>3409</v>
      </c>
      <c r="H247" s="74" t="s">
        <v>3288</v>
      </c>
    </row>
    <row r="248" spans="1:8" ht="12.75">
      <c r="A248" s="69">
        <v>2020</v>
      </c>
      <c r="B248" s="78">
        <v>191</v>
      </c>
      <c r="C248" s="77" t="s">
        <v>676</v>
      </c>
      <c r="D248" s="80">
        <v>44147</v>
      </c>
      <c r="E248" s="72" t="s">
        <v>3741</v>
      </c>
      <c r="F248" s="74" t="s">
        <v>3742</v>
      </c>
      <c r="G248" s="74" t="s">
        <v>3409</v>
      </c>
      <c r="H248" s="74" t="s">
        <v>3288</v>
      </c>
    </row>
    <row r="249" spans="1:8" ht="12.75">
      <c r="A249" s="69">
        <v>2020</v>
      </c>
      <c r="B249" s="78">
        <v>191</v>
      </c>
      <c r="C249" s="77" t="s">
        <v>676</v>
      </c>
      <c r="D249" s="80">
        <v>44147</v>
      </c>
      <c r="E249" s="72" t="s">
        <v>3743</v>
      </c>
      <c r="F249" s="74" t="s">
        <v>3744</v>
      </c>
      <c r="G249" s="74" t="s">
        <v>3409</v>
      </c>
      <c r="H249" s="74" t="s">
        <v>3288</v>
      </c>
    </row>
    <row r="250" spans="1:8" ht="12.75">
      <c r="A250" s="69">
        <v>2020</v>
      </c>
      <c r="B250" s="78">
        <v>191</v>
      </c>
      <c r="C250" s="77" t="s">
        <v>676</v>
      </c>
      <c r="D250" s="80">
        <v>44147</v>
      </c>
      <c r="E250" s="72" t="s">
        <v>3745</v>
      </c>
      <c r="F250" s="74" t="s">
        <v>3744</v>
      </c>
      <c r="G250" s="74" t="s">
        <v>3409</v>
      </c>
      <c r="H250" s="74" t="s">
        <v>3288</v>
      </c>
    </row>
    <row r="251" spans="1:8" ht="12.75">
      <c r="A251" s="69">
        <v>2020</v>
      </c>
      <c r="B251" s="78">
        <v>192</v>
      </c>
      <c r="C251" s="77" t="s">
        <v>733</v>
      </c>
      <c r="D251" s="80">
        <v>44147</v>
      </c>
      <c r="E251" s="72" t="s">
        <v>3746</v>
      </c>
      <c r="F251" s="74" t="s">
        <v>3747</v>
      </c>
      <c r="G251" s="74" t="s">
        <v>3409</v>
      </c>
      <c r="H251" s="74" t="s">
        <v>3288</v>
      </c>
    </row>
    <row r="252" spans="1:8" ht="12.75">
      <c r="A252" s="69">
        <v>2020</v>
      </c>
      <c r="B252" s="78">
        <v>192</v>
      </c>
      <c r="C252" s="77" t="s">
        <v>733</v>
      </c>
      <c r="D252" s="80">
        <v>44147</v>
      </c>
      <c r="E252" s="72" t="s">
        <v>3748</v>
      </c>
      <c r="F252" s="73" t="s">
        <v>3749</v>
      </c>
      <c r="G252" s="74" t="s">
        <v>3750</v>
      </c>
      <c r="H252" s="74" t="s">
        <v>3393</v>
      </c>
    </row>
    <row r="253" spans="1:8" ht="12.75">
      <c r="A253" s="69">
        <v>2020</v>
      </c>
      <c r="B253" s="78">
        <v>192</v>
      </c>
      <c r="C253" s="77" t="s">
        <v>733</v>
      </c>
      <c r="D253" s="80">
        <v>44147</v>
      </c>
      <c r="E253" s="72" t="s">
        <v>3751</v>
      </c>
      <c r="F253" s="73" t="s">
        <v>3752</v>
      </c>
      <c r="G253" s="74" t="s">
        <v>3753</v>
      </c>
      <c r="H253" s="74" t="s">
        <v>3288</v>
      </c>
    </row>
    <row r="254" spans="1:8" ht="12.75">
      <c r="A254" s="69">
        <v>2020</v>
      </c>
      <c r="B254" s="78">
        <v>192</v>
      </c>
      <c r="C254" s="77" t="s">
        <v>733</v>
      </c>
      <c r="D254" s="80">
        <v>44147</v>
      </c>
      <c r="E254" s="73" t="s">
        <v>3754</v>
      </c>
      <c r="F254" s="73" t="s">
        <v>3755</v>
      </c>
      <c r="G254" s="74" t="s">
        <v>3710</v>
      </c>
      <c r="H254" s="74" t="s">
        <v>3288</v>
      </c>
    </row>
    <row r="255" spans="1:8" ht="12.75">
      <c r="A255" s="69">
        <v>2020</v>
      </c>
      <c r="B255" s="78">
        <v>192</v>
      </c>
      <c r="C255" s="77" t="s">
        <v>733</v>
      </c>
      <c r="D255" s="80">
        <v>44147</v>
      </c>
      <c r="E255" s="72" t="s">
        <v>3756</v>
      </c>
      <c r="F255" s="73" t="s">
        <v>3757</v>
      </c>
      <c r="G255" s="74" t="s">
        <v>3710</v>
      </c>
      <c r="H255" s="74" t="s">
        <v>3288</v>
      </c>
    </row>
    <row r="256" spans="1:8" ht="12.75">
      <c r="A256" s="69">
        <v>2020</v>
      </c>
      <c r="B256" s="78">
        <v>192</v>
      </c>
      <c r="C256" s="77" t="s">
        <v>733</v>
      </c>
      <c r="D256" s="80">
        <v>44147</v>
      </c>
      <c r="E256" s="73" t="s">
        <v>3758</v>
      </c>
      <c r="F256" s="73" t="s">
        <v>3759</v>
      </c>
      <c r="G256" s="73" t="s">
        <v>3409</v>
      </c>
      <c r="H256" s="74" t="s">
        <v>3288</v>
      </c>
    </row>
    <row r="257" spans="1:8" ht="12.75">
      <c r="A257" s="69">
        <v>2020</v>
      </c>
      <c r="B257" s="78">
        <v>192</v>
      </c>
      <c r="C257" s="77" t="s">
        <v>733</v>
      </c>
      <c r="D257" s="80">
        <v>44147</v>
      </c>
      <c r="E257" s="73" t="s">
        <v>3760</v>
      </c>
      <c r="F257" s="73" t="s">
        <v>3761</v>
      </c>
      <c r="G257" s="74" t="s">
        <v>1319</v>
      </c>
      <c r="H257" s="74" t="s">
        <v>3288</v>
      </c>
    </row>
    <row r="258" spans="1:8" ht="12.75">
      <c r="A258" s="69">
        <v>2020</v>
      </c>
      <c r="B258" s="78">
        <v>192</v>
      </c>
      <c r="C258" s="77" t="s">
        <v>733</v>
      </c>
      <c r="D258" s="80">
        <v>44147</v>
      </c>
      <c r="E258" s="73" t="s">
        <v>3762</v>
      </c>
      <c r="F258" s="73" t="s">
        <v>3763</v>
      </c>
      <c r="G258" s="74" t="s">
        <v>1319</v>
      </c>
      <c r="H258" s="74" t="s">
        <v>3288</v>
      </c>
    </row>
    <row r="259" spans="1:8" ht="12.75">
      <c r="A259" s="69">
        <v>2020</v>
      </c>
      <c r="B259" s="78">
        <v>192</v>
      </c>
      <c r="C259" s="77" t="s">
        <v>733</v>
      </c>
      <c r="D259" s="80">
        <v>44147</v>
      </c>
      <c r="E259" s="73" t="s">
        <v>3764</v>
      </c>
      <c r="F259" s="73" t="s">
        <v>3765</v>
      </c>
      <c r="G259" s="74" t="s">
        <v>3409</v>
      </c>
      <c r="H259" s="74" t="s">
        <v>3288</v>
      </c>
    </row>
    <row r="260" spans="1:8" ht="12.75">
      <c r="A260" s="69">
        <v>2020</v>
      </c>
      <c r="B260" s="78">
        <v>192</v>
      </c>
      <c r="C260" s="77" t="s">
        <v>733</v>
      </c>
      <c r="D260" s="80">
        <v>44147</v>
      </c>
      <c r="E260" s="73" t="s">
        <v>3766</v>
      </c>
      <c r="F260" s="73" t="s">
        <v>3767</v>
      </c>
      <c r="G260" s="74" t="s">
        <v>3409</v>
      </c>
      <c r="H260" s="74" t="s">
        <v>3288</v>
      </c>
    </row>
    <row r="261" spans="1:8" ht="12.75">
      <c r="A261" s="69">
        <v>2020</v>
      </c>
      <c r="B261" s="78">
        <v>192</v>
      </c>
      <c r="C261" s="77" t="s">
        <v>733</v>
      </c>
      <c r="D261" s="80">
        <v>44147</v>
      </c>
      <c r="E261" s="73" t="s">
        <v>3768</v>
      </c>
      <c r="F261" s="73" t="s">
        <v>3769</v>
      </c>
      <c r="G261" s="74" t="s">
        <v>3409</v>
      </c>
      <c r="H261" s="74" t="s">
        <v>3288</v>
      </c>
    </row>
    <row r="262" spans="1:8" ht="12.75">
      <c r="A262" s="69">
        <v>2020</v>
      </c>
      <c r="B262" s="78">
        <v>193</v>
      </c>
      <c r="C262" s="70" t="s">
        <v>67</v>
      </c>
      <c r="D262" s="80">
        <v>44147</v>
      </c>
      <c r="E262" s="73" t="s">
        <v>3770</v>
      </c>
      <c r="F262" s="73" t="s">
        <v>3771</v>
      </c>
      <c r="G262" s="74" t="s">
        <v>1319</v>
      </c>
      <c r="H262" s="74" t="s">
        <v>3288</v>
      </c>
    </row>
    <row r="263" spans="1:8" ht="12.75">
      <c r="A263" s="69">
        <v>2020</v>
      </c>
      <c r="B263" s="78">
        <v>194</v>
      </c>
      <c r="C263" s="77" t="s">
        <v>635</v>
      </c>
      <c r="D263" s="80">
        <v>44152</v>
      </c>
      <c r="E263" s="73" t="s">
        <v>3772</v>
      </c>
      <c r="F263" s="73" t="s">
        <v>3773</v>
      </c>
      <c r="G263" s="74" t="s">
        <v>3389</v>
      </c>
      <c r="H263" s="74" t="s">
        <v>3288</v>
      </c>
    </row>
    <row r="264" spans="1:8" ht="12.75">
      <c r="A264" s="69">
        <v>2020</v>
      </c>
      <c r="B264" s="78">
        <v>196</v>
      </c>
      <c r="C264" s="77" t="s">
        <v>768</v>
      </c>
      <c r="D264" s="80">
        <v>44152</v>
      </c>
      <c r="E264" s="72" t="s">
        <v>3473</v>
      </c>
      <c r="F264" s="73" t="s">
        <v>3302</v>
      </c>
      <c r="G264" s="74" t="s">
        <v>3474</v>
      </c>
      <c r="H264" s="74" t="s">
        <v>3292</v>
      </c>
    </row>
    <row r="265" spans="1:8" ht="12.75">
      <c r="A265" s="69">
        <v>2020</v>
      </c>
      <c r="B265" s="78">
        <v>196</v>
      </c>
      <c r="C265" s="77" t="s">
        <v>768</v>
      </c>
      <c r="D265" s="80">
        <v>44152</v>
      </c>
      <c r="E265" s="72" t="s">
        <v>3774</v>
      </c>
      <c r="F265" s="73" t="s">
        <v>3302</v>
      </c>
      <c r="G265" s="74" t="s">
        <v>3546</v>
      </c>
      <c r="H265" s="74" t="s">
        <v>3292</v>
      </c>
    </row>
    <row r="266" spans="1:8" ht="12.75">
      <c r="A266" s="69">
        <v>2020</v>
      </c>
      <c r="B266" s="78">
        <v>196</v>
      </c>
      <c r="C266" s="77" t="s">
        <v>768</v>
      </c>
      <c r="D266" s="80">
        <v>44152</v>
      </c>
      <c r="E266" s="72" t="s">
        <v>3735</v>
      </c>
      <c r="F266" s="73" t="s">
        <v>3302</v>
      </c>
      <c r="G266" s="74" t="s">
        <v>3720</v>
      </c>
      <c r="H266" s="74" t="s">
        <v>3292</v>
      </c>
    </row>
    <row r="267" spans="1:8" ht="12.75">
      <c r="A267" s="69">
        <v>2020</v>
      </c>
      <c r="B267" s="78">
        <v>197</v>
      </c>
      <c r="C267" s="70" t="s">
        <v>21</v>
      </c>
      <c r="D267" s="80">
        <v>44153</v>
      </c>
      <c r="E267" s="72" t="s">
        <v>3350</v>
      </c>
      <c r="F267" s="74" t="s">
        <v>3330</v>
      </c>
      <c r="G267" s="73" t="s">
        <v>3351</v>
      </c>
      <c r="H267" s="74" t="s">
        <v>3292</v>
      </c>
    </row>
    <row r="268" spans="1:8" ht="12.75">
      <c r="A268" s="69">
        <v>2020</v>
      </c>
      <c r="B268" s="78">
        <v>197</v>
      </c>
      <c r="C268" s="70" t="s">
        <v>21</v>
      </c>
      <c r="D268" s="80">
        <v>44153</v>
      </c>
      <c r="E268" s="72" t="s">
        <v>3775</v>
      </c>
      <c r="F268" s="74" t="s">
        <v>3776</v>
      </c>
      <c r="G268" s="74" t="s">
        <v>3439</v>
      </c>
      <c r="H268" s="74" t="s">
        <v>3288</v>
      </c>
    </row>
    <row r="269" spans="1:8" ht="12.75">
      <c r="A269" s="69">
        <v>2020</v>
      </c>
      <c r="B269" s="78">
        <v>197</v>
      </c>
      <c r="C269" s="70" t="s">
        <v>21</v>
      </c>
      <c r="D269" s="80">
        <v>44153</v>
      </c>
      <c r="E269" s="73" t="s">
        <v>3777</v>
      </c>
      <c r="F269" s="74" t="s">
        <v>3778</v>
      </c>
      <c r="G269" s="73" t="s">
        <v>3439</v>
      </c>
      <c r="H269" s="74" t="s">
        <v>3288</v>
      </c>
    </row>
    <row r="270" spans="1:8" ht="12.75">
      <c r="A270" s="69">
        <v>2020</v>
      </c>
      <c r="B270" s="78">
        <v>198</v>
      </c>
      <c r="C270" s="77" t="s">
        <v>3779</v>
      </c>
      <c r="D270" s="80">
        <v>44154</v>
      </c>
      <c r="E270" s="72" t="s">
        <v>3344</v>
      </c>
      <c r="F270" s="74" t="s">
        <v>3345</v>
      </c>
      <c r="G270" s="74" t="s">
        <v>3311</v>
      </c>
      <c r="H270" s="74" t="s">
        <v>3292</v>
      </c>
    </row>
    <row r="271" spans="1:8" ht="12.75">
      <c r="A271" s="69">
        <v>2020</v>
      </c>
      <c r="B271" s="78">
        <v>198</v>
      </c>
      <c r="C271" s="77" t="s">
        <v>3779</v>
      </c>
      <c r="D271" s="80">
        <v>44154</v>
      </c>
      <c r="E271" s="73" t="s">
        <v>3780</v>
      </c>
      <c r="F271" s="73" t="s">
        <v>3781</v>
      </c>
      <c r="G271" s="74" t="s">
        <v>3311</v>
      </c>
      <c r="H271" s="74" t="s">
        <v>3292</v>
      </c>
    </row>
    <row r="272" spans="1:8" ht="12.75">
      <c r="A272" s="69">
        <v>2020</v>
      </c>
      <c r="B272" s="78">
        <v>200</v>
      </c>
      <c r="C272" s="70" t="s">
        <v>148</v>
      </c>
      <c r="D272" s="71">
        <v>44154</v>
      </c>
      <c r="E272" s="73" t="s">
        <v>3782</v>
      </c>
      <c r="F272" s="74" t="s">
        <v>3783</v>
      </c>
      <c r="G272" s="74" t="s">
        <v>3409</v>
      </c>
      <c r="H272" s="74" t="s">
        <v>3288</v>
      </c>
    </row>
    <row r="273" spans="1:8" ht="12.75">
      <c r="A273" s="69">
        <v>2020</v>
      </c>
      <c r="B273" s="78">
        <v>200</v>
      </c>
      <c r="C273" s="70" t="s">
        <v>148</v>
      </c>
      <c r="D273" s="71">
        <v>44154</v>
      </c>
      <c r="E273" s="72" t="s">
        <v>3784</v>
      </c>
      <c r="F273" s="73" t="s">
        <v>3785</v>
      </c>
      <c r="G273" s="74" t="s">
        <v>3409</v>
      </c>
      <c r="H273" s="74" t="s">
        <v>3288</v>
      </c>
    </row>
    <row r="274" spans="1:8" ht="12.75">
      <c r="A274" s="69">
        <v>2020</v>
      </c>
      <c r="B274" s="78">
        <v>200</v>
      </c>
      <c r="C274" s="70" t="s">
        <v>148</v>
      </c>
      <c r="D274" s="71">
        <v>44154</v>
      </c>
      <c r="E274" s="72" t="s">
        <v>3786</v>
      </c>
      <c r="F274" s="73" t="s">
        <v>3787</v>
      </c>
      <c r="G274" s="74" t="s">
        <v>3409</v>
      </c>
      <c r="H274" s="74" t="s">
        <v>3288</v>
      </c>
    </row>
    <row r="275" spans="1:8" ht="12.75">
      <c r="A275" s="69">
        <v>2020</v>
      </c>
      <c r="B275" s="78">
        <v>201</v>
      </c>
      <c r="C275" s="70" t="s">
        <v>26</v>
      </c>
      <c r="D275" s="80">
        <v>44159</v>
      </c>
      <c r="E275" s="73" t="s">
        <v>3788</v>
      </c>
      <c r="F275" s="73" t="s">
        <v>3789</v>
      </c>
      <c r="G275" s="74" t="s">
        <v>3389</v>
      </c>
      <c r="H275" s="74" t="s">
        <v>3288</v>
      </c>
    </row>
    <row r="276" spans="1:8" ht="12.75">
      <c r="A276" s="69">
        <v>2020</v>
      </c>
      <c r="B276" s="78">
        <v>201</v>
      </c>
      <c r="C276" s="70" t="s">
        <v>26</v>
      </c>
      <c r="D276" s="80">
        <v>44159</v>
      </c>
      <c r="E276" s="72" t="s">
        <v>3790</v>
      </c>
      <c r="F276" s="74" t="s">
        <v>3791</v>
      </c>
      <c r="G276" s="74" t="s">
        <v>3389</v>
      </c>
      <c r="H276" s="74" t="s">
        <v>3288</v>
      </c>
    </row>
    <row r="277" spans="1:8" ht="12.75">
      <c r="A277" s="69">
        <v>2020</v>
      </c>
      <c r="B277" s="78">
        <v>203</v>
      </c>
      <c r="C277" s="77" t="s">
        <v>784</v>
      </c>
      <c r="D277" s="80">
        <v>44159</v>
      </c>
      <c r="E277" s="73" t="s">
        <v>3492</v>
      </c>
      <c r="F277" s="74" t="s">
        <v>3493</v>
      </c>
      <c r="G277" s="74" t="s">
        <v>3409</v>
      </c>
      <c r="H277" s="74" t="s">
        <v>3288</v>
      </c>
    </row>
    <row r="278" spans="1:8" ht="12.75">
      <c r="A278" s="69">
        <v>2020</v>
      </c>
      <c r="B278" s="78">
        <v>203</v>
      </c>
      <c r="C278" s="77" t="s">
        <v>784</v>
      </c>
      <c r="D278" s="80">
        <v>44159</v>
      </c>
      <c r="E278" s="72" t="s">
        <v>3494</v>
      </c>
      <c r="F278" s="73" t="s">
        <v>3495</v>
      </c>
      <c r="G278" s="74" t="s">
        <v>3409</v>
      </c>
      <c r="H278" s="74" t="s">
        <v>3288</v>
      </c>
    </row>
    <row r="279" spans="1:8" ht="12.75">
      <c r="A279" s="69">
        <v>2020</v>
      </c>
      <c r="B279" s="78">
        <v>203</v>
      </c>
      <c r="C279" s="77" t="s">
        <v>784</v>
      </c>
      <c r="D279" s="80">
        <v>44159</v>
      </c>
      <c r="E279" s="73" t="s">
        <v>3792</v>
      </c>
      <c r="F279" s="73" t="s">
        <v>3793</v>
      </c>
      <c r="G279" s="74" t="s">
        <v>3409</v>
      </c>
      <c r="H279" s="74" t="s">
        <v>3288</v>
      </c>
    </row>
    <row r="280" spans="1:8" ht="12.75">
      <c r="A280" s="69">
        <v>2020</v>
      </c>
      <c r="B280" s="78">
        <v>203</v>
      </c>
      <c r="C280" s="77" t="s">
        <v>784</v>
      </c>
      <c r="D280" s="80">
        <v>44159</v>
      </c>
      <c r="E280" s="72" t="s">
        <v>3498</v>
      </c>
      <c r="F280" s="74" t="s">
        <v>3499</v>
      </c>
      <c r="G280" s="74" t="s">
        <v>3409</v>
      </c>
      <c r="H280" s="74" t="s">
        <v>3288</v>
      </c>
    </row>
    <row r="281" spans="1:8" ht="12.75">
      <c r="A281" s="69">
        <v>2020</v>
      </c>
      <c r="B281" s="78">
        <v>203</v>
      </c>
      <c r="C281" s="77" t="s">
        <v>784</v>
      </c>
      <c r="D281" s="80">
        <v>44159</v>
      </c>
      <c r="E281" s="73" t="s">
        <v>3794</v>
      </c>
      <c r="F281" s="74" t="s">
        <v>3795</v>
      </c>
      <c r="G281" s="74" t="s">
        <v>3796</v>
      </c>
      <c r="H281" s="74" t="s">
        <v>3288</v>
      </c>
    </row>
    <row r="282" spans="1:8" ht="12.75">
      <c r="A282" s="69">
        <v>2020</v>
      </c>
      <c r="B282" s="78">
        <v>205</v>
      </c>
      <c r="C282" s="77" t="s">
        <v>795</v>
      </c>
      <c r="D282" s="80">
        <v>44161</v>
      </c>
      <c r="E282" s="73" t="s">
        <v>3324</v>
      </c>
      <c r="F282" s="74" t="s">
        <v>3302</v>
      </c>
      <c r="G282" s="74" t="s">
        <v>3325</v>
      </c>
      <c r="H282" s="74" t="s">
        <v>3292</v>
      </c>
    </row>
    <row r="283" spans="1:8" ht="12.75">
      <c r="A283" s="69">
        <v>2020</v>
      </c>
      <c r="B283" s="78">
        <v>205</v>
      </c>
      <c r="C283" s="77" t="s">
        <v>795</v>
      </c>
      <c r="D283" s="80">
        <v>44161</v>
      </c>
      <c r="E283" s="73" t="s">
        <v>3736</v>
      </c>
      <c r="F283" s="74" t="s">
        <v>3302</v>
      </c>
      <c r="G283" s="74" t="s">
        <v>3309</v>
      </c>
      <c r="H283" s="74" t="s">
        <v>3292</v>
      </c>
    </row>
    <row r="284" spans="1:8" ht="12.75">
      <c r="A284" s="69">
        <v>2020</v>
      </c>
      <c r="B284" s="78">
        <v>207</v>
      </c>
      <c r="C284" s="77" t="s">
        <v>784</v>
      </c>
      <c r="D284" s="80">
        <v>44161</v>
      </c>
      <c r="E284" s="73" t="s">
        <v>3412</v>
      </c>
      <c r="F284" s="73" t="s">
        <v>3413</v>
      </c>
      <c r="G284" s="73" t="s">
        <v>3409</v>
      </c>
      <c r="H284" s="74" t="s">
        <v>3288</v>
      </c>
    </row>
    <row r="285" spans="1:8" ht="12.75">
      <c r="A285" s="69">
        <v>2020</v>
      </c>
      <c r="B285" s="78">
        <v>207</v>
      </c>
      <c r="C285" s="77" t="s">
        <v>784</v>
      </c>
      <c r="D285" s="80">
        <v>44161</v>
      </c>
      <c r="E285" s="72" t="s">
        <v>3797</v>
      </c>
      <c r="F285" s="74" t="s">
        <v>3798</v>
      </c>
      <c r="G285" s="74" t="s">
        <v>3409</v>
      </c>
      <c r="H285" s="74" t="s">
        <v>3288</v>
      </c>
    </row>
    <row r="286" spans="1:8" ht="12.75">
      <c r="A286" s="69">
        <v>2020</v>
      </c>
      <c r="B286" s="78">
        <v>207</v>
      </c>
      <c r="C286" s="77" t="s">
        <v>784</v>
      </c>
      <c r="D286" s="80">
        <v>44161</v>
      </c>
      <c r="E286" s="72" t="s">
        <v>3407</v>
      </c>
      <c r="F286" s="74" t="s">
        <v>3408</v>
      </c>
      <c r="G286" s="74" t="s">
        <v>3409</v>
      </c>
      <c r="H286" s="74" t="s">
        <v>3288</v>
      </c>
    </row>
    <row r="287" spans="1:8" ht="12.75">
      <c r="A287" s="69">
        <v>2020</v>
      </c>
      <c r="B287" s="78">
        <v>207</v>
      </c>
      <c r="C287" s="77" t="s">
        <v>784</v>
      </c>
      <c r="D287" s="80">
        <v>44161</v>
      </c>
      <c r="E287" s="72" t="s">
        <v>3799</v>
      </c>
      <c r="F287" s="74" t="s">
        <v>3800</v>
      </c>
      <c r="G287" s="74" t="s">
        <v>3409</v>
      </c>
      <c r="H287" s="74" t="s">
        <v>3288</v>
      </c>
    </row>
    <row r="288" spans="1:8" ht="12.75">
      <c r="A288" s="69">
        <v>2020</v>
      </c>
      <c r="B288" s="78">
        <v>208</v>
      </c>
      <c r="C288" s="77" t="s">
        <v>795</v>
      </c>
      <c r="D288" s="80">
        <v>44166</v>
      </c>
      <c r="E288" s="73" t="s">
        <v>3352</v>
      </c>
      <c r="F288" s="74" t="s">
        <v>3302</v>
      </c>
      <c r="G288" s="74" t="s">
        <v>3353</v>
      </c>
      <c r="H288" s="74" t="s">
        <v>3292</v>
      </c>
    </row>
    <row r="289" spans="1:8" ht="12.75">
      <c r="A289" s="69">
        <v>2020</v>
      </c>
      <c r="B289" s="78">
        <v>208</v>
      </c>
      <c r="C289" s="77" t="s">
        <v>795</v>
      </c>
      <c r="D289" s="80">
        <v>44166</v>
      </c>
      <c r="E289" s="73" t="s">
        <v>3774</v>
      </c>
      <c r="F289" s="74" t="s">
        <v>3302</v>
      </c>
      <c r="G289" s="74" t="s">
        <v>3546</v>
      </c>
      <c r="H289" s="74" t="s">
        <v>3292</v>
      </c>
    </row>
    <row r="290" spans="1:8" ht="12.75">
      <c r="A290" s="69">
        <v>2020</v>
      </c>
      <c r="B290" s="78">
        <v>211</v>
      </c>
      <c r="C290" s="70" t="s">
        <v>21</v>
      </c>
      <c r="D290" s="80">
        <v>44167</v>
      </c>
      <c r="E290" s="73" t="s">
        <v>3801</v>
      </c>
      <c r="F290" s="74" t="s">
        <v>3802</v>
      </c>
      <c r="G290" s="74" t="s">
        <v>3439</v>
      </c>
      <c r="H290" s="74" t="s">
        <v>3288</v>
      </c>
    </row>
    <row r="291" spans="1:8" ht="12.75">
      <c r="A291" s="69">
        <v>2020</v>
      </c>
      <c r="B291" s="78">
        <v>211</v>
      </c>
      <c r="C291" s="70" t="s">
        <v>21</v>
      </c>
      <c r="D291" s="80">
        <v>44167</v>
      </c>
      <c r="E291" s="72" t="s">
        <v>3803</v>
      </c>
      <c r="F291" s="73" t="s">
        <v>3804</v>
      </c>
      <c r="G291" s="74" t="s">
        <v>3439</v>
      </c>
      <c r="H291" s="74" t="s">
        <v>3288</v>
      </c>
    </row>
    <row r="292" spans="1:8" ht="12.75">
      <c r="A292" s="69">
        <v>2020</v>
      </c>
      <c r="B292" s="78">
        <v>211</v>
      </c>
      <c r="C292" s="70" t="s">
        <v>21</v>
      </c>
      <c r="D292" s="80">
        <v>44167</v>
      </c>
      <c r="E292" s="72" t="s">
        <v>3805</v>
      </c>
      <c r="F292" s="73" t="s">
        <v>3806</v>
      </c>
      <c r="G292" s="74" t="s">
        <v>3439</v>
      </c>
      <c r="H292" s="74" t="s">
        <v>3288</v>
      </c>
    </row>
    <row r="293" spans="1:8" ht="12.75">
      <c r="A293" s="69">
        <v>2020</v>
      </c>
      <c r="B293" s="78">
        <v>211</v>
      </c>
      <c r="C293" s="70" t="s">
        <v>21</v>
      </c>
      <c r="D293" s="80">
        <v>44167</v>
      </c>
      <c r="E293" s="72" t="s">
        <v>3807</v>
      </c>
      <c r="F293" s="74" t="s">
        <v>3808</v>
      </c>
      <c r="G293" s="74" t="s">
        <v>3809</v>
      </c>
      <c r="H293" s="74" t="s">
        <v>3810</v>
      </c>
    </row>
    <row r="294" spans="1:8" ht="12.75">
      <c r="A294" s="69">
        <v>2020</v>
      </c>
      <c r="B294" s="78">
        <v>212</v>
      </c>
      <c r="C294" s="77" t="s">
        <v>98</v>
      </c>
      <c r="D294" s="80">
        <v>44168</v>
      </c>
      <c r="E294" s="73" t="s">
        <v>3811</v>
      </c>
      <c r="F294" s="74" t="s">
        <v>3302</v>
      </c>
      <c r="G294" s="74" t="s">
        <v>3328</v>
      </c>
      <c r="H294" s="74" t="s">
        <v>3292</v>
      </c>
    </row>
    <row r="295" spans="1:8" ht="12.75">
      <c r="A295" s="69">
        <v>2020</v>
      </c>
      <c r="B295" s="78">
        <v>212</v>
      </c>
      <c r="C295" s="77" t="s">
        <v>98</v>
      </c>
      <c r="D295" s="80">
        <v>44168</v>
      </c>
      <c r="E295" s="73" t="s">
        <v>3379</v>
      </c>
      <c r="F295" s="74" t="s">
        <v>3302</v>
      </c>
      <c r="G295" s="74" t="s">
        <v>3306</v>
      </c>
      <c r="H295" s="74" t="s">
        <v>3292</v>
      </c>
    </row>
    <row r="296" spans="1:8" ht="12.75">
      <c r="A296" s="69">
        <v>2020</v>
      </c>
      <c r="B296" s="78">
        <v>217</v>
      </c>
      <c r="C296" s="70" t="s">
        <v>39</v>
      </c>
      <c r="D296" s="80">
        <v>44175</v>
      </c>
      <c r="E296" s="73" t="s">
        <v>3289</v>
      </c>
      <c r="F296" s="74" t="s">
        <v>3290</v>
      </c>
      <c r="G296" s="74" t="s">
        <v>3291</v>
      </c>
      <c r="H296" s="74" t="s">
        <v>3292</v>
      </c>
    </row>
    <row r="297" spans="1:8" ht="12.75">
      <c r="A297" s="69">
        <v>2020</v>
      </c>
      <c r="B297" s="78">
        <v>217</v>
      </c>
      <c r="C297" s="70" t="s">
        <v>39</v>
      </c>
      <c r="D297" s="80">
        <v>44175</v>
      </c>
      <c r="E297" s="73" t="s">
        <v>3812</v>
      </c>
      <c r="F297" s="74" t="s">
        <v>3813</v>
      </c>
      <c r="G297" s="74" t="s">
        <v>3291</v>
      </c>
      <c r="H297" s="74" t="s">
        <v>3292</v>
      </c>
    </row>
    <row r="298" spans="1:8" ht="12.75">
      <c r="A298" s="69">
        <v>2020</v>
      </c>
      <c r="B298" s="78">
        <v>220</v>
      </c>
      <c r="C298" s="70" t="s">
        <v>26</v>
      </c>
      <c r="D298" s="80">
        <v>44180</v>
      </c>
      <c r="E298" s="73" t="s">
        <v>3814</v>
      </c>
      <c r="F298" s="74" t="s">
        <v>3815</v>
      </c>
      <c r="G298" s="74" t="s">
        <v>3389</v>
      </c>
      <c r="H298" s="74" t="s">
        <v>3288</v>
      </c>
    </row>
    <row r="299" spans="1:8" ht="12.75">
      <c r="A299" s="69">
        <v>2020</v>
      </c>
      <c r="B299" s="78">
        <v>222</v>
      </c>
      <c r="C299" s="70" t="s">
        <v>21</v>
      </c>
      <c r="D299" s="80">
        <v>44180</v>
      </c>
      <c r="E299" s="73" t="s">
        <v>3816</v>
      </c>
      <c r="F299" s="74" t="s">
        <v>3817</v>
      </c>
      <c r="G299" s="74" t="s">
        <v>3439</v>
      </c>
      <c r="H299" s="74" t="s">
        <v>3288</v>
      </c>
    </row>
    <row r="300" spans="1:8" ht="12.75">
      <c r="A300" s="81">
        <v>2020</v>
      </c>
      <c r="B300" s="82">
        <v>222</v>
      </c>
      <c r="C300" s="83" t="s">
        <v>21</v>
      </c>
      <c r="D300" s="84">
        <v>44180</v>
      </c>
      <c r="E300" s="85" t="s">
        <v>3818</v>
      </c>
      <c r="F300" s="85" t="s">
        <v>3819</v>
      </c>
      <c r="G300" s="86" t="s">
        <v>3439</v>
      </c>
      <c r="H300" s="86" t="s">
        <v>3288</v>
      </c>
    </row>
    <row r="301" spans="1:8" ht="12.75">
      <c r="A301" s="69">
        <v>2020</v>
      </c>
      <c r="B301" s="78">
        <v>222</v>
      </c>
      <c r="C301" s="70" t="s">
        <v>21</v>
      </c>
      <c r="D301" s="80">
        <v>44180</v>
      </c>
      <c r="E301" s="72" t="s">
        <v>3820</v>
      </c>
      <c r="F301" s="74" t="s">
        <v>3821</v>
      </c>
      <c r="G301" s="74" t="s">
        <v>3439</v>
      </c>
      <c r="H301" s="74" t="s">
        <v>3288</v>
      </c>
    </row>
    <row r="302" spans="1:8" ht="12.75">
      <c r="A302" s="69">
        <v>2020</v>
      </c>
      <c r="B302" s="78">
        <v>222</v>
      </c>
      <c r="C302" s="70" t="s">
        <v>21</v>
      </c>
      <c r="D302" s="80">
        <v>44180</v>
      </c>
      <c r="E302" s="73" t="s">
        <v>3822</v>
      </c>
      <c r="F302" s="73" t="s">
        <v>3823</v>
      </c>
      <c r="G302" s="74" t="s">
        <v>3439</v>
      </c>
      <c r="H302" s="74" t="s">
        <v>3288</v>
      </c>
    </row>
    <row r="303" spans="1:8" ht="12.75">
      <c r="A303" s="69">
        <v>2020</v>
      </c>
      <c r="B303" s="78">
        <v>222</v>
      </c>
      <c r="C303" s="70" t="s">
        <v>21</v>
      </c>
      <c r="D303" s="80">
        <v>44180</v>
      </c>
      <c r="E303" s="73" t="s">
        <v>3824</v>
      </c>
      <c r="F303" s="73" t="s">
        <v>3825</v>
      </c>
      <c r="G303" s="74" t="s">
        <v>3439</v>
      </c>
      <c r="H303" s="74" t="s">
        <v>3288</v>
      </c>
    </row>
    <row r="304" spans="1:8" ht="12.75">
      <c r="A304" s="69">
        <v>2020</v>
      </c>
      <c r="B304" s="78">
        <v>222</v>
      </c>
      <c r="C304" s="70" t="s">
        <v>21</v>
      </c>
      <c r="D304" s="80">
        <v>44180</v>
      </c>
      <c r="E304" s="73" t="s">
        <v>3826</v>
      </c>
      <c r="F304" s="74" t="s">
        <v>3827</v>
      </c>
      <c r="G304" s="74" t="s">
        <v>3439</v>
      </c>
      <c r="H304" s="74" t="s">
        <v>3288</v>
      </c>
    </row>
    <row r="305" spans="1:8" ht="12.75">
      <c r="A305" s="69">
        <v>2020</v>
      </c>
      <c r="B305" s="78">
        <v>222</v>
      </c>
      <c r="C305" s="70" t="s">
        <v>21</v>
      </c>
      <c r="D305" s="80">
        <v>44180</v>
      </c>
      <c r="E305" s="73" t="s">
        <v>3828</v>
      </c>
      <c r="F305" s="74" t="s">
        <v>3829</v>
      </c>
      <c r="G305" s="74" t="s">
        <v>3439</v>
      </c>
      <c r="H305" s="74" t="s">
        <v>3288</v>
      </c>
    </row>
    <row r="306" spans="1:8" ht="12.75">
      <c r="A306" s="69">
        <v>2020</v>
      </c>
      <c r="B306" s="78">
        <v>222</v>
      </c>
      <c r="C306" s="70" t="s">
        <v>21</v>
      </c>
      <c r="D306" s="80">
        <v>44180</v>
      </c>
      <c r="E306" s="73" t="s">
        <v>3830</v>
      </c>
      <c r="F306" s="74" t="s">
        <v>3831</v>
      </c>
      <c r="G306" s="74" t="s">
        <v>3439</v>
      </c>
      <c r="H306" s="74" t="s">
        <v>3288</v>
      </c>
    </row>
    <row r="307" spans="1:8" ht="12.75">
      <c r="A307" s="69">
        <v>2020</v>
      </c>
      <c r="B307" s="78">
        <v>222</v>
      </c>
      <c r="C307" s="70" t="s">
        <v>21</v>
      </c>
      <c r="D307" s="80">
        <v>44180</v>
      </c>
      <c r="E307" s="73" t="s">
        <v>3832</v>
      </c>
      <c r="F307" s="74" t="s">
        <v>3833</v>
      </c>
      <c r="G307" s="74" t="s">
        <v>3439</v>
      </c>
      <c r="H307" s="74" t="s">
        <v>3288</v>
      </c>
    </row>
    <row r="308" spans="1:8" ht="12.75">
      <c r="A308" s="69">
        <v>2020</v>
      </c>
      <c r="B308" s="78">
        <v>222</v>
      </c>
      <c r="C308" s="70" t="s">
        <v>21</v>
      </c>
      <c r="D308" s="80">
        <v>44180</v>
      </c>
      <c r="E308" s="73" t="s">
        <v>3834</v>
      </c>
      <c r="F308" s="74" t="s">
        <v>3835</v>
      </c>
      <c r="G308" s="74" t="s">
        <v>3439</v>
      </c>
      <c r="H308" s="74" t="s">
        <v>3288</v>
      </c>
    </row>
    <row r="309" spans="1:8" ht="12.75">
      <c r="A309" s="69">
        <v>2020</v>
      </c>
      <c r="B309" s="78">
        <v>224</v>
      </c>
      <c r="C309" s="70" t="s">
        <v>73</v>
      </c>
      <c r="D309" s="80">
        <v>44181</v>
      </c>
      <c r="E309" s="73" t="s">
        <v>3836</v>
      </c>
      <c r="F309" s="74" t="s">
        <v>3837</v>
      </c>
      <c r="G309" s="74" t="s">
        <v>1319</v>
      </c>
      <c r="H309" s="74" t="s">
        <v>3288</v>
      </c>
    </row>
    <row r="310" spans="1:8" ht="12.75">
      <c r="A310" s="69">
        <v>2020</v>
      </c>
      <c r="B310" s="78">
        <v>228</v>
      </c>
      <c r="C310" s="70" t="s">
        <v>41</v>
      </c>
      <c r="D310" s="80">
        <v>44182</v>
      </c>
      <c r="E310" s="73" t="s">
        <v>3838</v>
      </c>
      <c r="F310" s="74" t="s">
        <v>3839</v>
      </c>
      <c r="G310" s="74" t="s">
        <v>1319</v>
      </c>
      <c r="H310" s="74" t="s">
        <v>3288</v>
      </c>
    </row>
    <row r="311" spans="1:8" ht="12.75">
      <c r="A311" s="69">
        <v>2020</v>
      </c>
      <c r="B311" s="78">
        <v>228</v>
      </c>
      <c r="C311" s="70" t="s">
        <v>41</v>
      </c>
      <c r="D311" s="80">
        <v>44182</v>
      </c>
      <c r="E311" s="73" t="s">
        <v>3840</v>
      </c>
      <c r="F311" s="74" t="s">
        <v>3841</v>
      </c>
      <c r="G311" s="74" t="s">
        <v>3446</v>
      </c>
      <c r="H311" s="74" t="s">
        <v>3288</v>
      </c>
    </row>
    <row r="312" spans="1:8" ht="12.75">
      <c r="A312" s="69">
        <v>2020</v>
      </c>
      <c r="B312" s="78">
        <v>230</v>
      </c>
      <c r="C312" s="77" t="s">
        <v>896</v>
      </c>
      <c r="D312" s="80">
        <v>44187</v>
      </c>
      <c r="E312" s="72" t="s">
        <v>3774</v>
      </c>
      <c r="F312" s="73" t="s">
        <v>3302</v>
      </c>
      <c r="G312" s="74" t="s">
        <v>3546</v>
      </c>
      <c r="H312" s="74" t="s">
        <v>3292</v>
      </c>
    </row>
    <row r="313" spans="1:8" ht="12.75">
      <c r="A313" s="78">
        <v>2021</v>
      </c>
      <c r="B313" s="69">
        <v>8</v>
      </c>
      <c r="C313" s="70" t="s">
        <v>51</v>
      </c>
      <c r="D313" s="80">
        <v>44244</v>
      </c>
      <c r="E313" s="73" t="s">
        <v>3312</v>
      </c>
      <c r="F313" s="73" t="s">
        <v>3302</v>
      </c>
      <c r="G313" s="74" t="s">
        <v>3313</v>
      </c>
      <c r="H313" s="74" t="s">
        <v>3292</v>
      </c>
    </row>
    <row r="314" spans="1:8" ht="12.75">
      <c r="A314" s="78">
        <v>2021</v>
      </c>
      <c r="B314" s="69">
        <v>8</v>
      </c>
      <c r="C314" s="70" t="s">
        <v>51</v>
      </c>
      <c r="D314" s="80">
        <v>44244</v>
      </c>
      <c r="E314" s="73" t="s">
        <v>3842</v>
      </c>
      <c r="F314" s="73" t="s">
        <v>3843</v>
      </c>
      <c r="G314" s="74" t="s">
        <v>3313</v>
      </c>
      <c r="H314" s="74" t="s">
        <v>3292</v>
      </c>
    </row>
    <row r="315" spans="1:8" ht="12.75">
      <c r="A315" s="78">
        <v>2021</v>
      </c>
      <c r="B315" s="69">
        <v>8</v>
      </c>
      <c r="C315" s="70" t="s">
        <v>51</v>
      </c>
      <c r="D315" s="80">
        <v>44244</v>
      </c>
      <c r="E315" s="72" t="s">
        <v>3844</v>
      </c>
      <c r="F315" s="79" t="s">
        <v>3845</v>
      </c>
      <c r="G315" s="74" t="s">
        <v>3313</v>
      </c>
      <c r="H315" s="74" t="s">
        <v>3292</v>
      </c>
    </row>
    <row r="316" spans="1:8" ht="12.75">
      <c r="A316" s="78">
        <v>2021</v>
      </c>
      <c r="B316" s="69">
        <v>8</v>
      </c>
      <c r="C316" s="70" t="s">
        <v>51</v>
      </c>
      <c r="D316" s="80">
        <v>44244</v>
      </c>
      <c r="E316" s="72" t="s">
        <v>3846</v>
      </c>
      <c r="F316" s="74" t="s">
        <v>3355</v>
      </c>
      <c r="G316" s="74" t="s">
        <v>3313</v>
      </c>
      <c r="H316" s="74" t="s">
        <v>3292</v>
      </c>
    </row>
    <row r="317" spans="1:8" ht="12.75">
      <c r="A317" s="78">
        <v>2021</v>
      </c>
      <c r="B317" s="69">
        <v>11</v>
      </c>
      <c r="C317" s="70" t="s">
        <v>370</v>
      </c>
      <c r="D317" s="80">
        <v>44245</v>
      </c>
      <c r="E317" s="72" t="s">
        <v>3847</v>
      </c>
      <c r="F317" s="74" t="s">
        <v>3848</v>
      </c>
      <c r="G317" s="74" t="s">
        <v>3469</v>
      </c>
      <c r="H317" s="74" t="s">
        <v>3288</v>
      </c>
    </row>
    <row r="318" spans="1:8" ht="12.75">
      <c r="A318" s="78">
        <v>2021</v>
      </c>
      <c r="B318" s="69">
        <v>11</v>
      </c>
      <c r="C318" s="70" t="s">
        <v>370</v>
      </c>
      <c r="D318" s="80">
        <v>44245</v>
      </c>
      <c r="E318" s="72" t="s">
        <v>3849</v>
      </c>
      <c r="F318" s="74" t="s">
        <v>3848</v>
      </c>
      <c r="G318" s="74" t="s">
        <v>3469</v>
      </c>
      <c r="H318" s="74" t="s">
        <v>3288</v>
      </c>
    </row>
    <row r="319" spans="1:8" ht="12.75">
      <c r="A319" s="78">
        <v>2021</v>
      </c>
      <c r="B319" s="69">
        <v>11</v>
      </c>
      <c r="C319" s="70" t="s">
        <v>370</v>
      </c>
      <c r="D319" s="80">
        <v>44245</v>
      </c>
      <c r="E319" s="72" t="s">
        <v>3850</v>
      </c>
      <c r="F319" s="74" t="s">
        <v>3848</v>
      </c>
      <c r="G319" s="74" t="s">
        <v>3469</v>
      </c>
      <c r="H319" s="74" t="s">
        <v>3288</v>
      </c>
    </row>
    <row r="320" spans="1:8" ht="12.75">
      <c r="A320" s="78">
        <v>2021</v>
      </c>
      <c r="B320" s="69">
        <v>15</v>
      </c>
      <c r="C320" s="77" t="s">
        <v>978</v>
      </c>
      <c r="D320" s="80">
        <v>44250</v>
      </c>
      <c r="E320" s="72" t="s">
        <v>3851</v>
      </c>
      <c r="F320" s="74" t="s">
        <v>3852</v>
      </c>
      <c r="G320" s="74" t="s">
        <v>3309</v>
      </c>
      <c r="H320" s="74" t="s">
        <v>3292</v>
      </c>
    </row>
    <row r="321" spans="1:8" ht="12.75">
      <c r="A321" s="78">
        <v>2021</v>
      </c>
      <c r="B321" s="69">
        <v>15</v>
      </c>
      <c r="C321" s="77" t="s">
        <v>978</v>
      </c>
      <c r="D321" s="80">
        <v>44250</v>
      </c>
      <c r="E321" s="72" t="s">
        <v>3853</v>
      </c>
      <c r="F321" s="74" t="s">
        <v>3854</v>
      </c>
      <c r="G321" s="74" t="s">
        <v>3309</v>
      </c>
      <c r="H321" s="74" t="s">
        <v>3292</v>
      </c>
    </row>
    <row r="322" spans="1:8" ht="12.75">
      <c r="A322" s="78">
        <v>2021</v>
      </c>
      <c r="B322" s="69">
        <v>18</v>
      </c>
      <c r="C322" s="70" t="s">
        <v>47</v>
      </c>
      <c r="D322" s="80">
        <v>44252</v>
      </c>
      <c r="E322" s="72" t="s">
        <v>3855</v>
      </c>
      <c r="F322" s="74" t="s">
        <v>3856</v>
      </c>
      <c r="G322" s="74" t="s">
        <v>1319</v>
      </c>
      <c r="H322" s="74" t="s">
        <v>3288</v>
      </c>
    </row>
    <row r="323" spans="1:8" ht="12.75">
      <c r="A323" s="78">
        <v>2021</v>
      </c>
      <c r="B323" s="69">
        <v>20</v>
      </c>
      <c r="C323" s="70" t="s">
        <v>26</v>
      </c>
      <c r="D323" s="80">
        <v>44257</v>
      </c>
      <c r="E323" s="72" t="s">
        <v>3857</v>
      </c>
      <c r="F323" s="74" t="s">
        <v>3858</v>
      </c>
      <c r="G323" s="74" t="s">
        <v>3446</v>
      </c>
      <c r="H323" s="74" t="s">
        <v>3288</v>
      </c>
    </row>
    <row r="324" spans="1:8" ht="12.75">
      <c r="A324" s="78">
        <v>2021</v>
      </c>
      <c r="B324" s="69">
        <v>20</v>
      </c>
      <c r="C324" s="70" t="s">
        <v>26</v>
      </c>
      <c r="D324" s="80">
        <v>44257</v>
      </c>
      <c r="E324" s="72" t="s">
        <v>3859</v>
      </c>
      <c r="F324" s="74" t="s">
        <v>3860</v>
      </c>
      <c r="G324" s="74" t="s">
        <v>3446</v>
      </c>
      <c r="H324" s="74" t="s">
        <v>3288</v>
      </c>
    </row>
    <row r="325" spans="1:8" ht="12.75">
      <c r="A325" s="78">
        <v>2021</v>
      </c>
      <c r="B325" s="69">
        <v>20</v>
      </c>
      <c r="C325" s="70" t="s">
        <v>26</v>
      </c>
      <c r="D325" s="80">
        <v>44257</v>
      </c>
      <c r="E325" s="72" t="s">
        <v>3861</v>
      </c>
      <c r="F325" s="74" t="s">
        <v>3862</v>
      </c>
      <c r="G325" s="74" t="s">
        <v>3446</v>
      </c>
      <c r="H325" s="74" t="s">
        <v>3288</v>
      </c>
    </row>
    <row r="326" spans="1:8" ht="12.75">
      <c r="A326" s="78">
        <v>2021</v>
      </c>
      <c r="B326" s="69">
        <v>20</v>
      </c>
      <c r="C326" s="70" t="s">
        <v>26</v>
      </c>
      <c r="D326" s="80">
        <v>44257</v>
      </c>
      <c r="E326" s="72" t="s">
        <v>3863</v>
      </c>
      <c r="F326" s="74" t="s">
        <v>3864</v>
      </c>
      <c r="G326" s="74" t="s">
        <v>3439</v>
      </c>
      <c r="H326" s="74" t="s">
        <v>3288</v>
      </c>
    </row>
    <row r="327" spans="1:8" ht="12.75">
      <c r="A327" s="78">
        <v>2021</v>
      </c>
      <c r="B327" s="69">
        <v>20</v>
      </c>
      <c r="C327" s="70" t="s">
        <v>26</v>
      </c>
      <c r="D327" s="80">
        <v>44257</v>
      </c>
      <c r="E327" s="72" t="s">
        <v>3865</v>
      </c>
      <c r="F327" s="74" t="s">
        <v>3866</v>
      </c>
      <c r="G327" s="74" t="s">
        <v>3439</v>
      </c>
      <c r="H327" s="74" t="s">
        <v>3288</v>
      </c>
    </row>
    <row r="328" spans="1:8" ht="12.75">
      <c r="A328" s="78">
        <v>2021</v>
      </c>
      <c r="B328" s="69">
        <v>20</v>
      </c>
      <c r="C328" s="70" t="s">
        <v>26</v>
      </c>
      <c r="D328" s="80">
        <v>44257</v>
      </c>
      <c r="E328" s="72" t="s">
        <v>3502</v>
      </c>
      <c r="F328" s="74" t="s">
        <v>3867</v>
      </c>
      <c r="G328" s="74" t="s">
        <v>3446</v>
      </c>
      <c r="H328" s="74" t="s">
        <v>3288</v>
      </c>
    </row>
    <row r="329" spans="1:8" ht="12.75">
      <c r="A329" s="78">
        <v>2021</v>
      </c>
      <c r="B329" s="69">
        <v>20</v>
      </c>
      <c r="C329" s="70" t="s">
        <v>26</v>
      </c>
      <c r="D329" s="80">
        <v>44257</v>
      </c>
      <c r="E329" s="72" t="s">
        <v>3676</v>
      </c>
      <c r="F329" s="74" t="s">
        <v>3868</v>
      </c>
      <c r="G329" s="74" t="s">
        <v>3446</v>
      </c>
      <c r="H329" s="74" t="s">
        <v>3288</v>
      </c>
    </row>
    <row r="330" spans="1:8" ht="12.75">
      <c r="A330" s="78">
        <v>2021</v>
      </c>
      <c r="B330" s="69">
        <v>20</v>
      </c>
      <c r="C330" s="70" t="s">
        <v>26</v>
      </c>
      <c r="D330" s="80">
        <v>44257</v>
      </c>
      <c r="E330" s="72" t="s">
        <v>3869</v>
      </c>
      <c r="F330" s="74" t="s">
        <v>3870</v>
      </c>
      <c r="G330" s="74" t="s">
        <v>3446</v>
      </c>
      <c r="H330" s="74" t="s">
        <v>3288</v>
      </c>
    </row>
    <row r="331" spans="1:8" ht="12.75">
      <c r="A331" s="78">
        <v>2021</v>
      </c>
      <c r="B331" s="69">
        <v>20</v>
      </c>
      <c r="C331" s="70" t="s">
        <v>26</v>
      </c>
      <c r="D331" s="80">
        <v>44257</v>
      </c>
      <c r="E331" s="72" t="s">
        <v>3871</v>
      </c>
      <c r="F331" s="74" t="s">
        <v>3872</v>
      </c>
      <c r="G331" s="74" t="s">
        <v>3446</v>
      </c>
      <c r="H331" s="74" t="s">
        <v>3288</v>
      </c>
    </row>
    <row r="332" spans="1:8" ht="12.75">
      <c r="A332" s="78">
        <v>2021</v>
      </c>
      <c r="B332" s="69">
        <v>20</v>
      </c>
      <c r="C332" s="70" t="s">
        <v>26</v>
      </c>
      <c r="D332" s="80">
        <v>44257</v>
      </c>
      <c r="E332" s="72" t="s">
        <v>3669</v>
      </c>
      <c r="F332" s="74" t="s">
        <v>3873</v>
      </c>
      <c r="G332" s="74" t="s">
        <v>3446</v>
      </c>
      <c r="H332" s="74" t="s">
        <v>3288</v>
      </c>
    </row>
    <row r="333" spans="1:8" ht="12.75">
      <c r="A333" s="78">
        <v>2021</v>
      </c>
      <c r="B333" s="69">
        <v>21</v>
      </c>
      <c r="C333" s="70" t="s">
        <v>148</v>
      </c>
      <c r="D333" s="80">
        <v>44257</v>
      </c>
      <c r="E333" s="72" t="s">
        <v>3874</v>
      </c>
      <c r="F333" s="74" t="s">
        <v>3875</v>
      </c>
      <c r="G333" s="74" t="s">
        <v>3876</v>
      </c>
      <c r="H333" s="74" t="s">
        <v>3292</v>
      </c>
    </row>
    <row r="334" spans="1:8" ht="12.75">
      <c r="A334" s="78">
        <v>2021</v>
      </c>
      <c r="B334" s="69">
        <v>22</v>
      </c>
      <c r="C334" s="77" t="s">
        <v>1007</v>
      </c>
      <c r="D334" s="80">
        <v>44257</v>
      </c>
      <c r="E334" s="72" t="s">
        <v>3361</v>
      </c>
      <c r="F334" s="74" t="s">
        <v>3362</v>
      </c>
      <c r="G334" s="74" t="s">
        <v>3291</v>
      </c>
      <c r="H334" s="74" t="s">
        <v>3292</v>
      </c>
    </row>
    <row r="335" spans="1:8" ht="12.75">
      <c r="A335" s="78">
        <v>2021</v>
      </c>
      <c r="B335" s="69">
        <v>25</v>
      </c>
      <c r="C335" s="70" t="s">
        <v>41</v>
      </c>
      <c r="D335" s="80">
        <v>44259</v>
      </c>
      <c r="E335" s="72" t="s">
        <v>3877</v>
      </c>
      <c r="F335" s="74" t="s">
        <v>3878</v>
      </c>
      <c r="G335" s="74" t="s">
        <v>3879</v>
      </c>
      <c r="H335" s="74" t="s">
        <v>3567</v>
      </c>
    </row>
    <row r="336" spans="1:8" ht="12.75">
      <c r="A336" s="78">
        <v>2021</v>
      </c>
      <c r="B336" s="69">
        <v>25</v>
      </c>
      <c r="C336" s="70" t="s">
        <v>41</v>
      </c>
      <c r="D336" s="80">
        <v>44259</v>
      </c>
      <c r="E336" s="72" t="s">
        <v>3880</v>
      </c>
      <c r="F336" s="74" t="s">
        <v>3878</v>
      </c>
      <c r="G336" s="74" t="s">
        <v>3881</v>
      </c>
      <c r="H336" s="74" t="s">
        <v>3567</v>
      </c>
    </row>
    <row r="337" spans="1:8" ht="12.75">
      <c r="A337" s="78">
        <v>2021</v>
      </c>
      <c r="B337" s="69">
        <v>25</v>
      </c>
      <c r="C337" s="70" t="s">
        <v>41</v>
      </c>
      <c r="D337" s="80">
        <v>44259</v>
      </c>
      <c r="E337" s="72" t="s">
        <v>3882</v>
      </c>
      <c r="F337" s="74" t="s">
        <v>3878</v>
      </c>
      <c r="G337" s="74" t="s">
        <v>3883</v>
      </c>
      <c r="H337" s="74" t="s">
        <v>3567</v>
      </c>
    </row>
    <row r="338" spans="1:8" ht="12.75">
      <c r="A338" s="78">
        <v>2021</v>
      </c>
      <c r="B338" s="69">
        <v>25</v>
      </c>
      <c r="C338" s="70" t="s">
        <v>41</v>
      </c>
      <c r="D338" s="80">
        <v>44259</v>
      </c>
      <c r="E338" s="72" t="s">
        <v>3884</v>
      </c>
      <c r="F338" s="74" t="s">
        <v>3878</v>
      </c>
      <c r="G338" s="74" t="s">
        <v>3885</v>
      </c>
      <c r="H338" s="74" t="s">
        <v>3567</v>
      </c>
    </row>
    <row r="339" spans="1:8" ht="12.75">
      <c r="A339" s="78">
        <v>2021</v>
      </c>
      <c r="B339" s="69">
        <v>25</v>
      </c>
      <c r="C339" s="70" t="s">
        <v>41</v>
      </c>
      <c r="D339" s="80">
        <v>44259</v>
      </c>
      <c r="E339" s="72" t="s">
        <v>3886</v>
      </c>
      <c r="F339" s="74" t="s">
        <v>3878</v>
      </c>
      <c r="G339" s="74" t="s">
        <v>3887</v>
      </c>
      <c r="H339" s="74" t="s">
        <v>3567</v>
      </c>
    </row>
    <row r="340" spans="1:8" ht="12.75">
      <c r="A340" s="78">
        <v>2021</v>
      </c>
      <c r="B340" s="69">
        <v>25</v>
      </c>
      <c r="C340" s="70" t="s">
        <v>41</v>
      </c>
      <c r="D340" s="80">
        <v>44259</v>
      </c>
      <c r="E340" s="72" t="s">
        <v>3888</v>
      </c>
      <c r="F340" s="74" t="s">
        <v>3878</v>
      </c>
      <c r="G340" s="74" t="s">
        <v>3889</v>
      </c>
      <c r="H340" s="74" t="s">
        <v>3567</v>
      </c>
    </row>
    <row r="341" spans="1:8" ht="12.75">
      <c r="A341" s="78">
        <v>2021</v>
      </c>
      <c r="B341" s="69">
        <v>25</v>
      </c>
      <c r="C341" s="70" t="s">
        <v>41</v>
      </c>
      <c r="D341" s="80">
        <v>44259</v>
      </c>
      <c r="E341" s="72" t="s">
        <v>3890</v>
      </c>
      <c r="F341" s="74" t="s">
        <v>3878</v>
      </c>
      <c r="G341" s="74" t="s">
        <v>3891</v>
      </c>
      <c r="H341" s="74" t="s">
        <v>3567</v>
      </c>
    </row>
    <row r="342" spans="1:8" ht="12.75">
      <c r="A342" s="78">
        <v>2021</v>
      </c>
      <c r="B342" s="69">
        <v>25</v>
      </c>
      <c r="C342" s="70" t="s">
        <v>41</v>
      </c>
      <c r="D342" s="80">
        <v>44259</v>
      </c>
      <c r="E342" s="72" t="s">
        <v>3892</v>
      </c>
      <c r="F342" s="74" t="s">
        <v>3878</v>
      </c>
      <c r="G342" s="74" t="s">
        <v>3893</v>
      </c>
      <c r="H342" s="74" t="s">
        <v>3567</v>
      </c>
    </row>
    <row r="343" spans="1:8" ht="12.75">
      <c r="A343" s="78">
        <v>2021</v>
      </c>
      <c r="B343" s="69">
        <v>25</v>
      </c>
      <c r="C343" s="70" t="s">
        <v>41</v>
      </c>
      <c r="D343" s="80">
        <v>44259</v>
      </c>
      <c r="E343" s="72" t="s">
        <v>3894</v>
      </c>
      <c r="F343" s="74" t="s">
        <v>3878</v>
      </c>
      <c r="G343" s="74" t="s">
        <v>3895</v>
      </c>
      <c r="H343" s="74" t="s">
        <v>3567</v>
      </c>
    </row>
    <row r="344" spans="1:8" ht="12.75">
      <c r="A344" s="78">
        <v>2021</v>
      </c>
      <c r="B344" s="69">
        <v>25</v>
      </c>
      <c r="C344" s="70" t="s">
        <v>41</v>
      </c>
      <c r="D344" s="80">
        <v>44259</v>
      </c>
      <c r="E344" s="72" t="s">
        <v>3896</v>
      </c>
      <c r="F344" s="74" t="s">
        <v>3878</v>
      </c>
      <c r="G344" s="74" t="s">
        <v>3897</v>
      </c>
      <c r="H344" s="74" t="s">
        <v>3567</v>
      </c>
    </row>
    <row r="345" spans="1:8" ht="12.75">
      <c r="A345" s="78">
        <v>2021</v>
      </c>
      <c r="B345" s="69">
        <v>25</v>
      </c>
      <c r="C345" s="70" t="s">
        <v>41</v>
      </c>
      <c r="D345" s="80">
        <v>44259</v>
      </c>
      <c r="E345" s="72" t="s">
        <v>3898</v>
      </c>
      <c r="F345" s="74" t="s">
        <v>3878</v>
      </c>
      <c r="G345" s="74" t="s">
        <v>3899</v>
      </c>
      <c r="H345" s="74" t="s">
        <v>3567</v>
      </c>
    </row>
    <row r="346" spans="1:8" ht="12.75">
      <c r="A346" s="78">
        <v>2021</v>
      </c>
      <c r="B346" s="69">
        <v>25</v>
      </c>
      <c r="C346" s="70" t="s">
        <v>41</v>
      </c>
      <c r="D346" s="80">
        <v>44259</v>
      </c>
      <c r="E346" s="72" t="s">
        <v>3900</v>
      </c>
      <c r="F346" s="74" t="s">
        <v>3878</v>
      </c>
      <c r="G346" s="74" t="s">
        <v>3901</v>
      </c>
      <c r="H346" s="74" t="s">
        <v>3567</v>
      </c>
    </row>
    <row r="347" spans="1:8" ht="12.75">
      <c r="A347" s="78">
        <v>2021</v>
      </c>
      <c r="B347" s="69">
        <v>25</v>
      </c>
      <c r="C347" s="70" t="s">
        <v>41</v>
      </c>
      <c r="D347" s="80">
        <v>44259</v>
      </c>
      <c r="E347" s="72" t="s">
        <v>3902</v>
      </c>
      <c r="F347" s="74" t="s">
        <v>3878</v>
      </c>
      <c r="G347" s="74" t="s">
        <v>3903</v>
      </c>
      <c r="H347" s="74" t="s">
        <v>3567</v>
      </c>
    </row>
    <row r="348" spans="1:8" ht="12.75">
      <c r="A348" s="78">
        <v>2021</v>
      </c>
      <c r="B348" s="69">
        <v>25</v>
      </c>
      <c r="C348" s="70" t="s">
        <v>41</v>
      </c>
      <c r="D348" s="80">
        <v>44259</v>
      </c>
      <c r="E348" s="72" t="s">
        <v>3904</v>
      </c>
      <c r="F348" s="74" t="s">
        <v>3905</v>
      </c>
      <c r="G348" s="74" t="s">
        <v>3906</v>
      </c>
      <c r="H348" s="74" t="s">
        <v>3567</v>
      </c>
    </row>
    <row r="349" spans="1:8" ht="12.75">
      <c r="A349" s="78">
        <v>2021</v>
      </c>
      <c r="B349" s="69">
        <v>25</v>
      </c>
      <c r="C349" s="70" t="s">
        <v>41</v>
      </c>
      <c r="D349" s="80">
        <v>44259</v>
      </c>
      <c r="E349" s="72" t="s">
        <v>3907</v>
      </c>
      <c r="F349" s="74" t="s">
        <v>3905</v>
      </c>
      <c r="G349" s="74" t="s">
        <v>3908</v>
      </c>
      <c r="H349" s="74" t="s">
        <v>3567</v>
      </c>
    </row>
    <row r="350" spans="1:8" ht="12.75">
      <c r="A350" s="78">
        <v>2021</v>
      </c>
      <c r="B350" s="69">
        <v>25</v>
      </c>
      <c r="C350" s="70" t="s">
        <v>41</v>
      </c>
      <c r="D350" s="80">
        <v>44259</v>
      </c>
      <c r="E350" s="72" t="s">
        <v>3909</v>
      </c>
      <c r="F350" s="74" t="s">
        <v>3905</v>
      </c>
      <c r="G350" s="74" t="s">
        <v>3910</v>
      </c>
      <c r="H350" s="74" t="s">
        <v>3567</v>
      </c>
    </row>
    <row r="351" spans="1:8" ht="12.75">
      <c r="A351" s="78">
        <v>2021</v>
      </c>
      <c r="B351" s="69">
        <v>25</v>
      </c>
      <c r="C351" s="70" t="s">
        <v>41</v>
      </c>
      <c r="D351" s="80">
        <v>44259</v>
      </c>
      <c r="E351" s="72" t="s">
        <v>3911</v>
      </c>
      <c r="F351" s="74" t="s">
        <v>3905</v>
      </c>
      <c r="G351" s="74" t="s">
        <v>3912</v>
      </c>
      <c r="H351" s="74" t="s">
        <v>3567</v>
      </c>
    </row>
    <row r="352" spans="1:8" ht="12.75">
      <c r="A352" s="78">
        <v>2021</v>
      </c>
      <c r="B352" s="69">
        <v>26</v>
      </c>
      <c r="C352" s="70" t="s">
        <v>190</v>
      </c>
      <c r="D352" s="80">
        <v>44259</v>
      </c>
      <c r="E352" s="72" t="s">
        <v>3913</v>
      </c>
      <c r="F352" s="74" t="s">
        <v>3482</v>
      </c>
      <c r="G352" s="74" t="s">
        <v>3914</v>
      </c>
      <c r="H352" s="74" t="s">
        <v>3393</v>
      </c>
    </row>
    <row r="353" spans="1:8" ht="12.75">
      <c r="A353" s="78">
        <v>2021</v>
      </c>
      <c r="B353" s="69">
        <v>26</v>
      </c>
      <c r="C353" s="70" t="s">
        <v>190</v>
      </c>
      <c r="D353" s="80">
        <v>44259</v>
      </c>
      <c r="E353" s="72" t="s">
        <v>3915</v>
      </c>
      <c r="F353" s="74" t="s">
        <v>3916</v>
      </c>
      <c r="G353" s="74" t="s">
        <v>3914</v>
      </c>
      <c r="H353" s="74" t="s">
        <v>3393</v>
      </c>
    </row>
    <row r="354" spans="1:8" ht="12.75">
      <c r="A354" s="78">
        <v>2021</v>
      </c>
      <c r="B354" s="69">
        <v>26</v>
      </c>
      <c r="C354" s="70" t="s">
        <v>190</v>
      </c>
      <c r="D354" s="80">
        <v>44259</v>
      </c>
      <c r="E354" s="72" t="s">
        <v>3917</v>
      </c>
      <c r="F354" s="74" t="s">
        <v>3918</v>
      </c>
      <c r="G354" s="74" t="s">
        <v>3914</v>
      </c>
      <c r="H354" s="74" t="s">
        <v>3393</v>
      </c>
    </row>
    <row r="355" spans="1:8" ht="12.75">
      <c r="A355" s="78">
        <v>2021</v>
      </c>
      <c r="B355" s="69">
        <v>26</v>
      </c>
      <c r="C355" s="70" t="s">
        <v>190</v>
      </c>
      <c r="D355" s="80">
        <v>44259</v>
      </c>
      <c r="E355" s="72" t="s">
        <v>3919</v>
      </c>
      <c r="F355" s="74" t="s">
        <v>3920</v>
      </c>
      <c r="G355" s="74" t="s">
        <v>3914</v>
      </c>
      <c r="H355" s="74" t="s">
        <v>3393</v>
      </c>
    </row>
    <row r="356" spans="1:8" ht="12.75">
      <c r="A356" s="78">
        <v>2021</v>
      </c>
      <c r="B356" s="69">
        <v>26</v>
      </c>
      <c r="C356" s="70" t="s">
        <v>190</v>
      </c>
      <c r="D356" s="80">
        <v>44259</v>
      </c>
      <c r="E356" s="72" t="s">
        <v>3481</v>
      </c>
      <c r="F356" s="74" t="s">
        <v>3482</v>
      </c>
      <c r="G356" s="74" t="s">
        <v>3306</v>
      </c>
      <c r="H356" s="74" t="s">
        <v>3292</v>
      </c>
    </row>
    <row r="357" spans="1:8" ht="12.75">
      <c r="A357" s="78">
        <v>2021</v>
      </c>
      <c r="B357" s="69">
        <v>26</v>
      </c>
      <c r="C357" s="70" t="s">
        <v>190</v>
      </c>
      <c r="D357" s="80">
        <v>44259</v>
      </c>
      <c r="E357" s="72" t="s">
        <v>3921</v>
      </c>
      <c r="F357" s="74" t="s">
        <v>3482</v>
      </c>
      <c r="G357" s="74" t="s">
        <v>3922</v>
      </c>
      <c r="H357" s="74" t="s">
        <v>3292</v>
      </c>
    </row>
    <row r="358" spans="1:8" ht="12.75">
      <c r="A358" s="78">
        <v>2021</v>
      </c>
      <c r="B358" s="69">
        <v>26</v>
      </c>
      <c r="C358" s="70" t="s">
        <v>190</v>
      </c>
      <c r="D358" s="80">
        <v>44259</v>
      </c>
      <c r="E358" s="72" t="s">
        <v>3923</v>
      </c>
      <c r="F358" s="74" t="s">
        <v>3924</v>
      </c>
      <c r="G358" s="74" t="s">
        <v>3925</v>
      </c>
      <c r="H358" s="74" t="s">
        <v>3292</v>
      </c>
    </row>
    <row r="359" spans="1:8" ht="12.75">
      <c r="A359" s="78">
        <v>2021</v>
      </c>
      <c r="B359" s="69">
        <v>26</v>
      </c>
      <c r="C359" s="70" t="s">
        <v>190</v>
      </c>
      <c r="D359" s="80">
        <v>44259</v>
      </c>
      <c r="E359" s="72" t="s">
        <v>3926</v>
      </c>
      <c r="F359" s="74" t="s">
        <v>3924</v>
      </c>
      <c r="G359" s="74" t="s">
        <v>3927</v>
      </c>
      <c r="H359" s="74" t="s">
        <v>3292</v>
      </c>
    </row>
    <row r="360" spans="1:8" ht="12.75">
      <c r="A360" s="78">
        <v>2021</v>
      </c>
      <c r="B360" s="69">
        <v>28</v>
      </c>
      <c r="C360" s="70" t="s">
        <v>471</v>
      </c>
      <c r="D360" s="80">
        <v>44259</v>
      </c>
      <c r="E360" s="72" t="s">
        <v>3928</v>
      </c>
      <c r="F360" s="74" t="s">
        <v>3929</v>
      </c>
      <c r="G360" s="74" t="s">
        <v>3439</v>
      </c>
      <c r="H360" s="74" t="s">
        <v>3288</v>
      </c>
    </row>
    <row r="361" spans="1:8" ht="12.75">
      <c r="A361" s="78">
        <v>2021</v>
      </c>
      <c r="B361" s="69">
        <v>28</v>
      </c>
      <c r="C361" s="70" t="s">
        <v>471</v>
      </c>
      <c r="D361" s="80">
        <v>44259</v>
      </c>
      <c r="E361" s="72" t="s">
        <v>3930</v>
      </c>
      <c r="F361" s="74" t="s">
        <v>3931</v>
      </c>
      <c r="G361" s="74" t="s">
        <v>3439</v>
      </c>
      <c r="H361" s="74" t="s">
        <v>3288</v>
      </c>
    </row>
    <row r="362" spans="1:8" ht="12.75">
      <c r="A362" s="78">
        <v>2021</v>
      </c>
      <c r="B362" s="69">
        <v>28</v>
      </c>
      <c r="C362" s="70" t="s">
        <v>471</v>
      </c>
      <c r="D362" s="80">
        <v>44259</v>
      </c>
      <c r="E362" s="72" t="s">
        <v>3932</v>
      </c>
      <c r="F362" s="74" t="s">
        <v>3933</v>
      </c>
      <c r="G362" s="74" t="s">
        <v>3439</v>
      </c>
      <c r="H362" s="74" t="s">
        <v>3288</v>
      </c>
    </row>
    <row r="363" spans="1:8" ht="12.75">
      <c r="A363" s="78">
        <v>2021</v>
      </c>
      <c r="B363" s="69">
        <v>28</v>
      </c>
      <c r="C363" s="70" t="s">
        <v>471</v>
      </c>
      <c r="D363" s="80">
        <v>44259</v>
      </c>
      <c r="E363" s="72" t="s">
        <v>3934</v>
      </c>
      <c r="F363" s="74" t="s">
        <v>3935</v>
      </c>
      <c r="G363" s="74" t="s">
        <v>3439</v>
      </c>
      <c r="H363" s="74" t="s">
        <v>3288</v>
      </c>
    </row>
    <row r="364" spans="1:8" ht="12.75">
      <c r="A364" s="78">
        <v>2021</v>
      </c>
      <c r="B364" s="69">
        <v>28</v>
      </c>
      <c r="C364" s="70" t="s">
        <v>471</v>
      </c>
      <c r="D364" s="80">
        <v>44259</v>
      </c>
      <c r="E364" s="72" t="s">
        <v>3936</v>
      </c>
      <c r="F364" s="74" t="s">
        <v>3937</v>
      </c>
      <c r="G364" s="74" t="s">
        <v>3439</v>
      </c>
      <c r="H364" s="74" t="s">
        <v>3288</v>
      </c>
    </row>
    <row r="365" spans="1:8" ht="12.75">
      <c r="A365" s="78">
        <v>2021</v>
      </c>
      <c r="B365" s="69">
        <v>28</v>
      </c>
      <c r="C365" s="70" t="s">
        <v>471</v>
      </c>
      <c r="D365" s="80">
        <v>44259</v>
      </c>
      <c r="E365" s="72" t="s">
        <v>3938</v>
      </c>
      <c r="F365" s="74" t="s">
        <v>3939</v>
      </c>
      <c r="G365" s="74" t="s">
        <v>3439</v>
      </c>
      <c r="H365" s="74" t="s">
        <v>3288</v>
      </c>
    </row>
    <row r="366" spans="1:8" ht="12.75">
      <c r="A366" s="78">
        <v>2021</v>
      </c>
      <c r="B366" s="69">
        <v>30</v>
      </c>
      <c r="C366" s="77" t="s">
        <v>1039</v>
      </c>
      <c r="D366" s="80">
        <v>44264</v>
      </c>
      <c r="E366" s="72" t="s">
        <v>3940</v>
      </c>
      <c r="F366" s="74" t="s">
        <v>3941</v>
      </c>
      <c r="G366" s="74" t="s">
        <v>3432</v>
      </c>
      <c r="H366" s="74" t="s">
        <v>3292</v>
      </c>
    </row>
    <row r="367" spans="1:8" ht="12.75">
      <c r="A367" s="78">
        <v>2021</v>
      </c>
      <c r="B367" s="69">
        <v>31</v>
      </c>
      <c r="C367" s="70" t="s">
        <v>55</v>
      </c>
      <c r="D367" s="80">
        <v>44264</v>
      </c>
      <c r="E367" s="72" t="s">
        <v>3346</v>
      </c>
      <c r="F367" s="74" t="s">
        <v>3347</v>
      </c>
      <c r="G367" s="74" t="s">
        <v>3942</v>
      </c>
      <c r="H367" s="74" t="s">
        <v>3292</v>
      </c>
    </row>
    <row r="368" spans="1:8" ht="12.75">
      <c r="A368" s="78">
        <v>2021</v>
      </c>
      <c r="B368" s="69">
        <v>34</v>
      </c>
      <c r="C368" s="77" t="s">
        <v>1056</v>
      </c>
      <c r="D368" s="80">
        <v>44266</v>
      </c>
      <c r="E368" s="72" t="s">
        <v>3943</v>
      </c>
      <c r="F368" s="74" t="s">
        <v>3944</v>
      </c>
      <c r="G368" s="74" t="s">
        <v>3512</v>
      </c>
      <c r="H368" s="74" t="s">
        <v>3945</v>
      </c>
    </row>
    <row r="369" spans="1:8" ht="12.75">
      <c r="A369" s="78">
        <v>2021</v>
      </c>
      <c r="B369" s="69">
        <v>34</v>
      </c>
      <c r="C369" s="77" t="s">
        <v>1056</v>
      </c>
      <c r="D369" s="80">
        <v>44266</v>
      </c>
      <c r="E369" s="72" t="s">
        <v>3946</v>
      </c>
      <c r="F369" s="74" t="s">
        <v>3947</v>
      </c>
      <c r="G369" s="74" t="s">
        <v>3512</v>
      </c>
      <c r="H369" s="74" t="s">
        <v>3945</v>
      </c>
    </row>
    <row r="370" spans="1:8" ht="12.75">
      <c r="A370" s="78">
        <v>2021</v>
      </c>
      <c r="B370" s="69">
        <v>34</v>
      </c>
      <c r="C370" s="77" t="s">
        <v>1056</v>
      </c>
      <c r="D370" s="80">
        <v>44266</v>
      </c>
      <c r="E370" s="72" t="s">
        <v>3948</v>
      </c>
      <c r="F370" s="74" t="s">
        <v>3949</v>
      </c>
      <c r="G370" s="74" t="s">
        <v>3950</v>
      </c>
      <c r="H370" s="74" t="s">
        <v>3292</v>
      </c>
    </row>
    <row r="371" spans="1:8" ht="12.75">
      <c r="A371" s="78">
        <v>2021</v>
      </c>
      <c r="B371" s="69">
        <v>34</v>
      </c>
      <c r="C371" s="77" t="s">
        <v>1056</v>
      </c>
      <c r="D371" s="80">
        <v>44266</v>
      </c>
      <c r="E371" s="72" t="s">
        <v>3951</v>
      </c>
      <c r="F371" s="74" t="s">
        <v>23</v>
      </c>
      <c r="G371" s="74" t="s">
        <v>3950</v>
      </c>
      <c r="H371" s="74" t="s">
        <v>3292</v>
      </c>
    </row>
    <row r="372" spans="1:8" ht="12.75">
      <c r="A372" s="78">
        <v>2021</v>
      </c>
      <c r="B372" s="69">
        <v>35</v>
      </c>
      <c r="C372" s="70" t="s">
        <v>370</v>
      </c>
      <c r="D372" s="80">
        <v>44266</v>
      </c>
      <c r="E372" s="72" t="s">
        <v>3307</v>
      </c>
      <c r="F372" s="74" t="s">
        <v>3308</v>
      </c>
      <c r="G372" s="74" t="s">
        <v>3876</v>
      </c>
      <c r="H372" s="74" t="s">
        <v>3292</v>
      </c>
    </row>
    <row r="373" spans="1:8" ht="12.75">
      <c r="A373" s="78">
        <v>2021</v>
      </c>
      <c r="B373" s="69">
        <v>37</v>
      </c>
      <c r="C373" s="70" t="s">
        <v>39</v>
      </c>
      <c r="D373" s="80">
        <v>44271</v>
      </c>
      <c r="E373" s="72" t="s">
        <v>3952</v>
      </c>
      <c r="F373" s="74" t="s">
        <v>3953</v>
      </c>
      <c r="G373" s="74" t="s">
        <v>3291</v>
      </c>
      <c r="H373" s="74" t="s">
        <v>3292</v>
      </c>
    </row>
    <row r="374" spans="1:8" ht="12.75">
      <c r="A374" s="78">
        <v>2021</v>
      </c>
      <c r="B374" s="69">
        <v>37</v>
      </c>
      <c r="C374" s="70" t="s">
        <v>39</v>
      </c>
      <c r="D374" s="80">
        <v>44271</v>
      </c>
      <c r="E374" s="72" t="s">
        <v>3954</v>
      </c>
      <c r="F374" s="74" t="s">
        <v>3955</v>
      </c>
      <c r="G374" s="74" t="s">
        <v>3291</v>
      </c>
      <c r="H374" s="74" t="s">
        <v>3292</v>
      </c>
    </row>
    <row r="375" spans="1:8" ht="12.75">
      <c r="A375" s="78">
        <v>2021</v>
      </c>
      <c r="B375" s="69">
        <v>37</v>
      </c>
      <c r="C375" s="70" t="s">
        <v>39</v>
      </c>
      <c r="D375" s="80">
        <v>44271</v>
      </c>
      <c r="E375" s="72" t="s">
        <v>3956</v>
      </c>
      <c r="F375" s="74" t="s">
        <v>3957</v>
      </c>
      <c r="G375" s="74" t="s">
        <v>3291</v>
      </c>
      <c r="H375" s="74" t="s">
        <v>3292</v>
      </c>
    </row>
    <row r="376" spans="1:8" ht="12.75">
      <c r="A376" s="78">
        <v>2021</v>
      </c>
      <c r="B376" s="69">
        <v>39</v>
      </c>
      <c r="C376" s="77" t="s">
        <v>1076</v>
      </c>
      <c r="D376" s="80">
        <v>44272</v>
      </c>
      <c r="E376" s="72" t="s">
        <v>3958</v>
      </c>
      <c r="F376" s="74" t="s">
        <v>3959</v>
      </c>
      <c r="G376" s="74" t="s">
        <v>3409</v>
      </c>
      <c r="H376" s="74" t="s">
        <v>3288</v>
      </c>
    </row>
    <row r="377" spans="1:8" ht="12.75">
      <c r="A377" s="78">
        <v>2021</v>
      </c>
      <c r="B377" s="69">
        <v>39</v>
      </c>
      <c r="C377" s="77" t="s">
        <v>1076</v>
      </c>
      <c r="D377" s="80">
        <v>44272</v>
      </c>
      <c r="E377" s="72" t="s">
        <v>3960</v>
      </c>
      <c r="F377" s="74" t="s">
        <v>3961</v>
      </c>
      <c r="G377" s="74" t="s">
        <v>3409</v>
      </c>
      <c r="H377" s="74" t="s">
        <v>3288</v>
      </c>
    </row>
    <row r="378" spans="1:8" ht="12.75">
      <c r="A378" s="78">
        <v>2021</v>
      </c>
      <c r="B378" s="69">
        <v>39</v>
      </c>
      <c r="C378" s="77" t="s">
        <v>1076</v>
      </c>
      <c r="D378" s="80">
        <v>44272</v>
      </c>
      <c r="E378" s="72" t="s">
        <v>3962</v>
      </c>
      <c r="F378" s="74" t="s">
        <v>23</v>
      </c>
      <c r="G378" s="74" t="s">
        <v>3409</v>
      </c>
      <c r="H378" s="74" t="s">
        <v>3288</v>
      </c>
    </row>
    <row r="379" spans="1:8" ht="12.75">
      <c r="A379" s="78">
        <v>2021</v>
      </c>
      <c r="B379" s="69">
        <v>40</v>
      </c>
      <c r="C379" s="70" t="s">
        <v>41</v>
      </c>
      <c r="D379" s="80">
        <v>44273</v>
      </c>
      <c r="E379" s="72" t="s">
        <v>3963</v>
      </c>
      <c r="F379" s="74" t="s">
        <v>3964</v>
      </c>
      <c r="G379" s="74" t="s">
        <v>1319</v>
      </c>
      <c r="H379" s="74" t="s">
        <v>3288</v>
      </c>
    </row>
    <row r="380" spans="1:8" ht="12.75">
      <c r="A380" s="78">
        <v>2021</v>
      </c>
      <c r="B380" s="69">
        <v>40</v>
      </c>
      <c r="C380" s="70" t="s">
        <v>41</v>
      </c>
      <c r="D380" s="80">
        <v>44273</v>
      </c>
      <c r="E380" s="72" t="s">
        <v>3965</v>
      </c>
      <c r="F380" s="74" t="s">
        <v>3966</v>
      </c>
      <c r="G380" s="74" t="s">
        <v>1319</v>
      </c>
      <c r="H380" s="74" t="s">
        <v>3288</v>
      </c>
    </row>
    <row r="381" spans="1:8" ht="12.75">
      <c r="A381" s="78">
        <v>2021</v>
      </c>
      <c r="B381" s="69">
        <v>40</v>
      </c>
      <c r="C381" s="70" t="s">
        <v>41</v>
      </c>
      <c r="D381" s="80">
        <v>44273</v>
      </c>
      <c r="E381" s="72" t="s">
        <v>3967</v>
      </c>
      <c r="F381" s="74" t="s">
        <v>3968</v>
      </c>
      <c r="G381" s="74" t="s">
        <v>1319</v>
      </c>
      <c r="H381" s="74" t="s">
        <v>3288</v>
      </c>
    </row>
    <row r="382" spans="1:8" ht="12.75">
      <c r="A382" s="78">
        <v>2021</v>
      </c>
      <c r="B382" s="69">
        <v>40</v>
      </c>
      <c r="C382" s="70" t="s">
        <v>41</v>
      </c>
      <c r="D382" s="80">
        <v>44273</v>
      </c>
      <c r="E382" s="72" t="s">
        <v>3969</v>
      </c>
      <c r="F382" s="74" t="s">
        <v>3970</v>
      </c>
      <c r="G382" s="74" t="s">
        <v>1319</v>
      </c>
      <c r="H382" s="74" t="s">
        <v>3288</v>
      </c>
    </row>
    <row r="383" spans="1:8" ht="12.75">
      <c r="A383" s="78">
        <v>2021</v>
      </c>
      <c r="B383" s="69">
        <v>41</v>
      </c>
      <c r="C383" s="70" t="s">
        <v>471</v>
      </c>
      <c r="D383" s="80">
        <v>44273</v>
      </c>
      <c r="E383" s="72" t="s">
        <v>3971</v>
      </c>
      <c r="F383" s="74" t="s">
        <v>3972</v>
      </c>
      <c r="G383" s="74" t="s">
        <v>3973</v>
      </c>
      <c r="H383" s="74" t="s">
        <v>3393</v>
      </c>
    </row>
    <row r="384" spans="1:8" ht="12.75">
      <c r="A384" s="78">
        <v>2021</v>
      </c>
      <c r="B384" s="69">
        <v>44</v>
      </c>
      <c r="C384" s="77" t="s">
        <v>1076</v>
      </c>
      <c r="D384" s="80">
        <v>44280</v>
      </c>
      <c r="E384" s="72" t="s">
        <v>3324</v>
      </c>
      <c r="F384" s="74" t="s">
        <v>3302</v>
      </c>
      <c r="G384" s="74" t="s">
        <v>3325</v>
      </c>
      <c r="H384" s="74" t="s">
        <v>3292</v>
      </c>
    </row>
    <row r="385" spans="1:8" ht="12.75">
      <c r="A385" s="78">
        <v>2021</v>
      </c>
      <c r="B385" s="69">
        <v>44</v>
      </c>
      <c r="C385" s="77" t="s">
        <v>1076</v>
      </c>
      <c r="D385" s="80">
        <v>44280</v>
      </c>
      <c r="E385" s="72" t="s">
        <v>3736</v>
      </c>
      <c r="F385" s="74" t="s">
        <v>3302</v>
      </c>
      <c r="G385" s="74" t="s">
        <v>3309</v>
      </c>
      <c r="H385" s="74" t="s">
        <v>3292</v>
      </c>
    </row>
    <row r="386" spans="1:8" ht="12.75">
      <c r="A386" s="78">
        <v>2021</v>
      </c>
      <c r="B386" s="69">
        <v>44</v>
      </c>
      <c r="C386" s="77" t="s">
        <v>1076</v>
      </c>
      <c r="D386" s="80">
        <v>44280</v>
      </c>
      <c r="E386" s="72" t="s">
        <v>3974</v>
      </c>
      <c r="F386" s="74" t="s">
        <v>3975</v>
      </c>
      <c r="G386" s="74" t="s">
        <v>3409</v>
      </c>
      <c r="H386" s="74" t="s">
        <v>3288</v>
      </c>
    </row>
    <row r="387" spans="1:8" ht="12.75">
      <c r="A387" s="78">
        <v>2021</v>
      </c>
      <c r="B387" s="69">
        <v>45</v>
      </c>
      <c r="C387" s="70" t="s">
        <v>148</v>
      </c>
      <c r="D387" s="80">
        <v>44280</v>
      </c>
      <c r="E387" s="72" t="s">
        <v>3976</v>
      </c>
      <c r="F387" s="74" t="s">
        <v>3977</v>
      </c>
      <c r="G387" s="74" t="s">
        <v>3328</v>
      </c>
      <c r="H387" s="74" t="s">
        <v>3292</v>
      </c>
    </row>
    <row r="388" spans="1:8" ht="12.75">
      <c r="A388" s="78">
        <v>2021</v>
      </c>
      <c r="B388" s="69">
        <v>46</v>
      </c>
      <c r="C388" s="70" t="s">
        <v>37</v>
      </c>
      <c r="D388" s="80">
        <v>44280</v>
      </c>
      <c r="E388" s="72" t="s">
        <v>3978</v>
      </c>
      <c r="F388" s="74" t="s">
        <v>3979</v>
      </c>
      <c r="G388" s="74" t="s">
        <v>3469</v>
      </c>
      <c r="H388" s="74" t="s">
        <v>3288</v>
      </c>
    </row>
    <row r="389" spans="1:8" ht="12.75">
      <c r="A389" s="78">
        <v>2021</v>
      </c>
      <c r="B389" s="69">
        <v>47</v>
      </c>
      <c r="C389" s="70" t="s">
        <v>26</v>
      </c>
      <c r="D389" s="80">
        <v>44285</v>
      </c>
      <c r="E389" s="72" t="s">
        <v>3315</v>
      </c>
      <c r="F389" s="74" t="s">
        <v>3302</v>
      </c>
      <c r="G389" s="74" t="s">
        <v>3316</v>
      </c>
      <c r="H389" s="74" t="s">
        <v>3292</v>
      </c>
    </row>
    <row r="390" spans="1:8" ht="12.75">
      <c r="A390" s="78">
        <v>2021</v>
      </c>
      <c r="B390" s="69">
        <v>49</v>
      </c>
      <c r="C390" s="70" t="s">
        <v>73</v>
      </c>
      <c r="D390" s="80">
        <v>44285</v>
      </c>
      <c r="E390" s="72" t="s">
        <v>3544</v>
      </c>
      <c r="F390" s="74" t="s">
        <v>3545</v>
      </c>
      <c r="G390" s="74" t="s">
        <v>3546</v>
      </c>
      <c r="H390" s="74" t="s">
        <v>3292</v>
      </c>
    </row>
    <row r="391" spans="1:8" ht="12.75">
      <c r="A391" s="78">
        <v>2021</v>
      </c>
      <c r="B391" s="69">
        <v>49</v>
      </c>
      <c r="C391" s="70" t="s">
        <v>73</v>
      </c>
      <c r="D391" s="80">
        <v>44285</v>
      </c>
      <c r="E391" s="72" t="s">
        <v>3547</v>
      </c>
      <c r="F391" s="74" t="s">
        <v>3548</v>
      </c>
      <c r="G391" s="74" t="s">
        <v>3546</v>
      </c>
      <c r="H391" s="74" t="s">
        <v>3292</v>
      </c>
    </row>
    <row r="392" spans="1:8" ht="12.75">
      <c r="A392" s="78">
        <v>2021</v>
      </c>
      <c r="B392" s="69">
        <v>52</v>
      </c>
      <c r="C392" s="70" t="s">
        <v>21</v>
      </c>
      <c r="D392" s="80">
        <v>44292</v>
      </c>
      <c r="E392" s="72" t="s">
        <v>3980</v>
      </c>
      <c r="F392" s="74" t="s">
        <v>3981</v>
      </c>
      <c r="G392" s="74" t="s">
        <v>3328</v>
      </c>
      <c r="H392" s="74" t="s">
        <v>3292</v>
      </c>
    </row>
    <row r="393" spans="1:8" ht="12.75">
      <c r="A393" s="78">
        <v>2021</v>
      </c>
      <c r="B393" s="69">
        <v>53</v>
      </c>
      <c r="C393" s="77" t="s">
        <v>1133</v>
      </c>
      <c r="D393" s="80">
        <v>44292</v>
      </c>
      <c r="E393" s="72" t="s">
        <v>3363</v>
      </c>
      <c r="F393" s="74" t="s">
        <v>3982</v>
      </c>
      <c r="G393" s="74" t="s">
        <v>3291</v>
      </c>
      <c r="H393" s="74" t="s">
        <v>3292</v>
      </c>
    </row>
    <row r="394" spans="1:8" ht="12.75">
      <c r="A394" s="78">
        <v>2021</v>
      </c>
      <c r="B394" s="69">
        <v>53</v>
      </c>
      <c r="C394" s="77" t="s">
        <v>1133</v>
      </c>
      <c r="D394" s="80">
        <v>44292</v>
      </c>
      <c r="E394" s="72" t="s">
        <v>3983</v>
      </c>
      <c r="F394" s="74" t="s">
        <v>3984</v>
      </c>
      <c r="G394" s="74" t="s">
        <v>3291</v>
      </c>
      <c r="H394" s="74" t="s">
        <v>3292</v>
      </c>
    </row>
    <row r="395" spans="1:8" ht="12.75">
      <c r="A395" s="78">
        <v>2021</v>
      </c>
      <c r="B395" s="69">
        <v>53</v>
      </c>
      <c r="C395" s="77" t="s">
        <v>1133</v>
      </c>
      <c r="D395" s="80">
        <v>44292</v>
      </c>
      <c r="E395" s="72" t="s">
        <v>3985</v>
      </c>
      <c r="F395" s="74" t="s">
        <v>3986</v>
      </c>
      <c r="G395" s="74" t="s">
        <v>3291</v>
      </c>
      <c r="H395" s="74" t="s">
        <v>3292</v>
      </c>
    </row>
    <row r="396" spans="1:8" ht="12.75">
      <c r="A396" s="78">
        <v>2021</v>
      </c>
      <c r="B396" s="69">
        <v>53</v>
      </c>
      <c r="C396" s="77" t="s">
        <v>1133</v>
      </c>
      <c r="D396" s="80">
        <v>44292</v>
      </c>
      <c r="E396" s="72" t="s">
        <v>3987</v>
      </c>
      <c r="F396" s="74" t="s">
        <v>3988</v>
      </c>
      <c r="G396" s="74" t="s">
        <v>3291</v>
      </c>
      <c r="H396" s="74" t="s">
        <v>3292</v>
      </c>
    </row>
    <row r="397" spans="1:8" ht="12.75">
      <c r="A397" s="78">
        <v>2021</v>
      </c>
      <c r="B397" s="69">
        <v>54</v>
      </c>
      <c r="C397" s="77" t="s">
        <v>1111</v>
      </c>
      <c r="D397" s="80">
        <v>44292</v>
      </c>
      <c r="E397" s="72" t="s">
        <v>3379</v>
      </c>
      <c r="F397" s="74" t="s">
        <v>3302</v>
      </c>
      <c r="G397" s="74" t="s">
        <v>3306</v>
      </c>
      <c r="H397" s="74" t="s">
        <v>3292</v>
      </c>
    </row>
    <row r="398" spans="1:8" ht="12.75">
      <c r="A398" s="78">
        <v>2021</v>
      </c>
      <c r="B398" s="69">
        <v>54</v>
      </c>
      <c r="C398" s="77" t="s">
        <v>1111</v>
      </c>
      <c r="D398" s="80">
        <v>44292</v>
      </c>
      <c r="E398" s="72" t="s">
        <v>3989</v>
      </c>
      <c r="F398" s="74" t="s">
        <v>3990</v>
      </c>
      <c r="G398" s="74" t="s">
        <v>3306</v>
      </c>
      <c r="H398" s="74" t="s">
        <v>3292</v>
      </c>
    </row>
    <row r="399" spans="1:8" ht="12.75">
      <c r="A399" s="78">
        <v>2021</v>
      </c>
      <c r="B399" s="69">
        <v>54</v>
      </c>
      <c r="C399" s="77" t="s">
        <v>1111</v>
      </c>
      <c r="D399" s="80">
        <v>44292</v>
      </c>
      <c r="E399" s="72" t="s">
        <v>3991</v>
      </c>
      <c r="F399" s="74" t="s">
        <v>3992</v>
      </c>
      <c r="G399" s="74" t="s">
        <v>3993</v>
      </c>
      <c r="H399" s="74" t="s">
        <v>3513</v>
      </c>
    </row>
    <row r="400" spans="1:8" ht="12.75">
      <c r="A400" s="78">
        <v>2021</v>
      </c>
      <c r="B400" s="69">
        <v>57</v>
      </c>
      <c r="C400" s="77" t="s">
        <v>1147</v>
      </c>
      <c r="D400" s="80">
        <v>44294</v>
      </c>
      <c r="E400" s="72" t="s">
        <v>3853</v>
      </c>
      <c r="F400" s="74" t="s">
        <v>3854</v>
      </c>
      <c r="G400" s="74" t="s">
        <v>3309</v>
      </c>
      <c r="H400" s="74" t="s">
        <v>3292</v>
      </c>
    </row>
    <row r="401" spans="1:8" ht="12.75">
      <c r="A401" s="78">
        <v>2021</v>
      </c>
      <c r="B401" s="69">
        <v>57</v>
      </c>
      <c r="C401" s="77" t="s">
        <v>1147</v>
      </c>
      <c r="D401" s="80">
        <v>44294</v>
      </c>
      <c r="E401" s="72" t="s">
        <v>3994</v>
      </c>
      <c r="F401" s="74" t="s">
        <v>3995</v>
      </c>
      <c r="G401" s="74" t="s">
        <v>3309</v>
      </c>
      <c r="H401" s="74" t="s">
        <v>3292</v>
      </c>
    </row>
    <row r="402" spans="1:8" ht="12.75">
      <c r="A402" s="78">
        <v>2021</v>
      </c>
      <c r="B402" s="69">
        <v>57</v>
      </c>
      <c r="C402" s="77" t="s">
        <v>1147</v>
      </c>
      <c r="D402" s="80">
        <v>44294</v>
      </c>
      <c r="E402" s="72" t="s">
        <v>3996</v>
      </c>
      <c r="F402" s="74" t="s">
        <v>3997</v>
      </c>
      <c r="G402" s="74" t="s">
        <v>3309</v>
      </c>
      <c r="H402" s="74" t="s">
        <v>3292</v>
      </c>
    </row>
    <row r="403" spans="1:8" ht="12.75">
      <c r="A403" s="78">
        <v>2021</v>
      </c>
      <c r="B403" s="69">
        <v>57</v>
      </c>
      <c r="C403" s="77" t="s">
        <v>1147</v>
      </c>
      <c r="D403" s="80">
        <v>44294</v>
      </c>
      <c r="E403" s="72" t="s">
        <v>3998</v>
      </c>
      <c r="F403" s="74" t="s">
        <v>3999</v>
      </c>
      <c r="G403" s="74" t="s">
        <v>3309</v>
      </c>
      <c r="H403" s="74" t="s">
        <v>3292</v>
      </c>
    </row>
    <row r="404" spans="1:8" ht="12.75">
      <c r="A404" s="78">
        <v>2021</v>
      </c>
      <c r="B404" s="69">
        <v>59</v>
      </c>
      <c r="C404" s="70" t="s">
        <v>41</v>
      </c>
      <c r="D404" s="80">
        <v>44294</v>
      </c>
      <c r="E404" s="72" t="s">
        <v>4000</v>
      </c>
      <c r="F404" s="74" t="s">
        <v>4001</v>
      </c>
      <c r="G404" s="74" t="s">
        <v>1319</v>
      </c>
      <c r="H404" s="74" t="s">
        <v>3288</v>
      </c>
    </row>
    <row r="405" spans="1:8" ht="12.75">
      <c r="A405" s="78">
        <v>2021</v>
      </c>
      <c r="B405" s="69">
        <v>68</v>
      </c>
      <c r="C405" s="70" t="s">
        <v>47</v>
      </c>
      <c r="D405" s="80">
        <v>44301</v>
      </c>
      <c r="E405" s="72" t="s">
        <v>3855</v>
      </c>
      <c r="F405" s="74" t="s">
        <v>4002</v>
      </c>
      <c r="G405" s="74" t="s">
        <v>1319</v>
      </c>
      <c r="H405" s="74" t="s">
        <v>3288</v>
      </c>
    </row>
    <row r="406" spans="1:8" ht="12.75">
      <c r="A406" s="78">
        <v>2021</v>
      </c>
      <c r="B406" s="69">
        <v>70</v>
      </c>
      <c r="C406" s="77" t="s">
        <v>1007</v>
      </c>
      <c r="D406" s="80">
        <v>44301</v>
      </c>
      <c r="E406" s="72" t="s">
        <v>4003</v>
      </c>
      <c r="F406" s="74" t="s">
        <v>4004</v>
      </c>
      <c r="G406" s="74" t="s">
        <v>3309</v>
      </c>
      <c r="H406" s="74" t="s">
        <v>3292</v>
      </c>
    </row>
    <row r="407" spans="1:8" ht="12.75">
      <c r="A407" s="78">
        <v>2021</v>
      </c>
      <c r="B407" s="69">
        <v>70</v>
      </c>
      <c r="C407" s="77" t="s">
        <v>1007</v>
      </c>
      <c r="D407" s="80">
        <v>44301</v>
      </c>
      <c r="E407" s="72" t="s">
        <v>4005</v>
      </c>
      <c r="F407" s="74" t="s">
        <v>4006</v>
      </c>
      <c r="G407" s="74" t="s">
        <v>3409</v>
      </c>
      <c r="H407" s="74" t="s">
        <v>3288</v>
      </c>
    </row>
    <row r="408" spans="1:8" ht="12.75">
      <c r="A408" s="78">
        <v>2021</v>
      </c>
      <c r="B408" s="69">
        <v>72</v>
      </c>
      <c r="C408" s="70" t="s">
        <v>148</v>
      </c>
      <c r="D408" s="80">
        <v>44306</v>
      </c>
      <c r="E408" s="72" t="s">
        <v>3853</v>
      </c>
      <c r="F408" s="74" t="s">
        <v>3854</v>
      </c>
      <c r="G408" s="74" t="s">
        <v>3309</v>
      </c>
      <c r="H408" s="74" t="s">
        <v>3292</v>
      </c>
    </row>
    <row r="409" spans="1:8" ht="12.75">
      <c r="A409" s="78">
        <v>2021</v>
      </c>
      <c r="B409" s="69">
        <v>72</v>
      </c>
      <c r="C409" s="70" t="s">
        <v>148</v>
      </c>
      <c r="D409" s="80">
        <v>44306</v>
      </c>
      <c r="E409" s="72" t="s">
        <v>4007</v>
      </c>
      <c r="F409" s="74" t="s">
        <v>4008</v>
      </c>
      <c r="G409" s="74" t="s">
        <v>3309</v>
      </c>
      <c r="H409" s="74" t="s">
        <v>3292</v>
      </c>
    </row>
    <row r="410" spans="1:8" ht="12.75">
      <c r="A410" s="78">
        <v>2021</v>
      </c>
      <c r="B410" s="69">
        <v>72</v>
      </c>
      <c r="C410" s="70" t="s">
        <v>148</v>
      </c>
      <c r="D410" s="80">
        <v>44306</v>
      </c>
      <c r="E410" s="72" t="s">
        <v>4009</v>
      </c>
      <c r="F410" s="74" t="s">
        <v>4010</v>
      </c>
      <c r="G410" s="74" t="s">
        <v>3309</v>
      </c>
      <c r="H410" s="74" t="s">
        <v>3292</v>
      </c>
    </row>
    <row r="411" spans="1:8" ht="12.75">
      <c r="A411" s="78">
        <v>2021</v>
      </c>
      <c r="B411" s="69">
        <v>73</v>
      </c>
      <c r="C411" s="70" t="s">
        <v>51</v>
      </c>
      <c r="D411" s="80">
        <v>44306</v>
      </c>
      <c r="E411" s="72" t="s">
        <v>4011</v>
      </c>
      <c r="F411" s="74" t="s">
        <v>3633</v>
      </c>
      <c r="G411" s="74" t="s">
        <v>1319</v>
      </c>
      <c r="H411" s="74" t="s">
        <v>3288</v>
      </c>
    </row>
    <row r="412" spans="1:8" ht="12.75">
      <c r="A412" s="78">
        <v>2021</v>
      </c>
      <c r="B412" s="69">
        <v>73</v>
      </c>
      <c r="C412" s="70" t="s">
        <v>51</v>
      </c>
      <c r="D412" s="80">
        <v>44306</v>
      </c>
      <c r="E412" s="72" t="s">
        <v>3634</v>
      </c>
      <c r="F412" s="74" t="s">
        <v>3633</v>
      </c>
      <c r="G412" s="74" t="s">
        <v>1319</v>
      </c>
      <c r="H412" s="74" t="s">
        <v>3288</v>
      </c>
    </row>
    <row r="413" spans="1:8" ht="12.75">
      <c r="A413" s="78">
        <v>2021</v>
      </c>
      <c r="B413" s="69">
        <v>73</v>
      </c>
      <c r="C413" s="70" t="s">
        <v>51</v>
      </c>
      <c r="D413" s="80">
        <v>44306</v>
      </c>
      <c r="E413" s="72" t="s">
        <v>4012</v>
      </c>
      <c r="F413" s="74" t="s">
        <v>3633</v>
      </c>
      <c r="G413" s="74" t="s">
        <v>1319</v>
      </c>
      <c r="H413" s="74" t="s">
        <v>3288</v>
      </c>
    </row>
    <row r="414" spans="1:8" ht="12.75">
      <c r="A414" s="78">
        <v>2021</v>
      </c>
      <c r="B414" s="69">
        <v>73</v>
      </c>
      <c r="C414" s="70" t="s">
        <v>51</v>
      </c>
      <c r="D414" s="80">
        <v>44306</v>
      </c>
      <c r="E414" s="72" t="s">
        <v>4013</v>
      </c>
      <c r="F414" s="74" t="s">
        <v>3633</v>
      </c>
      <c r="G414" s="74" t="s">
        <v>1319</v>
      </c>
      <c r="H414" s="74" t="s">
        <v>3288</v>
      </c>
    </row>
    <row r="415" spans="1:8" ht="12.75">
      <c r="A415" s="78">
        <v>2021</v>
      </c>
      <c r="B415" s="69">
        <v>74</v>
      </c>
      <c r="C415" s="77" t="s">
        <v>1171</v>
      </c>
      <c r="D415" s="80">
        <v>44307</v>
      </c>
      <c r="E415" s="72" t="s">
        <v>4014</v>
      </c>
      <c r="F415" s="74" t="s">
        <v>4015</v>
      </c>
      <c r="G415" s="74" t="s">
        <v>3291</v>
      </c>
      <c r="H415" s="74" t="s">
        <v>3292</v>
      </c>
    </row>
    <row r="416" spans="1:8" ht="12.75">
      <c r="A416" s="78">
        <v>2021</v>
      </c>
      <c r="B416" s="69">
        <v>74</v>
      </c>
      <c r="C416" s="77" t="s">
        <v>1171</v>
      </c>
      <c r="D416" s="80">
        <v>44307</v>
      </c>
      <c r="E416" s="72" t="s">
        <v>3956</v>
      </c>
      <c r="F416" s="74" t="s">
        <v>3957</v>
      </c>
      <c r="G416" s="74" t="s">
        <v>3291</v>
      </c>
      <c r="H416" s="74" t="s">
        <v>3292</v>
      </c>
    </row>
    <row r="417" spans="1:8" ht="12.75">
      <c r="A417" s="78">
        <v>2021</v>
      </c>
      <c r="B417" s="69">
        <v>77</v>
      </c>
      <c r="C417" s="70" t="s">
        <v>43</v>
      </c>
      <c r="D417" s="80">
        <v>44308</v>
      </c>
      <c r="E417" s="72" t="s">
        <v>3570</v>
      </c>
      <c r="F417" s="74" t="s">
        <v>3565</v>
      </c>
      <c r="G417" s="74" t="s">
        <v>3571</v>
      </c>
      <c r="H417" s="74" t="s">
        <v>3567</v>
      </c>
    </row>
    <row r="418" spans="1:8" ht="12.75">
      <c r="A418" s="78">
        <v>2021</v>
      </c>
      <c r="B418" s="69">
        <v>77</v>
      </c>
      <c r="C418" s="70" t="s">
        <v>43</v>
      </c>
      <c r="D418" s="80">
        <v>44308</v>
      </c>
      <c r="E418" s="72" t="s">
        <v>3578</v>
      </c>
      <c r="F418" s="74" t="s">
        <v>3565</v>
      </c>
      <c r="G418" s="74" t="s">
        <v>3579</v>
      </c>
      <c r="H418" s="74" t="s">
        <v>3567</v>
      </c>
    </row>
    <row r="419" spans="1:8" ht="12.75">
      <c r="A419" s="78">
        <v>2021</v>
      </c>
      <c r="B419" s="69">
        <v>77</v>
      </c>
      <c r="C419" s="70" t="s">
        <v>43</v>
      </c>
      <c r="D419" s="80">
        <v>44308</v>
      </c>
      <c r="E419" s="72" t="s">
        <v>4016</v>
      </c>
      <c r="F419" s="74" t="s">
        <v>3565</v>
      </c>
      <c r="G419" s="74" t="s">
        <v>4017</v>
      </c>
      <c r="H419" s="74" t="s">
        <v>3567</v>
      </c>
    </row>
    <row r="420" spans="1:8" ht="12.75">
      <c r="A420" s="78">
        <v>2021</v>
      </c>
      <c r="B420" s="69">
        <v>77</v>
      </c>
      <c r="C420" s="70" t="s">
        <v>43</v>
      </c>
      <c r="D420" s="80">
        <v>44308</v>
      </c>
      <c r="E420" s="72" t="s">
        <v>3590</v>
      </c>
      <c r="F420" s="74" t="s">
        <v>3565</v>
      </c>
      <c r="G420" s="74" t="s">
        <v>3591</v>
      </c>
      <c r="H420" s="74" t="s">
        <v>3567</v>
      </c>
    </row>
    <row r="421" spans="1:8" ht="12.75">
      <c r="A421" s="78">
        <v>2021</v>
      </c>
      <c r="B421" s="69">
        <v>77</v>
      </c>
      <c r="C421" s="70" t="s">
        <v>43</v>
      </c>
      <c r="D421" s="80">
        <v>44308</v>
      </c>
      <c r="E421" s="72" t="s">
        <v>3582</v>
      </c>
      <c r="F421" s="74" t="s">
        <v>3565</v>
      </c>
      <c r="G421" s="74" t="s">
        <v>3583</v>
      </c>
      <c r="H421" s="74" t="s">
        <v>3567</v>
      </c>
    </row>
    <row r="422" spans="1:8" ht="12.75">
      <c r="A422" s="78">
        <v>2021</v>
      </c>
      <c r="B422" s="69">
        <v>77</v>
      </c>
      <c r="C422" s="70" t="s">
        <v>43</v>
      </c>
      <c r="D422" s="80">
        <v>44308</v>
      </c>
      <c r="E422" s="72" t="s">
        <v>4018</v>
      </c>
      <c r="F422" s="74" t="s">
        <v>3565</v>
      </c>
      <c r="G422" s="74" t="s">
        <v>3585</v>
      </c>
      <c r="H422" s="74" t="s">
        <v>3567</v>
      </c>
    </row>
    <row r="423" spans="1:8" ht="12.75">
      <c r="A423" s="78">
        <v>2021</v>
      </c>
      <c r="B423" s="69">
        <v>77</v>
      </c>
      <c r="C423" s="70" t="s">
        <v>43</v>
      </c>
      <c r="D423" s="80">
        <v>44308</v>
      </c>
      <c r="E423" s="72" t="s">
        <v>3564</v>
      </c>
      <c r="F423" s="74" t="s">
        <v>3565</v>
      </c>
      <c r="G423" s="74" t="s">
        <v>3566</v>
      </c>
      <c r="H423" s="74" t="s">
        <v>3567</v>
      </c>
    </row>
    <row r="424" spans="1:8" ht="12.75">
      <c r="A424" s="78">
        <v>2021</v>
      </c>
      <c r="B424" s="69">
        <v>78</v>
      </c>
      <c r="C424" s="70" t="s">
        <v>26</v>
      </c>
      <c r="D424" s="80">
        <v>44313</v>
      </c>
      <c r="E424" s="72" t="s">
        <v>4019</v>
      </c>
      <c r="F424" s="74" t="s">
        <v>4020</v>
      </c>
      <c r="G424" s="74" t="s">
        <v>1319</v>
      </c>
      <c r="H424" s="74" t="s">
        <v>3288</v>
      </c>
    </row>
    <row r="425" spans="1:8" ht="12.75">
      <c r="A425" s="78">
        <v>2021</v>
      </c>
      <c r="B425" s="69">
        <v>79</v>
      </c>
      <c r="C425" s="77" t="s">
        <v>1171</v>
      </c>
      <c r="D425" s="80">
        <v>44313</v>
      </c>
      <c r="E425" s="72" t="s">
        <v>4021</v>
      </c>
      <c r="F425" s="74" t="s">
        <v>4022</v>
      </c>
      <c r="G425" s="74" t="s">
        <v>1319</v>
      </c>
      <c r="H425" s="74" t="s">
        <v>3288</v>
      </c>
    </row>
    <row r="426" spans="1:8" ht="12.75">
      <c r="A426" s="78">
        <v>2021</v>
      </c>
      <c r="B426" s="69">
        <v>79</v>
      </c>
      <c r="C426" s="77" t="s">
        <v>1171</v>
      </c>
      <c r="D426" s="80">
        <v>44313</v>
      </c>
      <c r="E426" s="72" t="s">
        <v>4023</v>
      </c>
      <c r="F426" s="74" t="s">
        <v>4024</v>
      </c>
      <c r="G426" s="74" t="s">
        <v>1319</v>
      </c>
      <c r="H426" s="74" t="s">
        <v>3288</v>
      </c>
    </row>
    <row r="427" spans="1:8" ht="12.75">
      <c r="A427" s="78">
        <v>2021</v>
      </c>
      <c r="B427" s="69">
        <v>79</v>
      </c>
      <c r="C427" s="77" t="s">
        <v>1171</v>
      </c>
      <c r="D427" s="80">
        <v>44313</v>
      </c>
      <c r="E427" s="72" t="s">
        <v>4025</v>
      </c>
      <c r="F427" s="74" t="s">
        <v>4026</v>
      </c>
      <c r="G427" s="74" t="s">
        <v>1319</v>
      </c>
      <c r="H427" s="74" t="s">
        <v>3288</v>
      </c>
    </row>
    <row r="428" spans="1:8" ht="12.75">
      <c r="A428" s="78">
        <v>2021</v>
      </c>
      <c r="B428" s="69">
        <v>80</v>
      </c>
      <c r="C428" s="77" t="s">
        <v>4027</v>
      </c>
      <c r="D428" s="80">
        <v>44313</v>
      </c>
      <c r="E428" s="72" t="s">
        <v>4028</v>
      </c>
      <c r="F428" s="74" t="s">
        <v>4029</v>
      </c>
      <c r="G428" s="74" t="s">
        <v>3439</v>
      </c>
      <c r="H428" s="74" t="s">
        <v>3288</v>
      </c>
    </row>
    <row r="429" spans="1:8" ht="12.75">
      <c r="A429" s="78">
        <v>2021</v>
      </c>
      <c r="B429" s="69">
        <v>80</v>
      </c>
      <c r="C429" s="77" t="s">
        <v>4027</v>
      </c>
      <c r="D429" s="80">
        <v>44313</v>
      </c>
      <c r="E429" s="72" t="s">
        <v>4030</v>
      </c>
      <c r="F429" s="74" t="s">
        <v>4031</v>
      </c>
      <c r="G429" s="74" t="s">
        <v>3409</v>
      </c>
      <c r="H429" s="74" t="s">
        <v>3288</v>
      </c>
    </row>
    <row r="430" spans="1:8" ht="12.75">
      <c r="A430" s="78">
        <v>2021</v>
      </c>
      <c r="B430" s="69">
        <v>80</v>
      </c>
      <c r="C430" s="77" t="s">
        <v>4027</v>
      </c>
      <c r="D430" s="80">
        <v>44313</v>
      </c>
      <c r="E430" s="72" t="s">
        <v>4032</v>
      </c>
      <c r="F430" s="74" t="s">
        <v>4033</v>
      </c>
      <c r="G430" s="74" t="s">
        <v>3409</v>
      </c>
      <c r="H430" s="74" t="s">
        <v>3288</v>
      </c>
    </row>
    <row r="431" spans="1:8" ht="12.75">
      <c r="A431" s="78">
        <v>2021</v>
      </c>
      <c r="B431" s="69">
        <v>80</v>
      </c>
      <c r="C431" s="87" t="s">
        <v>4027</v>
      </c>
      <c r="D431" s="80">
        <v>44313</v>
      </c>
      <c r="E431" s="72" t="s">
        <v>4034</v>
      </c>
      <c r="F431" s="74" t="s">
        <v>4035</v>
      </c>
      <c r="G431" s="74" t="s">
        <v>3409</v>
      </c>
      <c r="H431" s="74" t="s">
        <v>3288</v>
      </c>
    </row>
    <row r="432" spans="1:8" ht="12.75">
      <c r="A432" s="78">
        <v>2021</v>
      </c>
      <c r="B432" s="69">
        <v>80</v>
      </c>
      <c r="C432" s="87" t="s">
        <v>4027</v>
      </c>
      <c r="D432" s="80">
        <v>44313</v>
      </c>
      <c r="E432" s="72" t="s">
        <v>4036</v>
      </c>
      <c r="F432" s="74" t="s">
        <v>4037</v>
      </c>
      <c r="G432" s="74" t="s">
        <v>1319</v>
      </c>
      <c r="H432" s="74" t="s">
        <v>3288</v>
      </c>
    </row>
    <row r="433" spans="1:8" ht="12.75">
      <c r="A433" s="78">
        <v>2021</v>
      </c>
      <c r="B433" s="69">
        <v>80</v>
      </c>
      <c r="C433" s="87" t="s">
        <v>4027</v>
      </c>
      <c r="D433" s="80">
        <v>44313</v>
      </c>
      <c r="E433" s="72" t="s">
        <v>4038</v>
      </c>
      <c r="F433" s="74" t="s">
        <v>4039</v>
      </c>
      <c r="G433" s="74" t="s">
        <v>3439</v>
      </c>
      <c r="H433" s="74" t="s">
        <v>3288</v>
      </c>
    </row>
    <row r="434" spans="1:8" ht="12.75">
      <c r="A434" s="78">
        <v>2021</v>
      </c>
      <c r="B434" s="69">
        <v>80</v>
      </c>
      <c r="C434" s="87" t="s">
        <v>4027</v>
      </c>
      <c r="D434" s="80">
        <v>44313</v>
      </c>
      <c r="E434" s="72" t="s">
        <v>4040</v>
      </c>
      <c r="F434" s="74" t="s">
        <v>4039</v>
      </c>
      <c r="G434" s="74" t="s">
        <v>3439</v>
      </c>
      <c r="H434" s="74" t="s">
        <v>3288</v>
      </c>
    </row>
    <row r="435" spans="1:8" ht="12.75">
      <c r="A435" s="78">
        <v>2021</v>
      </c>
      <c r="B435" s="69">
        <v>80</v>
      </c>
      <c r="C435" s="87" t="s">
        <v>4027</v>
      </c>
      <c r="D435" s="80">
        <v>44313</v>
      </c>
      <c r="E435" s="72" t="s">
        <v>4041</v>
      </c>
      <c r="F435" s="74" t="s">
        <v>4042</v>
      </c>
      <c r="G435" s="74" t="s">
        <v>3409</v>
      </c>
      <c r="H435" s="74" t="s">
        <v>3288</v>
      </c>
    </row>
    <row r="436" spans="1:8" ht="12.75">
      <c r="A436" s="78">
        <v>2021</v>
      </c>
      <c r="B436" s="69">
        <v>80</v>
      </c>
      <c r="C436" s="87" t="s">
        <v>4027</v>
      </c>
      <c r="D436" s="80">
        <v>44313</v>
      </c>
      <c r="E436" s="72" t="s">
        <v>4043</v>
      </c>
      <c r="F436" s="74" t="s">
        <v>4044</v>
      </c>
      <c r="G436" s="74" t="s">
        <v>3409</v>
      </c>
      <c r="H436" s="74" t="s">
        <v>3288</v>
      </c>
    </row>
    <row r="437" spans="1:8" ht="12.75">
      <c r="A437" s="78">
        <v>2021</v>
      </c>
      <c r="B437" s="69">
        <v>80</v>
      </c>
      <c r="C437" s="87" t="s">
        <v>4027</v>
      </c>
      <c r="D437" s="80">
        <v>44313</v>
      </c>
      <c r="E437" s="72" t="s">
        <v>4045</v>
      </c>
      <c r="F437" s="74" t="s">
        <v>4044</v>
      </c>
      <c r="G437" s="74" t="s">
        <v>3409</v>
      </c>
      <c r="H437" s="74" t="s">
        <v>3288</v>
      </c>
    </row>
    <row r="438" spans="1:8" ht="12.75">
      <c r="A438" s="78">
        <v>2021</v>
      </c>
      <c r="B438" s="69">
        <v>80</v>
      </c>
      <c r="C438" s="87" t="s">
        <v>4027</v>
      </c>
      <c r="D438" s="80">
        <v>44313</v>
      </c>
      <c r="E438" s="72" t="s">
        <v>4046</v>
      </c>
      <c r="F438" s="74" t="s">
        <v>4047</v>
      </c>
      <c r="G438" s="74" t="s">
        <v>3409</v>
      </c>
      <c r="H438" s="74" t="s">
        <v>3288</v>
      </c>
    </row>
    <row r="439" spans="1:8" ht="12.75">
      <c r="A439" s="78">
        <v>2021</v>
      </c>
      <c r="B439" s="69">
        <v>80</v>
      </c>
      <c r="C439" s="87" t="s">
        <v>4027</v>
      </c>
      <c r="D439" s="80">
        <v>44313</v>
      </c>
      <c r="E439" s="72" t="s">
        <v>4048</v>
      </c>
      <c r="F439" s="74" t="s">
        <v>4049</v>
      </c>
      <c r="G439" s="74" t="s">
        <v>3409</v>
      </c>
      <c r="H439" s="74" t="s">
        <v>3288</v>
      </c>
    </row>
    <row r="440" spans="1:8" ht="12.75">
      <c r="A440" s="78">
        <v>2021</v>
      </c>
      <c r="B440" s="69">
        <v>80</v>
      </c>
      <c r="C440" s="87" t="s">
        <v>4027</v>
      </c>
      <c r="D440" s="80">
        <v>44313</v>
      </c>
      <c r="E440" s="72" t="s">
        <v>4050</v>
      </c>
      <c r="F440" s="74" t="s">
        <v>4051</v>
      </c>
      <c r="G440" s="74" t="s">
        <v>3409</v>
      </c>
      <c r="H440" s="74" t="s">
        <v>3288</v>
      </c>
    </row>
    <row r="441" spans="1:8" ht="12.75">
      <c r="A441" s="78">
        <v>2021</v>
      </c>
      <c r="B441" s="69">
        <v>80</v>
      </c>
      <c r="C441" s="87" t="s">
        <v>4027</v>
      </c>
      <c r="D441" s="80">
        <v>44313</v>
      </c>
      <c r="E441" s="72" t="s">
        <v>4052</v>
      </c>
      <c r="F441" s="74" t="s">
        <v>4051</v>
      </c>
      <c r="G441" s="74" t="s">
        <v>3409</v>
      </c>
      <c r="H441" s="74" t="s">
        <v>3288</v>
      </c>
    </row>
    <row r="442" spans="1:8" ht="12.75">
      <c r="A442" s="78">
        <v>2021</v>
      </c>
      <c r="B442" s="69">
        <v>80</v>
      </c>
      <c r="C442" s="87" t="s">
        <v>4027</v>
      </c>
      <c r="D442" s="80">
        <v>44313</v>
      </c>
      <c r="E442" s="72" t="s">
        <v>4053</v>
      </c>
      <c r="F442" s="74" t="s">
        <v>4054</v>
      </c>
      <c r="G442" s="74" t="s">
        <v>3409</v>
      </c>
      <c r="H442" s="74" t="s">
        <v>3288</v>
      </c>
    </row>
    <row r="443" spans="1:8" ht="12.75">
      <c r="A443" s="78">
        <v>2021</v>
      </c>
      <c r="B443" s="69">
        <v>80</v>
      </c>
      <c r="C443" s="87" t="s">
        <v>4027</v>
      </c>
      <c r="D443" s="80">
        <v>44313</v>
      </c>
      <c r="E443" s="72" t="s">
        <v>4055</v>
      </c>
      <c r="F443" s="74" t="s">
        <v>4054</v>
      </c>
      <c r="G443" s="74" t="s">
        <v>3409</v>
      </c>
      <c r="H443" s="74" t="s">
        <v>3288</v>
      </c>
    </row>
    <row r="444" spans="1:8" ht="12.75">
      <c r="A444" s="78">
        <v>2021</v>
      </c>
      <c r="B444" s="69">
        <v>80</v>
      </c>
      <c r="C444" s="87" t="s">
        <v>4027</v>
      </c>
      <c r="D444" s="80">
        <v>44313</v>
      </c>
      <c r="E444" s="72" t="s">
        <v>4056</v>
      </c>
      <c r="F444" s="74" t="s">
        <v>4057</v>
      </c>
      <c r="G444" s="74" t="s">
        <v>3439</v>
      </c>
      <c r="H444" s="74" t="s">
        <v>3288</v>
      </c>
    </row>
    <row r="445" spans="1:8" ht="12.75">
      <c r="A445" s="78">
        <v>2021</v>
      </c>
      <c r="B445" s="69">
        <v>80</v>
      </c>
      <c r="C445" s="87" t="s">
        <v>4027</v>
      </c>
      <c r="D445" s="80">
        <v>44313</v>
      </c>
      <c r="E445" s="72" t="s">
        <v>4058</v>
      </c>
      <c r="F445" s="74" t="s">
        <v>4057</v>
      </c>
      <c r="G445" s="74" t="s">
        <v>3439</v>
      </c>
      <c r="H445" s="74" t="s">
        <v>3288</v>
      </c>
    </row>
    <row r="446" spans="1:8" ht="12.75">
      <c r="A446" s="78">
        <v>2021</v>
      </c>
      <c r="B446" s="69">
        <v>80</v>
      </c>
      <c r="C446" s="87" t="s">
        <v>4027</v>
      </c>
      <c r="D446" s="80">
        <v>44313</v>
      </c>
      <c r="E446" s="72" t="s">
        <v>4059</v>
      </c>
      <c r="F446" s="74" t="s">
        <v>4060</v>
      </c>
      <c r="G446" s="74" t="s">
        <v>3409</v>
      </c>
      <c r="H446" s="74" t="s">
        <v>3288</v>
      </c>
    </row>
    <row r="447" spans="1:8" ht="12.75">
      <c r="A447" s="78">
        <v>2021</v>
      </c>
      <c r="B447" s="69">
        <v>80</v>
      </c>
      <c r="C447" s="87" t="s">
        <v>4027</v>
      </c>
      <c r="D447" s="80">
        <v>44313</v>
      </c>
      <c r="E447" s="72" t="s">
        <v>4061</v>
      </c>
      <c r="F447" s="74" t="s">
        <v>4062</v>
      </c>
      <c r="G447" s="74" t="s">
        <v>3439</v>
      </c>
      <c r="H447" s="74" t="s">
        <v>3288</v>
      </c>
    </row>
    <row r="448" spans="1:8" ht="12.75">
      <c r="A448" s="78">
        <v>2021</v>
      </c>
      <c r="B448" s="69">
        <v>80</v>
      </c>
      <c r="C448" s="87" t="s">
        <v>4027</v>
      </c>
      <c r="D448" s="80">
        <v>44313</v>
      </c>
      <c r="E448" s="72" t="s">
        <v>4063</v>
      </c>
      <c r="F448" s="74" t="s">
        <v>4064</v>
      </c>
      <c r="G448" s="74" t="s">
        <v>3439</v>
      </c>
      <c r="H448" s="74" t="s">
        <v>3288</v>
      </c>
    </row>
    <row r="449" spans="1:8" ht="12.75">
      <c r="A449" s="78">
        <v>2021</v>
      </c>
      <c r="B449" s="69">
        <v>82</v>
      </c>
      <c r="C449" s="87" t="s">
        <v>217</v>
      </c>
      <c r="D449" s="80">
        <v>44315</v>
      </c>
      <c r="E449" s="72" t="s">
        <v>3481</v>
      </c>
      <c r="F449" s="74" t="s">
        <v>3482</v>
      </c>
      <c r="G449" s="74" t="s">
        <v>3306</v>
      </c>
      <c r="H449" s="74" t="s">
        <v>3292</v>
      </c>
    </row>
    <row r="450" spans="1:8" ht="12.75">
      <c r="A450" s="78">
        <v>2021</v>
      </c>
      <c r="B450" s="69">
        <v>83</v>
      </c>
      <c r="C450" s="88" t="s">
        <v>43</v>
      </c>
      <c r="D450" s="80">
        <v>44315</v>
      </c>
      <c r="E450" s="72" t="s">
        <v>4065</v>
      </c>
      <c r="F450" s="74" t="s">
        <v>4066</v>
      </c>
      <c r="G450" s="74" t="s">
        <v>4067</v>
      </c>
      <c r="H450" s="74" t="s">
        <v>3292</v>
      </c>
    </row>
    <row r="451" spans="1:8" ht="12.75">
      <c r="A451" s="78">
        <v>2021</v>
      </c>
      <c r="B451" s="69">
        <v>84</v>
      </c>
      <c r="C451" s="88" t="s">
        <v>370</v>
      </c>
      <c r="D451" s="80">
        <v>44315</v>
      </c>
      <c r="E451" s="72" t="s">
        <v>3359</v>
      </c>
      <c r="F451" s="74" t="s">
        <v>4068</v>
      </c>
      <c r="G451" s="74" t="s">
        <v>1319</v>
      </c>
      <c r="H451" s="74" t="s">
        <v>3288</v>
      </c>
    </row>
    <row r="452" spans="1:8" ht="12.75">
      <c r="A452" s="78">
        <v>2021</v>
      </c>
      <c r="B452" s="69">
        <v>84</v>
      </c>
      <c r="C452" s="70" t="s">
        <v>370</v>
      </c>
      <c r="D452" s="80">
        <v>44315</v>
      </c>
      <c r="E452" s="72" t="s">
        <v>4069</v>
      </c>
      <c r="F452" s="74" t="s">
        <v>4070</v>
      </c>
      <c r="G452" s="74" t="s">
        <v>1319</v>
      </c>
      <c r="H452" s="74" t="s">
        <v>3288</v>
      </c>
    </row>
    <row r="453" spans="1:8" ht="12.75">
      <c r="A453" s="78">
        <v>2021</v>
      </c>
      <c r="B453" s="69">
        <v>84</v>
      </c>
      <c r="C453" s="70" t="s">
        <v>370</v>
      </c>
      <c r="D453" s="80">
        <v>44315</v>
      </c>
      <c r="E453" s="72" t="s">
        <v>3342</v>
      </c>
      <c r="F453" s="74" t="s">
        <v>4071</v>
      </c>
      <c r="G453" s="74" t="s">
        <v>3876</v>
      </c>
      <c r="H453" s="74" t="s">
        <v>3292</v>
      </c>
    </row>
    <row r="454" spans="1:8" ht="12.75">
      <c r="A454" s="78">
        <v>2021</v>
      </c>
      <c r="B454" s="69">
        <v>84</v>
      </c>
      <c r="C454" s="70" t="s">
        <v>370</v>
      </c>
      <c r="D454" s="80">
        <v>44315</v>
      </c>
      <c r="E454" s="72" t="s">
        <v>4072</v>
      </c>
      <c r="F454" s="74" t="s">
        <v>4073</v>
      </c>
      <c r="G454" s="74" t="s">
        <v>3439</v>
      </c>
      <c r="H454" s="74" t="s">
        <v>3288</v>
      </c>
    </row>
    <row r="455" spans="1:8" ht="12.75">
      <c r="A455" s="78">
        <v>2021</v>
      </c>
      <c r="B455" s="69">
        <v>84</v>
      </c>
      <c r="C455" s="70" t="s">
        <v>370</v>
      </c>
      <c r="D455" s="80">
        <v>44315</v>
      </c>
      <c r="E455" s="72" t="s">
        <v>4074</v>
      </c>
      <c r="F455" s="74" t="s">
        <v>4073</v>
      </c>
      <c r="G455" s="74" t="s">
        <v>3439</v>
      </c>
      <c r="H455" s="74" t="s">
        <v>3288</v>
      </c>
    </row>
    <row r="456" spans="1:8" ht="12.75">
      <c r="A456" s="78">
        <v>2021</v>
      </c>
      <c r="B456" s="69">
        <v>84</v>
      </c>
      <c r="C456" s="70" t="s">
        <v>370</v>
      </c>
      <c r="D456" s="80">
        <v>44315</v>
      </c>
      <c r="E456" s="72" t="s">
        <v>4075</v>
      </c>
      <c r="F456" s="74" t="s">
        <v>4076</v>
      </c>
      <c r="G456" s="74" t="s">
        <v>3439</v>
      </c>
      <c r="H456" s="74" t="s">
        <v>3288</v>
      </c>
    </row>
    <row r="457" spans="1:8" ht="12.75">
      <c r="A457" s="78">
        <v>2021</v>
      </c>
      <c r="B457" s="69">
        <v>84</v>
      </c>
      <c r="C457" s="70" t="s">
        <v>370</v>
      </c>
      <c r="D457" s="80">
        <v>44315</v>
      </c>
      <c r="E457" s="72" t="s">
        <v>4077</v>
      </c>
      <c r="F457" s="74" t="s">
        <v>4076</v>
      </c>
      <c r="G457" s="74" t="s">
        <v>3439</v>
      </c>
      <c r="H457" s="74" t="s">
        <v>3288</v>
      </c>
    </row>
    <row r="458" spans="1:8" ht="12.75">
      <c r="A458" s="78">
        <v>2021</v>
      </c>
      <c r="B458" s="69">
        <v>85</v>
      </c>
      <c r="C458" s="77" t="s">
        <v>1171</v>
      </c>
      <c r="D458" s="80">
        <v>44315</v>
      </c>
      <c r="E458" s="72" t="s">
        <v>4078</v>
      </c>
      <c r="F458" s="74" t="s">
        <v>4079</v>
      </c>
      <c r="G458" s="74" t="s">
        <v>1319</v>
      </c>
      <c r="H458" s="74" t="s">
        <v>3288</v>
      </c>
    </row>
    <row r="459" spans="1:8" ht="12.75">
      <c r="A459" s="78">
        <v>2021</v>
      </c>
      <c r="B459" s="69">
        <v>85</v>
      </c>
      <c r="C459" s="77" t="s">
        <v>1171</v>
      </c>
      <c r="D459" s="80">
        <v>44315</v>
      </c>
      <c r="E459" s="72" t="s">
        <v>4080</v>
      </c>
      <c r="F459" s="74" t="s">
        <v>4081</v>
      </c>
      <c r="G459" s="74" t="s">
        <v>1319</v>
      </c>
      <c r="H459" s="74" t="s">
        <v>3288</v>
      </c>
    </row>
    <row r="460" spans="1:8" ht="12.75">
      <c r="A460" s="78">
        <v>2021</v>
      </c>
      <c r="B460" s="69">
        <v>85</v>
      </c>
      <c r="C460" s="77" t="s">
        <v>1171</v>
      </c>
      <c r="D460" s="80">
        <v>44315</v>
      </c>
      <c r="E460" s="72" t="s">
        <v>4082</v>
      </c>
      <c r="F460" s="74" t="s">
        <v>4083</v>
      </c>
      <c r="G460" s="74" t="s">
        <v>3439</v>
      </c>
      <c r="H460" s="74" t="s">
        <v>3288</v>
      </c>
    </row>
    <row r="461" spans="1:8" ht="12.75">
      <c r="A461" s="78">
        <v>2021</v>
      </c>
      <c r="B461" s="69">
        <v>85</v>
      </c>
      <c r="C461" s="77" t="s">
        <v>1171</v>
      </c>
      <c r="D461" s="80">
        <v>44315</v>
      </c>
      <c r="E461" s="72" t="s">
        <v>4084</v>
      </c>
      <c r="F461" s="74" t="s">
        <v>4085</v>
      </c>
      <c r="G461" s="74" t="s">
        <v>3439</v>
      </c>
      <c r="H461" s="74" t="s">
        <v>3288</v>
      </c>
    </row>
    <row r="462" spans="1:8" ht="12.75">
      <c r="A462" s="78">
        <v>2021</v>
      </c>
      <c r="B462" s="69">
        <v>85</v>
      </c>
      <c r="C462" s="77" t="s">
        <v>1171</v>
      </c>
      <c r="D462" s="80">
        <v>44315</v>
      </c>
      <c r="E462" s="72" t="s">
        <v>4086</v>
      </c>
      <c r="F462" s="74" t="s">
        <v>4087</v>
      </c>
      <c r="G462" s="74" t="s">
        <v>3469</v>
      </c>
      <c r="H462" s="74" t="s">
        <v>3288</v>
      </c>
    </row>
    <row r="463" spans="1:8" ht="12.75">
      <c r="A463" s="78">
        <v>2021</v>
      </c>
      <c r="B463" s="69">
        <v>85</v>
      </c>
      <c r="C463" s="77" t="s">
        <v>1171</v>
      </c>
      <c r="D463" s="80">
        <v>44315</v>
      </c>
      <c r="E463" s="72" t="s">
        <v>4088</v>
      </c>
      <c r="F463" s="74" t="s">
        <v>4089</v>
      </c>
      <c r="G463" s="74" t="s">
        <v>3469</v>
      </c>
      <c r="H463" s="74" t="s">
        <v>3288</v>
      </c>
    </row>
    <row r="464" spans="1:8" ht="12.75">
      <c r="A464" s="78">
        <v>2021</v>
      </c>
      <c r="B464" s="69">
        <v>88</v>
      </c>
      <c r="C464" s="70" t="s">
        <v>21</v>
      </c>
      <c r="D464" s="80">
        <v>44320</v>
      </c>
      <c r="E464" s="72" t="s">
        <v>4090</v>
      </c>
      <c r="F464" s="74" t="s">
        <v>4091</v>
      </c>
      <c r="G464" s="74" t="s">
        <v>1319</v>
      </c>
      <c r="H464" s="74" t="s">
        <v>3288</v>
      </c>
    </row>
    <row r="465" spans="1:8" ht="12.75">
      <c r="A465" s="78">
        <v>2021</v>
      </c>
      <c r="B465" s="69">
        <v>90</v>
      </c>
      <c r="C465" s="77" t="s">
        <v>4092</v>
      </c>
      <c r="D465" s="80">
        <v>44322</v>
      </c>
      <c r="E465" s="72" t="s">
        <v>4093</v>
      </c>
      <c r="F465" s="74" t="s">
        <v>4094</v>
      </c>
      <c r="G465" s="74" t="s">
        <v>4095</v>
      </c>
      <c r="H465" s="74" t="s">
        <v>3292</v>
      </c>
    </row>
    <row r="466" spans="1:8" ht="12.75">
      <c r="A466" s="78">
        <v>2021</v>
      </c>
      <c r="B466" s="69">
        <v>92</v>
      </c>
      <c r="C466" s="70" t="s">
        <v>370</v>
      </c>
      <c r="D466" s="80">
        <v>44322</v>
      </c>
      <c r="E466" s="72" t="s">
        <v>3342</v>
      </c>
      <c r="F466" s="74" t="s">
        <v>4096</v>
      </c>
      <c r="G466" s="74" t="s">
        <v>3876</v>
      </c>
      <c r="H466" s="74" t="s">
        <v>3292</v>
      </c>
    </row>
    <row r="467" spans="1:8" ht="12.75">
      <c r="A467" s="78">
        <v>2021</v>
      </c>
      <c r="B467" s="69">
        <v>92</v>
      </c>
      <c r="C467" s="70" t="s">
        <v>370</v>
      </c>
      <c r="D467" s="80">
        <v>44322</v>
      </c>
      <c r="E467" s="72" t="s">
        <v>4097</v>
      </c>
      <c r="F467" s="74" t="s">
        <v>4098</v>
      </c>
      <c r="G467" s="74" t="s">
        <v>4099</v>
      </c>
      <c r="H467" s="74" t="s">
        <v>3288</v>
      </c>
    </row>
    <row r="468" spans="1:8" ht="12.75">
      <c r="A468" s="78">
        <v>2021</v>
      </c>
      <c r="B468" s="69">
        <v>92</v>
      </c>
      <c r="C468" s="88" t="s">
        <v>370</v>
      </c>
      <c r="D468" s="80">
        <v>44322</v>
      </c>
      <c r="E468" s="72" t="s">
        <v>4100</v>
      </c>
      <c r="F468" s="74" t="s">
        <v>4101</v>
      </c>
      <c r="G468" s="74" t="s">
        <v>4102</v>
      </c>
      <c r="H468" s="74" t="s">
        <v>3288</v>
      </c>
    </row>
    <row r="469" spans="1:8" ht="12.75">
      <c r="A469" s="78">
        <v>2021</v>
      </c>
      <c r="B469" s="69">
        <v>92</v>
      </c>
      <c r="C469" s="70" t="s">
        <v>370</v>
      </c>
      <c r="D469" s="80">
        <v>44322</v>
      </c>
      <c r="E469" s="72" t="s">
        <v>4103</v>
      </c>
      <c r="F469" s="74" t="s">
        <v>4104</v>
      </c>
      <c r="G469" s="74" t="s">
        <v>1319</v>
      </c>
      <c r="H469" s="74" t="s">
        <v>3288</v>
      </c>
    </row>
    <row r="470" spans="1:8" ht="12.75">
      <c r="A470" s="78">
        <v>2021</v>
      </c>
      <c r="B470" s="69">
        <v>92</v>
      </c>
      <c r="C470" s="70" t="s">
        <v>370</v>
      </c>
      <c r="D470" s="80">
        <v>44322</v>
      </c>
      <c r="E470" s="72" t="s">
        <v>4075</v>
      </c>
      <c r="F470" s="74" t="s">
        <v>4105</v>
      </c>
      <c r="G470" s="74" t="s">
        <v>3439</v>
      </c>
      <c r="H470" s="74" t="s">
        <v>3288</v>
      </c>
    </row>
    <row r="471" spans="1:8" ht="12.75">
      <c r="A471" s="78">
        <v>2021</v>
      </c>
      <c r="B471" s="69">
        <v>92</v>
      </c>
      <c r="C471" s="70" t="s">
        <v>370</v>
      </c>
      <c r="D471" s="80">
        <v>44322</v>
      </c>
      <c r="E471" s="72" t="s">
        <v>4077</v>
      </c>
      <c r="F471" s="74" t="s">
        <v>4106</v>
      </c>
      <c r="G471" s="74" t="s">
        <v>3469</v>
      </c>
      <c r="H471" s="74" t="s">
        <v>3288</v>
      </c>
    </row>
    <row r="472" spans="1:8" ht="12.75">
      <c r="A472" s="78">
        <v>2021</v>
      </c>
      <c r="B472" s="69">
        <v>92</v>
      </c>
      <c r="C472" s="70" t="s">
        <v>370</v>
      </c>
      <c r="D472" s="80">
        <v>44322</v>
      </c>
      <c r="E472" s="72" t="s">
        <v>4107</v>
      </c>
      <c r="F472" s="74" t="s">
        <v>4108</v>
      </c>
      <c r="G472" s="74" t="s">
        <v>3358</v>
      </c>
      <c r="H472" s="74" t="s">
        <v>3288</v>
      </c>
    </row>
    <row r="473" spans="1:8" ht="12.75">
      <c r="A473" s="78">
        <v>2021</v>
      </c>
      <c r="B473" s="69">
        <v>92</v>
      </c>
      <c r="C473" s="70" t="s">
        <v>370</v>
      </c>
      <c r="D473" s="80">
        <v>44322</v>
      </c>
      <c r="E473" s="72" t="s">
        <v>4109</v>
      </c>
      <c r="F473" s="74" t="s">
        <v>4110</v>
      </c>
      <c r="G473" s="74" t="s">
        <v>3439</v>
      </c>
      <c r="H473" s="74" t="s">
        <v>3288</v>
      </c>
    </row>
    <row r="474" spans="1:8" ht="12.75">
      <c r="A474" s="78">
        <v>2021</v>
      </c>
      <c r="B474" s="69">
        <v>93</v>
      </c>
      <c r="C474" s="70" t="s">
        <v>45</v>
      </c>
      <c r="D474" s="80">
        <v>44327</v>
      </c>
      <c r="E474" s="72" t="s">
        <v>3324</v>
      </c>
      <c r="F474" s="74" t="s">
        <v>3302</v>
      </c>
      <c r="G474" s="74" t="s">
        <v>3325</v>
      </c>
      <c r="H474" s="74" t="s">
        <v>3292</v>
      </c>
    </row>
    <row r="475" spans="1:8" ht="12.75">
      <c r="A475" s="78">
        <v>2021</v>
      </c>
      <c r="B475" s="69">
        <v>96</v>
      </c>
      <c r="C475" s="77" t="s">
        <v>1306</v>
      </c>
      <c r="D475" s="80">
        <v>44329</v>
      </c>
      <c r="E475" s="72" t="s">
        <v>4111</v>
      </c>
      <c r="F475" s="74" t="s">
        <v>4112</v>
      </c>
      <c r="G475" s="74" t="s">
        <v>1319</v>
      </c>
      <c r="H475" s="74" t="s">
        <v>3288</v>
      </c>
    </row>
    <row r="476" spans="1:8" ht="12.75">
      <c r="A476" s="78">
        <v>2021</v>
      </c>
      <c r="B476" s="69">
        <v>96</v>
      </c>
      <c r="C476" s="77" t="s">
        <v>1306</v>
      </c>
      <c r="D476" s="80">
        <v>44329</v>
      </c>
      <c r="E476" s="72" t="s">
        <v>4113</v>
      </c>
      <c r="F476" s="74" t="s">
        <v>4114</v>
      </c>
      <c r="G476" s="74" t="s">
        <v>1319</v>
      </c>
      <c r="H476" s="74" t="s">
        <v>3288</v>
      </c>
    </row>
    <row r="477" spans="1:8" ht="12.75">
      <c r="A477" s="78">
        <v>2021</v>
      </c>
      <c r="B477" s="69">
        <v>96</v>
      </c>
      <c r="C477" s="77" t="s">
        <v>1306</v>
      </c>
      <c r="D477" s="80">
        <v>44329</v>
      </c>
      <c r="E477" s="72" t="s">
        <v>4115</v>
      </c>
      <c r="F477" s="74" t="s">
        <v>4116</v>
      </c>
      <c r="G477" s="74" t="s">
        <v>1319</v>
      </c>
      <c r="H477" s="74" t="s">
        <v>3288</v>
      </c>
    </row>
    <row r="478" spans="1:8" ht="12.75">
      <c r="A478" s="78">
        <v>2021</v>
      </c>
      <c r="B478" s="69">
        <v>96</v>
      </c>
      <c r="C478" s="77" t="s">
        <v>1306</v>
      </c>
      <c r="D478" s="80">
        <v>44329</v>
      </c>
      <c r="E478" s="72" t="s">
        <v>4117</v>
      </c>
      <c r="F478" s="74" t="s">
        <v>4118</v>
      </c>
      <c r="G478" s="74" t="s">
        <v>1319</v>
      </c>
      <c r="H478" s="74" t="s">
        <v>3288</v>
      </c>
    </row>
    <row r="479" spans="1:8" ht="12.75">
      <c r="A479" s="78">
        <v>2021</v>
      </c>
      <c r="B479" s="69">
        <v>96</v>
      </c>
      <c r="C479" s="77" t="s">
        <v>1306</v>
      </c>
      <c r="D479" s="80">
        <v>44329</v>
      </c>
      <c r="E479" s="72" t="s">
        <v>4119</v>
      </c>
      <c r="F479" s="74" t="s">
        <v>4120</v>
      </c>
      <c r="G479" s="74" t="s">
        <v>1319</v>
      </c>
      <c r="H479" s="74" t="s">
        <v>3288</v>
      </c>
    </row>
    <row r="480" spans="1:8" ht="12.75">
      <c r="A480" s="78">
        <v>2021</v>
      </c>
      <c r="B480" s="69">
        <v>96</v>
      </c>
      <c r="C480" s="77" t="s">
        <v>1306</v>
      </c>
      <c r="D480" s="80">
        <v>44329</v>
      </c>
      <c r="E480" s="72" t="s">
        <v>4121</v>
      </c>
      <c r="F480" s="74" t="s">
        <v>4122</v>
      </c>
      <c r="G480" s="74" t="s">
        <v>1319</v>
      </c>
      <c r="H480" s="74" t="s">
        <v>3288</v>
      </c>
    </row>
    <row r="481" spans="1:8" ht="12.75">
      <c r="A481" s="78">
        <v>2021</v>
      </c>
      <c r="B481" s="69">
        <v>97</v>
      </c>
      <c r="C481" s="70" t="s">
        <v>73</v>
      </c>
      <c r="D481" s="80">
        <v>44329</v>
      </c>
      <c r="E481" s="72" t="s">
        <v>4123</v>
      </c>
      <c r="F481" s="74" t="s">
        <v>4124</v>
      </c>
      <c r="G481" s="74" t="s">
        <v>3439</v>
      </c>
      <c r="H481" s="74" t="s">
        <v>3288</v>
      </c>
    </row>
    <row r="482" spans="1:8" ht="12.75">
      <c r="A482" s="78">
        <v>2021</v>
      </c>
      <c r="B482" s="69">
        <v>102</v>
      </c>
      <c r="C482" s="70" t="s">
        <v>37</v>
      </c>
      <c r="D482" s="80">
        <v>44334</v>
      </c>
      <c r="E482" s="72" t="s">
        <v>3447</v>
      </c>
      <c r="F482" s="74" t="s">
        <v>4125</v>
      </c>
      <c r="G482" s="74" t="s">
        <v>3446</v>
      </c>
      <c r="H482" s="74" t="s">
        <v>3288</v>
      </c>
    </row>
    <row r="483" spans="1:8" ht="12.75">
      <c r="A483" s="78">
        <v>2021</v>
      </c>
      <c r="B483" s="69">
        <v>102</v>
      </c>
      <c r="C483" s="70" t="s">
        <v>37</v>
      </c>
      <c r="D483" s="80">
        <v>44334</v>
      </c>
      <c r="E483" s="72" t="s">
        <v>3444</v>
      </c>
      <c r="F483" s="74" t="s">
        <v>3445</v>
      </c>
      <c r="G483" s="74" t="s">
        <v>3446</v>
      </c>
      <c r="H483" s="74" t="s">
        <v>3288</v>
      </c>
    </row>
    <row r="484" spans="1:8" ht="12.75">
      <c r="A484" s="78">
        <v>2021</v>
      </c>
      <c r="B484" s="69">
        <v>102</v>
      </c>
      <c r="C484" s="70" t="s">
        <v>37</v>
      </c>
      <c r="D484" s="80">
        <v>44334</v>
      </c>
      <c r="E484" s="72" t="s">
        <v>4126</v>
      </c>
      <c r="F484" s="74" t="s">
        <v>4127</v>
      </c>
      <c r="G484" s="74" t="s">
        <v>3446</v>
      </c>
      <c r="H484" s="74" t="s">
        <v>3288</v>
      </c>
    </row>
    <row r="485" spans="1:8" ht="12.75">
      <c r="A485" s="78">
        <v>2021</v>
      </c>
      <c r="B485" s="69">
        <v>102</v>
      </c>
      <c r="C485" s="70" t="s">
        <v>37</v>
      </c>
      <c r="D485" s="80">
        <v>44334</v>
      </c>
      <c r="E485" s="72" t="s">
        <v>3840</v>
      </c>
      <c r="F485" s="74" t="s">
        <v>4128</v>
      </c>
      <c r="G485" s="74" t="s">
        <v>3446</v>
      </c>
      <c r="H485" s="74" t="s">
        <v>3288</v>
      </c>
    </row>
    <row r="486" spans="1:8" ht="12.75">
      <c r="A486" s="78">
        <v>2021</v>
      </c>
      <c r="B486" s="69">
        <v>102</v>
      </c>
      <c r="C486" s="70" t="s">
        <v>37</v>
      </c>
      <c r="D486" s="80">
        <v>44334</v>
      </c>
      <c r="E486" s="72" t="s">
        <v>3449</v>
      </c>
      <c r="F486" s="74" t="s">
        <v>4129</v>
      </c>
      <c r="G486" s="74" t="s">
        <v>3446</v>
      </c>
      <c r="H486" s="74" t="s">
        <v>3288</v>
      </c>
    </row>
    <row r="487" spans="1:8" ht="12.75">
      <c r="A487" s="78">
        <v>2021</v>
      </c>
      <c r="B487" s="69">
        <v>105</v>
      </c>
      <c r="C487" s="70" t="s">
        <v>471</v>
      </c>
      <c r="D487" s="80">
        <v>44336</v>
      </c>
      <c r="E487" s="72" t="s">
        <v>4130</v>
      </c>
      <c r="F487" s="74" t="s">
        <v>4131</v>
      </c>
      <c r="G487" s="74" t="s">
        <v>4132</v>
      </c>
      <c r="H487" s="74" t="s">
        <v>3292</v>
      </c>
    </row>
    <row r="488" spans="1:8" ht="12.75">
      <c r="A488" s="78">
        <v>2021</v>
      </c>
      <c r="B488" s="69">
        <v>106</v>
      </c>
      <c r="C488" s="77" t="s">
        <v>1039</v>
      </c>
      <c r="D488" s="80">
        <v>44336</v>
      </c>
      <c r="E488" s="72" t="s">
        <v>3940</v>
      </c>
      <c r="F488" s="74" t="s">
        <v>3941</v>
      </c>
      <c r="G488" s="74" t="s">
        <v>3432</v>
      </c>
      <c r="H488" s="74" t="s">
        <v>3292</v>
      </c>
    </row>
    <row r="489" spans="1:8" ht="12.75">
      <c r="A489" s="78">
        <v>2021</v>
      </c>
      <c r="B489" s="69">
        <v>109</v>
      </c>
      <c r="C489" s="70" t="s">
        <v>370</v>
      </c>
      <c r="D489" s="80">
        <v>44348</v>
      </c>
      <c r="E489" s="72" t="s">
        <v>4074</v>
      </c>
      <c r="F489" s="74" t="s">
        <v>4073</v>
      </c>
      <c r="G489" s="74" t="s">
        <v>3469</v>
      </c>
      <c r="H489" s="74" t="s">
        <v>3288</v>
      </c>
    </row>
    <row r="490" spans="1:8" ht="12.75">
      <c r="A490" s="78">
        <v>2021</v>
      </c>
      <c r="B490" s="69">
        <v>112</v>
      </c>
      <c r="C490" s="70" t="s">
        <v>67</v>
      </c>
      <c r="D490" s="80">
        <v>44350</v>
      </c>
      <c r="E490" s="72" t="s">
        <v>4133</v>
      </c>
      <c r="F490" s="74" t="s">
        <v>3318</v>
      </c>
      <c r="G490" s="74" t="s">
        <v>3291</v>
      </c>
      <c r="H490" s="74" t="s">
        <v>3292</v>
      </c>
    </row>
    <row r="491" spans="1:8" ht="12.75">
      <c r="A491" s="78">
        <v>2021</v>
      </c>
      <c r="B491" s="69">
        <v>113</v>
      </c>
      <c r="C491" s="77" t="s">
        <v>1367</v>
      </c>
      <c r="D491" s="80">
        <v>44355</v>
      </c>
      <c r="E491" s="72" t="s">
        <v>3289</v>
      </c>
      <c r="F491" s="74" t="s">
        <v>3290</v>
      </c>
      <c r="G491" s="74" t="s">
        <v>3291</v>
      </c>
      <c r="H491" s="74" t="s">
        <v>3292</v>
      </c>
    </row>
    <row r="492" spans="1:8" ht="12.75">
      <c r="A492" s="78">
        <v>2021</v>
      </c>
      <c r="B492" s="69">
        <v>114</v>
      </c>
      <c r="C492" s="70" t="s">
        <v>190</v>
      </c>
      <c r="D492" s="80">
        <v>44355</v>
      </c>
      <c r="E492" s="72" t="s">
        <v>4134</v>
      </c>
      <c r="F492" s="74" t="s">
        <v>4135</v>
      </c>
      <c r="G492" s="74" t="s">
        <v>3306</v>
      </c>
      <c r="H492" s="74" t="s">
        <v>3292</v>
      </c>
    </row>
    <row r="493" spans="1:8" ht="12.75">
      <c r="A493" s="78">
        <v>2021</v>
      </c>
      <c r="B493" s="69">
        <v>114</v>
      </c>
      <c r="C493" s="70" t="s">
        <v>190</v>
      </c>
      <c r="D493" s="80">
        <v>44355</v>
      </c>
      <c r="E493" s="72" t="s">
        <v>4136</v>
      </c>
      <c r="F493" s="74" t="s">
        <v>4137</v>
      </c>
      <c r="G493" s="74" t="s">
        <v>3306</v>
      </c>
      <c r="H493" s="74" t="s">
        <v>3292</v>
      </c>
    </row>
    <row r="494" spans="1:8" ht="12.75">
      <c r="A494" s="78">
        <v>2021</v>
      </c>
      <c r="B494" s="69">
        <v>114</v>
      </c>
      <c r="C494" s="70" t="s">
        <v>190</v>
      </c>
      <c r="D494" s="80">
        <v>44355</v>
      </c>
      <c r="E494" s="72" t="s">
        <v>3375</v>
      </c>
      <c r="F494" s="74" t="s">
        <v>3403</v>
      </c>
      <c r="G494" s="74" t="s">
        <v>3306</v>
      </c>
      <c r="H494" s="74" t="s">
        <v>3292</v>
      </c>
    </row>
    <row r="495" spans="1:8" ht="12.75">
      <c r="A495" s="78">
        <v>2021</v>
      </c>
      <c r="B495" s="69">
        <v>114</v>
      </c>
      <c r="C495" s="70" t="s">
        <v>190</v>
      </c>
      <c r="D495" s="80">
        <v>44355</v>
      </c>
      <c r="E495" s="72" t="s">
        <v>4138</v>
      </c>
      <c r="F495" s="74" t="s">
        <v>3688</v>
      </c>
      <c r="G495" s="74" t="s">
        <v>3306</v>
      </c>
      <c r="H495" s="74" t="s">
        <v>3292</v>
      </c>
    </row>
    <row r="496" spans="1:8" ht="12.75">
      <c r="A496" s="78">
        <v>2021</v>
      </c>
      <c r="B496" s="69">
        <v>115</v>
      </c>
      <c r="C496" s="77" t="s">
        <v>1383</v>
      </c>
      <c r="D496" s="80">
        <v>44355</v>
      </c>
      <c r="E496" s="72" t="s">
        <v>4139</v>
      </c>
      <c r="F496" s="74" t="s">
        <v>4140</v>
      </c>
      <c r="G496" s="74" t="s">
        <v>3446</v>
      </c>
      <c r="H496" s="74" t="s">
        <v>3288</v>
      </c>
    </row>
    <row r="497" spans="1:8" ht="12.75">
      <c r="A497" s="78">
        <v>2021</v>
      </c>
      <c r="B497" s="69">
        <v>116</v>
      </c>
      <c r="C497" s="77" t="s">
        <v>1039</v>
      </c>
      <c r="D497" s="80">
        <v>44355</v>
      </c>
      <c r="E497" s="72" t="s">
        <v>4141</v>
      </c>
      <c r="F497" s="74" t="s">
        <v>4142</v>
      </c>
      <c r="G497" s="74" t="s">
        <v>3311</v>
      </c>
      <c r="H497" s="74" t="s">
        <v>3292</v>
      </c>
    </row>
    <row r="498" spans="1:8" ht="12.75">
      <c r="A498" s="78">
        <v>2021</v>
      </c>
      <c r="B498" s="69">
        <v>118</v>
      </c>
      <c r="C498" s="70" t="s">
        <v>148</v>
      </c>
      <c r="D498" s="80">
        <v>44356</v>
      </c>
      <c r="E498" s="72" t="s">
        <v>4143</v>
      </c>
      <c r="F498" s="74" t="s">
        <v>4144</v>
      </c>
      <c r="G498" s="74" t="s">
        <v>3409</v>
      </c>
      <c r="H498" s="74" t="s">
        <v>3292</v>
      </c>
    </row>
    <row r="499" spans="1:8" ht="12.75">
      <c r="A499" s="78">
        <v>2021</v>
      </c>
      <c r="B499" s="69">
        <v>118</v>
      </c>
      <c r="C499" s="70" t="s">
        <v>148</v>
      </c>
      <c r="D499" s="80">
        <v>44356</v>
      </c>
      <c r="E499" s="72" t="s">
        <v>4145</v>
      </c>
      <c r="F499" s="74" t="s">
        <v>4146</v>
      </c>
      <c r="G499" s="74" t="s">
        <v>3409</v>
      </c>
      <c r="H499" s="74" t="s">
        <v>3292</v>
      </c>
    </row>
    <row r="500" spans="1:8" ht="12.75">
      <c r="A500" s="78">
        <v>2021</v>
      </c>
      <c r="B500" s="69">
        <v>118</v>
      </c>
      <c r="C500" s="70" t="s">
        <v>148</v>
      </c>
      <c r="D500" s="80">
        <v>44356</v>
      </c>
      <c r="E500" s="72" t="s">
        <v>4147</v>
      </c>
      <c r="F500" s="74" t="s">
        <v>4148</v>
      </c>
      <c r="G500" s="74" t="s">
        <v>3409</v>
      </c>
      <c r="H500" s="74" t="s">
        <v>3292</v>
      </c>
    </row>
    <row r="501" spans="1:8" ht="12.75">
      <c r="A501" s="78">
        <v>2021</v>
      </c>
      <c r="B501" s="69">
        <v>118</v>
      </c>
      <c r="C501" s="70" t="s">
        <v>148</v>
      </c>
      <c r="D501" s="80">
        <v>44356</v>
      </c>
      <c r="E501" s="72" t="s">
        <v>4149</v>
      </c>
      <c r="F501" s="74" t="s">
        <v>4150</v>
      </c>
      <c r="G501" s="74" t="s">
        <v>3409</v>
      </c>
      <c r="H501" s="74" t="s">
        <v>3292</v>
      </c>
    </row>
    <row r="502" spans="1:8" ht="12.75">
      <c r="A502" s="78">
        <v>2021</v>
      </c>
      <c r="B502" s="69">
        <v>118</v>
      </c>
      <c r="C502" s="70" t="s">
        <v>148</v>
      </c>
      <c r="D502" s="80">
        <v>44356</v>
      </c>
      <c r="E502" s="72" t="s">
        <v>3736</v>
      </c>
      <c r="F502" s="74" t="s">
        <v>3302</v>
      </c>
      <c r="G502" s="74" t="s">
        <v>3309</v>
      </c>
      <c r="H502" s="74" t="s">
        <v>3292</v>
      </c>
    </row>
    <row r="503" spans="1:8" ht="12.75">
      <c r="A503" s="78">
        <v>2021</v>
      </c>
      <c r="B503" s="69">
        <v>119</v>
      </c>
      <c r="C503" s="70" t="s">
        <v>39</v>
      </c>
      <c r="D503" s="80">
        <v>44357</v>
      </c>
      <c r="E503" s="72" t="s">
        <v>4151</v>
      </c>
      <c r="F503" s="74" t="s">
        <v>4152</v>
      </c>
      <c r="G503" s="74" t="s">
        <v>3291</v>
      </c>
      <c r="H503" s="74" t="s">
        <v>3292</v>
      </c>
    </row>
    <row r="504" spans="1:8" ht="12.75">
      <c r="A504" s="78">
        <v>2021</v>
      </c>
      <c r="B504" s="69">
        <v>119</v>
      </c>
      <c r="C504" s="70" t="s">
        <v>39</v>
      </c>
      <c r="D504" s="80">
        <v>44357</v>
      </c>
      <c r="E504" s="72" t="s">
        <v>4153</v>
      </c>
      <c r="F504" s="74" t="s">
        <v>4154</v>
      </c>
      <c r="G504" s="74" t="s">
        <v>3291</v>
      </c>
      <c r="H504" s="74" t="s">
        <v>3292</v>
      </c>
    </row>
    <row r="505" spans="1:8" ht="12.75">
      <c r="A505" s="78">
        <v>2021</v>
      </c>
      <c r="B505" s="69">
        <v>119</v>
      </c>
      <c r="C505" s="70" t="s">
        <v>39</v>
      </c>
      <c r="D505" s="80">
        <v>44357</v>
      </c>
      <c r="E505" s="72" t="s">
        <v>4155</v>
      </c>
      <c r="F505" s="74" t="s">
        <v>4156</v>
      </c>
      <c r="G505" s="74" t="s">
        <v>3291</v>
      </c>
      <c r="H505" s="74" t="s">
        <v>3292</v>
      </c>
    </row>
    <row r="506" spans="1:8" ht="12.75">
      <c r="A506" s="78">
        <v>2021</v>
      </c>
      <c r="B506" s="69">
        <v>120</v>
      </c>
      <c r="C506" s="77" t="s">
        <v>1391</v>
      </c>
      <c r="D506" s="80">
        <v>44357</v>
      </c>
      <c r="E506" s="72" t="s">
        <v>4157</v>
      </c>
      <c r="F506" s="74" t="s">
        <v>4158</v>
      </c>
      <c r="G506" s="74" t="s">
        <v>3439</v>
      </c>
      <c r="H506" s="74" t="s">
        <v>3288</v>
      </c>
    </row>
    <row r="507" spans="1:8" ht="12.75">
      <c r="A507" s="78">
        <v>2021</v>
      </c>
      <c r="B507" s="69">
        <v>120</v>
      </c>
      <c r="C507" s="77" t="s">
        <v>1391</v>
      </c>
      <c r="D507" s="80">
        <v>44357</v>
      </c>
      <c r="E507" s="72" t="s">
        <v>4159</v>
      </c>
      <c r="F507" s="74" t="s">
        <v>4160</v>
      </c>
      <c r="G507" s="74" t="s">
        <v>3439</v>
      </c>
      <c r="H507" s="74" t="s">
        <v>3288</v>
      </c>
    </row>
    <row r="508" spans="1:8" ht="12.75">
      <c r="A508" s="78">
        <v>2021</v>
      </c>
      <c r="B508" s="69">
        <v>120</v>
      </c>
      <c r="C508" s="77" t="s">
        <v>1391</v>
      </c>
      <c r="D508" s="80">
        <v>44357</v>
      </c>
      <c r="E508" s="72" t="s">
        <v>4161</v>
      </c>
      <c r="F508" s="74" t="s">
        <v>4162</v>
      </c>
      <c r="G508" s="74" t="s">
        <v>3439</v>
      </c>
      <c r="H508" s="74" t="s">
        <v>3288</v>
      </c>
    </row>
    <row r="509" spans="1:8" ht="12.75">
      <c r="A509" s="78">
        <v>2021</v>
      </c>
      <c r="B509" s="69">
        <v>120</v>
      </c>
      <c r="C509" s="77" t="s">
        <v>1391</v>
      </c>
      <c r="D509" s="80">
        <v>44357</v>
      </c>
      <c r="E509" s="72" t="s">
        <v>4163</v>
      </c>
      <c r="F509" s="74" t="s">
        <v>4164</v>
      </c>
      <c r="G509" s="74" t="s">
        <v>3439</v>
      </c>
      <c r="H509" s="74" t="s">
        <v>3288</v>
      </c>
    </row>
    <row r="510" spans="1:8" ht="12.75">
      <c r="A510" s="78">
        <v>2021</v>
      </c>
      <c r="B510" s="69">
        <v>120</v>
      </c>
      <c r="C510" s="77" t="s">
        <v>1391</v>
      </c>
      <c r="D510" s="80">
        <v>44357</v>
      </c>
      <c r="E510" s="72" t="s">
        <v>4165</v>
      </c>
      <c r="F510" s="74" t="s">
        <v>4166</v>
      </c>
      <c r="G510" s="74" t="s">
        <v>3439</v>
      </c>
      <c r="H510" s="74" t="s">
        <v>3288</v>
      </c>
    </row>
    <row r="511" spans="1:8" ht="12.75">
      <c r="A511" s="78">
        <v>2021</v>
      </c>
      <c r="B511" s="69">
        <v>120</v>
      </c>
      <c r="C511" s="77" t="s">
        <v>1391</v>
      </c>
      <c r="D511" s="80">
        <v>44357</v>
      </c>
      <c r="E511" s="72" t="s">
        <v>4167</v>
      </c>
      <c r="F511" s="74" t="s">
        <v>4168</v>
      </c>
      <c r="G511" s="74" t="s">
        <v>3439</v>
      </c>
      <c r="H511" s="74" t="s">
        <v>3288</v>
      </c>
    </row>
    <row r="512" spans="1:8" ht="12.75">
      <c r="A512" s="78">
        <v>2021</v>
      </c>
      <c r="B512" s="69">
        <v>120</v>
      </c>
      <c r="C512" s="77" t="s">
        <v>1391</v>
      </c>
      <c r="D512" s="80">
        <v>44357</v>
      </c>
      <c r="E512" s="72" t="s">
        <v>4169</v>
      </c>
      <c r="F512" s="74" t="s">
        <v>4170</v>
      </c>
      <c r="G512" s="74" t="s">
        <v>3439</v>
      </c>
      <c r="H512" s="74" t="s">
        <v>3288</v>
      </c>
    </row>
    <row r="513" spans="1:8" ht="12.75">
      <c r="A513" s="78">
        <v>2021</v>
      </c>
      <c r="B513" s="69">
        <v>120</v>
      </c>
      <c r="C513" s="77" t="s">
        <v>1391</v>
      </c>
      <c r="D513" s="80">
        <v>44357</v>
      </c>
      <c r="E513" s="72" t="s">
        <v>4171</v>
      </c>
      <c r="F513" s="74" t="s">
        <v>4172</v>
      </c>
      <c r="G513" s="74" t="s">
        <v>3439</v>
      </c>
      <c r="H513" s="74" t="s">
        <v>3288</v>
      </c>
    </row>
    <row r="514" spans="1:8" ht="12.75">
      <c r="A514" s="78">
        <v>2021</v>
      </c>
      <c r="B514" s="69">
        <v>122</v>
      </c>
      <c r="C514" s="70" t="s">
        <v>26</v>
      </c>
      <c r="D514" s="80">
        <v>44362</v>
      </c>
      <c r="E514" s="72" t="s">
        <v>4173</v>
      </c>
      <c r="F514" s="74" t="s">
        <v>4174</v>
      </c>
      <c r="G514" s="74" t="s">
        <v>3446</v>
      </c>
      <c r="H514" s="74" t="s">
        <v>3288</v>
      </c>
    </row>
    <row r="515" spans="1:8" ht="12.75">
      <c r="A515" s="78">
        <v>2021</v>
      </c>
      <c r="B515" s="69">
        <v>122</v>
      </c>
      <c r="C515" s="70" t="s">
        <v>26</v>
      </c>
      <c r="D515" s="80">
        <v>44362</v>
      </c>
      <c r="E515" s="72" t="s">
        <v>4175</v>
      </c>
      <c r="F515" s="74" t="s">
        <v>4176</v>
      </c>
      <c r="G515" s="74" t="s">
        <v>3446</v>
      </c>
      <c r="H515" s="74" t="s">
        <v>3288</v>
      </c>
    </row>
    <row r="516" spans="1:8" ht="12.75">
      <c r="A516" s="78">
        <v>2021</v>
      </c>
      <c r="B516" s="69">
        <v>126</v>
      </c>
      <c r="C516" s="70" t="s">
        <v>73</v>
      </c>
      <c r="D516" s="80">
        <v>44364</v>
      </c>
      <c r="E516" s="72" t="s">
        <v>3321</v>
      </c>
      <c r="F516" s="74" t="s">
        <v>3322</v>
      </c>
      <c r="G516" s="74" t="s">
        <v>3323</v>
      </c>
      <c r="H516" s="74" t="s">
        <v>3292</v>
      </c>
    </row>
    <row r="517" spans="1:8" ht="12.75">
      <c r="A517" s="78">
        <v>2021</v>
      </c>
      <c r="B517" s="69">
        <v>130</v>
      </c>
      <c r="C517" s="70" t="s">
        <v>21</v>
      </c>
      <c r="D517" s="80">
        <v>44369</v>
      </c>
      <c r="E517" s="72" t="s">
        <v>4177</v>
      </c>
      <c r="F517" s="74" t="s">
        <v>4178</v>
      </c>
      <c r="G517" s="74" t="s">
        <v>3439</v>
      </c>
      <c r="H517" s="74" t="s">
        <v>3288</v>
      </c>
    </row>
    <row r="518" spans="1:8" ht="12.75">
      <c r="A518" s="78">
        <v>2021</v>
      </c>
      <c r="B518" s="69">
        <v>131</v>
      </c>
      <c r="C518" s="70" t="s">
        <v>51</v>
      </c>
      <c r="D518" s="80">
        <v>44369</v>
      </c>
      <c r="E518" s="72" t="s">
        <v>3846</v>
      </c>
      <c r="F518" s="74" t="s">
        <v>3355</v>
      </c>
      <c r="G518" s="74" t="s">
        <v>3313</v>
      </c>
      <c r="H518" s="74" t="s">
        <v>3292</v>
      </c>
    </row>
    <row r="519" spans="1:8" ht="12.75">
      <c r="A519" s="78">
        <v>2021</v>
      </c>
      <c r="B519" s="69">
        <v>131</v>
      </c>
      <c r="C519" s="70" t="s">
        <v>51</v>
      </c>
      <c r="D519" s="80">
        <v>44369</v>
      </c>
      <c r="E519" s="72" t="s">
        <v>3842</v>
      </c>
      <c r="F519" s="74" t="s">
        <v>4179</v>
      </c>
      <c r="G519" s="74" t="s">
        <v>3313</v>
      </c>
      <c r="H519" s="74" t="s">
        <v>3292</v>
      </c>
    </row>
    <row r="520" spans="1:8" ht="12.75">
      <c r="A520" s="78">
        <v>2021</v>
      </c>
      <c r="B520" s="69">
        <v>131</v>
      </c>
      <c r="C520" s="70" t="s">
        <v>51</v>
      </c>
      <c r="D520" s="80">
        <v>44369</v>
      </c>
      <c r="E520" s="72" t="s">
        <v>4180</v>
      </c>
      <c r="F520" s="74" t="s">
        <v>4181</v>
      </c>
      <c r="G520" s="74" t="s">
        <v>3313</v>
      </c>
      <c r="H520" s="74" t="s">
        <v>3292</v>
      </c>
    </row>
    <row r="521" spans="1:8" ht="12.75">
      <c r="A521" s="78">
        <v>2021</v>
      </c>
      <c r="B521" s="69">
        <v>131</v>
      </c>
      <c r="C521" s="70" t="s">
        <v>51</v>
      </c>
      <c r="D521" s="80">
        <v>44369</v>
      </c>
      <c r="E521" s="72" t="s">
        <v>4182</v>
      </c>
      <c r="F521" s="74" t="s">
        <v>4183</v>
      </c>
      <c r="G521" s="74" t="s">
        <v>3313</v>
      </c>
      <c r="H521" s="74" t="s">
        <v>3292</v>
      </c>
    </row>
    <row r="522" spans="1:8" ht="12.75">
      <c r="A522" s="78">
        <v>2021</v>
      </c>
      <c r="B522" s="69">
        <v>132</v>
      </c>
      <c r="C522" s="70" t="s">
        <v>39</v>
      </c>
      <c r="D522" s="80">
        <v>44371</v>
      </c>
      <c r="E522" s="72" t="s">
        <v>4184</v>
      </c>
      <c r="F522" s="74" t="s">
        <v>4185</v>
      </c>
      <c r="G522" s="74" t="s">
        <v>4186</v>
      </c>
      <c r="H522" s="74" t="s">
        <v>3292</v>
      </c>
    </row>
    <row r="523" spans="1:8" ht="12.75">
      <c r="A523" s="78">
        <v>2021</v>
      </c>
      <c r="B523" s="69">
        <v>133</v>
      </c>
      <c r="C523" s="70" t="s">
        <v>49</v>
      </c>
      <c r="D523" s="80">
        <v>44371</v>
      </c>
      <c r="E523" s="72" t="s">
        <v>4187</v>
      </c>
      <c r="F523" s="74" t="s">
        <v>4188</v>
      </c>
      <c r="G523" s="74" t="s">
        <v>3439</v>
      </c>
      <c r="H523" s="74" t="s">
        <v>3288</v>
      </c>
    </row>
    <row r="524" spans="1:8" ht="12.75">
      <c r="A524" s="78">
        <v>2021</v>
      </c>
      <c r="B524" s="69">
        <v>133</v>
      </c>
      <c r="C524" s="70" t="s">
        <v>49</v>
      </c>
      <c r="D524" s="80">
        <v>44371</v>
      </c>
      <c r="E524" s="72" t="s">
        <v>4189</v>
      </c>
      <c r="F524" s="74" t="s">
        <v>4188</v>
      </c>
      <c r="G524" s="74" t="s">
        <v>3439</v>
      </c>
      <c r="H524" s="74" t="s">
        <v>3288</v>
      </c>
    </row>
    <row r="525" spans="1:8" ht="12.75">
      <c r="A525" s="78">
        <v>2021</v>
      </c>
      <c r="B525" s="69">
        <v>133</v>
      </c>
      <c r="C525" s="70" t="s">
        <v>49</v>
      </c>
      <c r="D525" s="80">
        <v>44371</v>
      </c>
      <c r="E525" s="72" t="s">
        <v>4190</v>
      </c>
      <c r="F525" s="74" t="s">
        <v>4188</v>
      </c>
      <c r="G525" s="74" t="s">
        <v>3439</v>
      </c>
      <c r="H525" s="74" t="s">
        <v>3288</v>
      </c>
    </row>
    <row r="526" spans="1:8" ht="12.75">
      <c r="A526" s="78">
        <v>2021</v>
      </c>
      <c r="B526" s="69">
        <v>133</v>
      </c>
      <c r="C526" s="70" t="s">
        <v>49</v>
      </c>
      <c r="D526" s="80">
        <v>44371</v>
      </c>
      <c r="E526" s="72" t="s">
        <v>4191</v>
      </c>
      <c r="F526" s="74" t="s">
        <v>4188</v>
      </c>
      <c r="G526" s="74" t="s">
        <v>3439</v>
      </c>
      <c r="H526" s="74" t="s">
        <v>3288</v>
      </c>
    </row>
    <row r="527" spans="1:8" ht="12.75">
      <c r="A527" s="78">
        <v>2021</v>
      </c>
      <c r="B527" s="69">
        <v>138</v>
      </c>
      <c r="C527" s="70" t="s">
        <v>67</v>
      </c>
      <c r="D527" s="80">
        <v>44378</v>
      </c>
      <c r="E527" s="72" t="s">
        <v>4133</v>
      </c>
      <c r="F527" s="74" t="s">
        <v>3318</v>
      </c>
      <c r="G527" s="74" t="s">
        <v>3291</v>
      </c>
      <c r="H527" s="74" t="s">
        <v>3292</v>
      </c>
    </row>
    <row r="528" spans="1:8" ht="12.75">
      <c r="A528" s="78">
        <v>2021</v>
      </c>
      <c r="B528" s="69">
        <v>141</v>
      </c>
      <c r="C528" s="70" t="s">
        <v>43</v>
      </c>
      <c r="D528" s="80">
        <v>44378</v>
      </c>
      <c r="E528" s="72" t="s">
        <v>4192</v>
      </c>
      <c r="F528" s="74" t="s">
        <v>4193</v>
      </c>
      <c r="G528" s="74" t="s">
        <v>4194</v>
      </c>
      <c r="H528" s="74" t="s">
        <v>3393</v>
      </c>
    </row>
    <row r="529" spans="1:8" ht="12.75">
      <c r="A529" s="78">
        <v>2021</v>
      </c>
      <c r="B529" s="69">
        <v>142</v>
      </c>
      <c r="C529" s="70" t="s">
        <v>41</v>
      </c>
      <c r="D529" s="80">
        <v>44378</v>
      </c>
      <c r="E529" s="72" t="s">
        <v>4195</v>
      </c>
      <c r="F529" s="74" t="s">
        <v>4196</v>
      </c>
      <c r="G529" s="74" t="s">
        <v>3303</v>
      </c>
      <c r="H529" s="74" t="s">
        <v>3292</v>
      </c>
    </row>
    <row r="530" spans="1:8" ht="12.75">
      <c r="A530" s="78">
        <v>2021</v>
      </c>
      <c r="B530" s="69">
        <v>147</v>
      </c>
      <c r="C530" s="70" t="s">
        <v>49</v>
      </c>
      <c r="D530" s="80">
        <v>44406</v>
      </c>
      <c r="E530" s="72" t="s">
        <v>4197</v>
      </c>
      <c r="F530" s="74" t="s">
        <v>4198</v>
      </c>
      <c r="G530" s="74" t="s">
        <v>3439</v>
      </c>
      <c r="H530" s="74" t="s">
        <v>3288</v>
      </c>
    </row>
    <row r="531" spans="1:8" ht="12.75">
      <c r="A531" s="78">
        <v>2021</v>
      </c>
      <c r="B531" s="69">
        <v>150</v>
      </c>
      <c r="C531" s="70" t="s">
        <v>67</v>
      </c>
      <c r="D531" s="80">
        <v>44411</v>
      </c>
      <c r="E531" s="72" t="s">
        <v>3658</v>
      </c>
      <c r="F531" s="74" t="s">
        <v>4199</v>
      </c>
      <c r="G531" s="74" t="s">
        <v>3710</v>
      </c>
      <c r="H531" s="74" t="s">
        <v>3288</v>
      </c>
    </row>
    <row r="532" spans="1:8" ht="12.75">
      <c r="A532" s="78">
        <v>2021</v>
      </c>
      <c r="B532" s="69">
        <v>150</v>
      </c>
      <c r="C532" s="70" t="s">
        <v>67</v>
      </c>
      <c r="D532" s="80">
        <v>44411</v>
      </c>
      <c r="E532" s="72" t="s">
        <v>4200</v>
      </c>
      <c r="F532" s="74" t="s">
        <v>4201</v>
      </c>
      <c r="G532" s="74" t="s">
        <v>3710</v>
      </c>
      <c r="H532" s="74" t="s">
        <v>3288</v>
      </c>
    </row>
    <row r="533" spans="1:8" ht="12.75">
      <c r="A533" s="78">
        <v>2021</v>
      </c>
      <c r="B533" s="69">
        <v>150</v>
      </c>
      <c r="C533" s="70" t="s">
        <v>67</v>
      </c>
      <c r="D533" s="80">
        <v>44411</v>
      </c>
      <c r="E533" s="72" t="s">
        <v>4202</v>
      </c>
      <c r="F533" s="74" t="s">
        <v>4203</v>
      </c>
      <c r="G533" s="74" t="s">
        <v>3710</v>
      </c>
      <c r="H533" s="74" t="s">
        <v>3288</v>
      </c>
    </row>
    <row r="534" spans="1:8" ht="12.75">
      <c r="A534" s="78">
        <v>2021</v>
      </c>
      <c r="B534" s="69">
        <v>150</v>
      </c>
      <c r="C534" s="70" t="s">
        <v>67</v>
      </c>
      <c r="D534" s="80">
        <v>44411</v>
      </c>
      <c r="E534" s="72" t="s">
        <v>4204</v>
      </c>
      <c r="F534" s="74" t="s">
        <v>4205</v>
      </c>
      <c r="G534" s="74" t="s">
        <v>3710</v>
      </c>
      <c r="H534" s="74" t="s">
        <v>3288</v>
      </c>
    </row>
    <row r="535" spans="1:8" ht="12.75">
      <c r="A535" s="78">
        <v>2021</v>
      </c>
      <c r="B535" s="69">
        <v>152</v>
      </c>
      <c r="C535" s="70" t="s">
        <v>41</v>
      </c>
      <c r="D535" s="80">
        <v>44413</v>
      </c>
      <c r="E535" s="72" t="s">
        <v>4206</v>
      </c>
      <c r="F535" s="74" t="s">
        <v>4207</v>
      </c>
      <c r="G535" s="74" t="s">
        <v>3439</v>
      </c>
      <c r="H535" s="74" t="s">
        <v>3288</v>
      </c>
    </row>
    <row r="536" spans="1:8" ht="12.75">
      <c r="A536" s="78">
        <v>2021</v>
      </c>
      <c r="B536" s="69">
        <v>152</v>
      </c>
      <c r="C536" s="70" t="s">
        <v>41</v>
      </c>
      <c r="D536" s="80">
        <v>44413</v>
      </c>
      <c r="E536" s="72" t="s">
        <v>4208</v>
      </c>
      <c r="F536" s="74" t="s">
        <v>4209</v>
      </c>
      <c r="G536" s="74" t="s">
        <v>3439</v>
      </c>
      <c r="H536" s="74" t="s">
        <v>3288</v>
      </c>
    </row>
    <row r="537" spans="1:8" ht="12.75">
      <c r="A537" s="78">
        <v>2021</v>
      </c>
      <c r="B537" s="69">
        <v>152</v>
      </c>
      <c r="C537" s="70" t="s">
        <v>41</v>
      </c>
      <c r="D537" s="80">
        <v>44413</v>
      </c>
      <c r="E537" s="72" t="s">
        <v>4210</v>
      </c>
      <c r="F537" s="74" t="s">
        <v>4211</v>
      </c>
      <c r="G537" s="74" t="s">
        <v>3439</v>
      </c>
      <c r="H537" s="74" t="s">
        <v>3288</v>
      </c>
    </row>
    <row r="538" spans="1:8" ht="12.75">
      <c r="A538" s="78">
        <v>2021</v>
      </c>
      <c r="B538" s="69">
        <v>152</v>
      </c>
      <c r="C538" s="70" t="s">
        <v>41</v>
      </c>
      <c r="D538" s="80">
        <v>44413</v>
      </c>
      <c r="E538" s="72" t="s">
        <v>4212</v>
      </c>
      <c r="F538" s="74" t="s">
        <v>4211</v>
      </c>
      <c r="G538" s="74" t="s">
        <v>3439</v>
      </c>
      <c r="H538" s="74" t="s">
        <v>3288</v>
      </c>
    </row>
    <row r="539" spans="1:8" ht="12.75">
      <c r="A539" s="78">
        <v>2021</v>
      </c>
      <c r="B539" s="69">
        <v>153</v>
      </c>
      <c r="C539" s="70" t="s">
        <v>39</v>
      </c>
      <c r="D539" s="80">
        <v>44413</v>
      </c>
      <c r="E539" s="72" t="s">
        <v>3954</v>
      </c>
      <c r="F539" s="74" t="s">
        <v>4213</v>
      </c>
      <c r="G539" s="74" t="s">
        <v>3291</v>
      </c>
      <c r="H539" s="74" t="s">
        <v>3292</v>
      </c>
    </row>
    <row r="540" spans="1:8" ht="12.75">
      <c r="A540" s="78">
        <v>2021</v>
      </c>
      <c r="B540" s="69">
        <v>154</v>
      </c>
      <c r="C540" s="70" t="s">
        <v>28</v>
      </c>
      <c r="D540" s="80">
        <v>44418</v>
      </c>
      <c r="E540" s="72" t="s">
        <v>3976</v>
      </c>
      <c r="F540" s="74" t="s">
        <v>4214</v>
      </c>
      <c r="G540" s="74" t="s">
        <v>3328</v>
      </c>
      <c r="H540" s="74" t="s">
        <v>3292</v>
      </c>
    </row>
    <row r="541" spans="1:8" ht="12.75">
      <c r="A541" s="78">
        <v>2021</v>
      </c>
      <c r="B541" s="69">
        <v>157</v>
      </c>
      <c r="C541" s="70" t="s">
        <v>370</v>
      </c>
      <c r="D541" s="80">
        <v>44420</v>
      </c>
      <c r="E541" s="72" t="s">
        <v>3397</v>
      </c>
      <c r="F541" s="74" t="s">
        <v>4215</v>
      </c>
      <c r="G541" s="74" t="s">
        <v>3328</v>
      </c>
      <c r="H541" s="74" t="s">
        <v>3292</v>
      </c>
    </row>
    <row r="542" spans="1:8" ht="12.75">
      <c r="A542" s="78">
        <v>2021</v>
      </c>
      <c r="B542" s="69">
        <v>158</v>
      </c>
      <c r="C542" s="70" t="s">
        <v>43</v>
      </c>
      <c r="D542" s="80">
        <v>44420</v>
      </c>
      <c r="E542" s="72" t="s">
        <v>3590</v>
      </c>
      <c r="F542" s="74" t="s">
        <v>3565</v>
      </c>
      <c r="G542" s="74" t="s">
        <v>3591</v>
      </c>
      <c r="H542" s="74" t="s">
        <v>3567</v>
      </c>
    </row>
    <row r="543" spans="1:8" ht="12.75">
      <c r="A543" s="78">
        <v>2021</v>
      </c>
      <c r="B543" s="69">
        <v>158</v>
      </c>
      <c r="C543" s="70" t="s">
        <v>43</v>
      </c>
      <c r="D543" s="80">
        <v>44420</v>
      </c>
      <c r="E543" s="72" t="s">
        <v>4216</v>
      </c>
      <c r="F543" s="74" t="s">
        <v>3595</v>
      </c>
      <c r="G543" s="74" t="s">
        <v>4217</v>
      </c>
      <c r="H543" s="74" t="s">
        <v>3567</v>
      </c>
    </row>
    <row r="544" spans="1:8" ht="12.75">
      <c r="A544" s="78">
        <v>2021</v>
      </c>
      <c r="B544" s="69">
        <v>158</v>
      </c>
      <c r="C544" s="70" t="s">
        <v>43</v>
      </c>
      <c r="D544" s="80">
        <v>44420</v>
      </c>
      <c r="E544" s="72" t="s">
        <v>4218</v>
      </c>
      <c r="F544" s="74" t="s">
        <v>4219</v>
      </c>
      <c r="G544" s="74" t="s">
        <v>1319</v>
      </c>
      <c r="H544" s="74" t="s">
        <v>3288</v>
      </c>
    </row>
    <row r="545" spans="1:8" ht="12.75">
      <c r="A545" s="78">
        <v>2021</v>
      </c>
      <c r="B545" s="69">
        <v>158</v>
      </c>
      <c r="C545" s="70" t="s">
        <v>43</v>
      </c>
      <c r="D545" s="80">
        <v>44420</v>
      </c>
      <c r="E545" s="72" t="s">
        <v>4220</v>
      </c>
      <c r="F545" s="74" t="s">
        <v>4221</v>
      </c>
      <c r="G545" s="74" t="s">
        <v>1319</v>
      </c>
      <c r="H545" s="74" t="s">
        <v>3288</v>
      </c>
    </row>
    <row r="546" spans="1:8" ht="12.75">
      <c r="A546" s="78">
        <v>2021</v>
      </c>
      <c r="B546" s="69">
        <v>159</v>
      </c>
      <c r="C546" s="70" t="s">
        <v>190</v>
      </c>
      <c r="D546" s="80">
        <v>44420</v>
      </c>
      <c r="E546" s="72" t="s">
        <v>4222</v>
      </c>
      <c r="F546" s="74" t="s">
        <v>4223</v>
      </c>
      <c r="G546" s="74" t="s">
        <v>3353</v>
      </c>
      <c r="H546" s="74" t="s">
        <v>3393</v>
      </c>
    </row>
    <row r="547" spans="1:8" ht="12.75">
      <c r="A547" s="78">
        <v>2021</v>
      </c>
      <c r="B547" s="69">
        <v>160</v>
      </c>
      <c r="C547" s="70" t="s">
        <v>51</v>
      </c>
      <c r="D547" s="80">
        <v>44425</v>
      </c>
      <c r="E547" s="72" t="s">
        <v>4224</v>
      </c>
      <c r="F547" s="74" t="s">
        <v>4225</v>
      </c>
      <c r="G547" s="74" t="s">
        <v>3446</v>
      </c>
      <c r="H547" s="74" t="s">
        <v>3288</v>
      </c>
    </row>
    <row r="548" spans="1:8" ht="12.75">
      <c r="A548" s="78">
        <v>2021</v>
      </c>
      <c r="B548" s="69">
        <v>163</v>
      </c>
      <c r="C548" s="77" t="s">
        <v>1572</v>
      </c>
      <c r="D548" s="80">
        <v>44425</v>
      </c>
      <c r="E548" s="72" t="s">
        <v>4226</v>
      </c>
      <c r="F548" s="74" t="s">
        <v>4227</v>
      </c>
      <c r="G548" s="74" t="s">
        <v>3469</v>
      </c>
      <c r="H548" s="74" t="s">
        <v>3288</v>
      </c>
    </row>
    <row r="549" spans="1:8" ht="12.75">
      <c r="A549" s="78">
        <v>2021</v>
      </c>
      <c r="B549" s="69">
        <v>163</v>
      </c>
      <c r="C549" s="77" t="s">
        <v>1572</v>
      </c>
      <c r="D549" s="80">
        <v>44425</v>
      </c>
      <c r="E549" s="72" t="s">
        <v>4228</v>
      </c>
      <c r="F549" s="74" t="s">
        <v>4229</v>
      </c>
      <c r="G549" s="74" t="s">
        <v>3439</v>
      </c>
      <c r="H549" s="74" t="s">
        <v>3288</v>
      </c>
    </row>
    <row r="550" spans="1:8" ht="12.75">
      <c r="A550" s="78">
        <v>2021</v>
      </c>
      <c r="B550" s="69">
        <v>163</v>
      </c>
      <c r="C550" s="77" t="s">
        <v>1572</v>
      </c>
      <c r="D550" s="80">
        <v>44425</v>
      </c>
      <c r="E550" s="72" t="s">
        <v>4230</v>
      </c>
      <c r="F550" s="74" t="s">
        <v>4231</v>
      </c>
      <c r="G550" s="74" t="s">
        <v>3439</v>
      </c>
      <c r="H550" s="74" t="s">
        <v>3288</v>
      </c>
    </row>
    <row r="551" spans="1:8" ht="12.75">
      <c r="A551" s="78">
        <v>2021</v>
      </c>
      <c r="B551" s="69">
        <v>163</v>
      </c>
      <c r="C551" s="77" t="s">
        <v>1572</v>
      </c>
      <c r="D551" s="80">
        <v>44425</v>
      </c>
      <c r="E551" s="72" t="s">
        <v>4232</v>
      </c>
      <c r="F551" s="74" t="s">
        <v>4233</v>
      </c>
      <c r="G551" s="74" t="s">
        <v>3311</v>
      </c>
      <c r="H551" s="74" t="s">
        <v>3292</v>
      </c>
    </row>
    <row r="552" spans="1:8" ht="12.75">
      <c r="A552" s="78">
        <v>2021</v>
      </c>
      <c r="B552" s="69">
        <v>163</v>
      </c>
      <c r="C552" s="77" t="s">
        <v>1572</v>
      </c>
      <c r="D552" s="80">
        <v>44425</v>
      </c>
      <c r="E552" s="72" t="s">
        <v>4234</v>
      </c>
      <c r="F552" s="74" t="s">
        <v>4235</v>
      </c>
      <c r="G552" s="74" t="s">
        <v>3309</v>
      </c>
      <c r="H552" s="74" t="s">
        <v>3292</v>
      </c>
    </row>
    <row r="553" spans="1:8" ht="12.75">
      <c r="A553" s="78">
        <v>2021</v>
      </c>
      <c r="B553" s="69">
        <v>163</v>
      </c>
      <c r="C553" s="77" t="s">
        <v>1572</v>
      </c>
      <c r="D553" s="80">
        <v>44425</v>
      </c>
      <c r="E553" s="72" t="s">
        <v>4236</v>
      </c>
      <c r="F553" s="74" t="s">
        <v>4181</v>
      </c>
      <c r="G553" s="74" t="s">
        <v>3876</v>
      </c>
      <c r="H553" s="74" t="s">
        <v>3292</v>
      </c>
    </row>
    <row r="554" spans="1:8" ht="12.75">
      <c r="A554" s="78">
        <v>2021</v>
      </c>
      <c r="B554" s="69">
        <v>165</v>
      </c>
      <c r="C554" s="70" t="s">
        <v>471</v>
      </c>
      <c r="D554" s="80">
        <v>44427</v>
      </c>
      <c r="E554" s="72" t="s">
        <v>4237</v>
      </c>
      <c r="F554" s="74" t="s">
        <v>4238</v>
      </c>
      <c r="G554" s="74" t="s">
        <v>4239</v>
      </c>
      <c r="H554" s="74" t="s">
        <v>3393</v>
      </c>
    </row>
    <row r="555" spans="1:8" ht="12.75">
      <c r="A555" s="78">
        <v>2021</v>
      </c>
      <c r="B555" s="69">
        <v>168</v>
      </c>
      <c r="C555" s="70" t="s">
        <v>190</v>
      </c>
      <c r="D555" s="80">
        <v>44432</v>
      </c>
      <c r="E555" s="72" t="s">
        <v>3557</v>
      </c>
      <c r="F555" s="74" t="s">
        <v>4240</v>
      </c>
      <c r="G555" s="74" t="s">
        <v>3469</v>
      </c>
      <c r="H555" s="74" t="s">
        <v>3288</v>
      </c>
    </row>
    <row r="556" spans="1:8" ht="12.75">
      <c r="A556" s="78">
        <v>2021</v>
      </c>
      <c r="B556" s="69">
        <v>168</v>
      </c>
      <c r="C556" s="70" t="s">
        <v>190</v>
      </c>
      <c r="D556" s="80">
        <v>44432</v>
      </c>
      <c r="E556" s="72" t="s">
        <v>4241</v>
      </c>
      <c r="F556" s="74" t="s">
        <v>4240</v>
      </c>
      <c r="G556" s="74" t="s">
        <v>3469</v>
      </c>
      <c r="H556" s="74" t="s">
        <v>3288</v>
      </c>
    </row>
    <row r="557" spans="1:8" ht="12.75">
      <c r="A557" s="78">
        <v>2021</v>
      </c>
      <c r="B557" s="69">
        <v>168</v>
      </c>
      <c r="C557" s="70" t="s">
        <v>190</v>
      </c>
      <c r="D557" s="80">
        <v>44432</v>
      </c>
      <c r="E557" s="72" t="s">
        <v>3562</v>
      </c>
      <c r="F557" s="74" t="s">
        <v>3563</v>
      </c>
      <c r="G557" s="74" t="s">
        <v>3439</v>
      </c>
      <c r="H557" s="74" t="s">
        <v>3288</v>
      </c>
    </row>
    <row r="558" spans="1:8" ht="12.75">
      <c r="A558" s="78">
        <v>2021</v>
      </c>
      <c r="B558" s="69">
        <v>168</v>
      </c>
      <c r="C558" s="70" t="s">
        <v>190</v>
      </c>
      <c r="D558" s="80">
        <v>44432</v>
      </c>
      <c r="E558" s="72" t="s">
        <v>4242</v>
      </c>
      <c r="F558" s="74" t="s">
        <v>4243</v>
      </c>
      <c r="G558" s="74" t="s">
        <v>3469</v>
      </c>
      <c r="H558" s="74" t="s">
        <v>3288</v>
      </c>
    </row>
    <row r="559" spans="1:8" ht="12.75">
      <c r="A559" s="78">
        <v>2021</v>
      </c>
      <c r="B559" s="69">
        <v>168</v>
      </c>
      <c r="C559" s="70" t="s">
        <v>190</v>
      </c>
      <c r="D559" s="80">
        <v>44432</v>
      </c>
      <c r="E559" s="72" t="s">
        <v>4244</v>
      </c>
      <c r="F559" s="74" t="s">
        <v>4245</v>
      </c>
      <c r="G559" s="74" t="s">
        <v>3469</v>
      </c>
      <c r="H559" s="74" t="s">
        <v>3288</v>
      </c>
    </row>
    <row r="560" spans="1:8" ht="12.75">
      <c r="A560" s="78">
        <v>2021</v>
      </c>
      <c r="B560" s="69">
        <v>168</v>
      </c>
      <c r="C560" s="70" t="s">
        <v>190</v>
      </c>
      <c r="D560" s="80">
        <v>44432</v>
      </c>
      <c r="E560" s="72" t="s">
        <v>4246</v>
      </c>
      <c r="F560" s="74" t="s">
        <v>4247</v>
      </c>
      <c r="G560" s="74" t="s">
        <v>3469</v>
      </c>
      <c r="H560" s="74" t="s">
        <v>3288</v>
      </c>
    </row>
    <row r="561" spans="1:8" ht="12.75">
      <c r="A561" s="78">
        <v>2021</v>
      </c>
      <c r="B561" s="69">
        <v>168</v>
      </c>
      <c r="C561" s="70" t="s">
        <v>190</v>
      </c>
      <c r="D561" s="80">
        <v>44432</v>
      </c>
      <c r="E561" s="72" t="s">
        <v>3555</v>
      </c>
      <c r="F561" s="74" t="s">
        <v>4248</v>
      </c>
      <c r="G561" s="74" t="s">
        <v>3469</v>
      </c>
      <c r="H561" s="74" t="s">
        <v>3288</v>
      </c>
    </row>
    <row r="562" spans="1:8" ht="12.75">
      <c r="A562" s="78">
        <v>2021</v>
      </c>
      <c r="B562" s="69">
        <v>170</v>
      </c>
      <c r="C562" s="70" t="s">
        <v>51</v>
      </c>
      <c r="D562" s="80">
        <v>44434</v>
      </c>
      <c r="E562" s="72" t="s">
        <v>4249</v>
      </c>
      <c r="F562" s="74" t="s">
        <v>4250</v>
      </c>
      <c r="G562" s="74" t="s">
        <v>3439</v>
      </c>
      <c r="H562" s="74" t="s">
        <v>3288</v>
      </c>
    </row>
    <row r="563" spans="1:8" ht="12.75">
      <c r="A563" s="78">
        <v>2021</v>
      </c>
      <c r="B563" s="69">
        <v>170</v>
      </c>
      <c r="C563" s="70" t="s">
        <v>51</v>
      </c>
      <c r="D563" s="80">
        <v>44434</v>
      </c>
      <c r="E563" s="72" t="s">
        <v>4251</v>
      </c>
      <c r="F563" s="74" t="s">
        <v>4252</v>
      </c>
      <c r="G563" s="74" t="s">
        <v>3439</v>
      </c>
      <c r="H563" s="74" t="s">
        <v>3288</v>
      </c>
    </row>
    <row r="564" spans="1:8" ht="12.75">
      <c r="A564" s="78">
        <v>2021</v>
      </c>
      <c r="B564" s="69">
        <v>170</v>
      </c>
      <c r="C564" s="70" t="s">
        <v>51</v>
      </c>
      <c r="D564" s="80">
        <v>44434</v>
      </c>
      <c r="E564" s="72" t="s">
        <v>4253</v>
      </c>
      <c r="F564" s="74" t="s">
        <v>4254</v>
      </c>
      <c r="G564" s="74" t="s">
        <v>1319</v>
      </c>
      <c r="H564" s="74" t="s">
        <v>3288</v>
      </c>
    </row>
    <row r="565" spans="1:8" ht="12.75">
      <c r="A565" s="78">
        <v>2021</v>
      </c>
      <c r="B565" s="69">
        <v>170</v>
      </c>
      <c r="C565" s="70" t="s">
        <v>51</v>
      </c>
      <c r="D565" s="80">
        <v>44434</v>
      </c>
      <c r="E565" s="72" t="s">
        <v>4255</v>
      </c>
      <c r="F565" s="74" t="s">
        <v>4256</v>
      </c>
      <c r="G565" s="74" t="s">
        <v>1319</v>
      </c>
      <c r="H565" s="74" t="s">
        <v>3288</v>
      </c>
    </row>
    <row r="566" spans="1:8" ht="12.75">
      <c r="A566" s="78">
        <v>2021</v>
      </c>
      <c r="B566" s="69">
        <v>172</v>
      </c>
      <c r="C566" s="77" t="s">
        <v>1591</v>
      </c>
      <c r="D566" s="80">
        <v>44439</v>
      </c>
      <c r="E566" s="72" t="s">
        <v>4257</v>
      </c>
      <c r="F566" s="74" t="s">
        <v>4258</v>
      </c>
      <c r="G566" s="74" t="s">
        <v>3710</v>
      </c>
      <c r="H566" s="74" t="s">
        <v>3288</v>
      </c>
    </row>
    <row r="567" spans="1:8" ht="12.75">
      <c r="A567" s="78">
        <v>2021</v>
      </c>
      <c r="B567" s="69">
        <v>172</v>
      </c>
      <c r="C567" s="77" t="s">
        <v>1591</v>
      </c>
      <c r="D567" s="80">
        <v>44439</v>
      </c>
      <c r="E567" s="72" t="s">
        <v>4259</v>
      </c>
      <c r="F567" s="74" t="s">
        <v>4260</v>
      </c>
      <c r="G567" s="74" t="s">
        <v>3469</v>
      </c>
      <c r="H567" s="74" t="s">
        <v>3288</v>
      </c>
    </row>
    <row r="568" spans="1:8" ht="12.75">
      <c r="A568" s="78">
        <v>2021</v>
      </c>
      <c r="B568" s="69">
        <v>175</v>
      </c>
      <c r="C568" s="70" t="s">
        <v>43</v>
      </c>
      <c r="D568" s="80">
        <v>44441</v>
      </c>
      <c r="E568" s="72" t="s">
        <v>4261</v>
      </c>
      <c r="F568" s="74" t="s">
        <v>3565</v>
      </c>
      <c r="G568" s="74" t="s">
        <v>4262</v>
      </c>
      <c r="H568" s="74" t="s">
        <v>3567</v>
      </c>
    </row>
    <row r="569" spans="1:8" ht="12.75">
      <c r="A569" s="78">
        <v>2021</v>
      </c>
      <c r="B569" s="69">
        <v>175</v>
      </c>
      <c r="C569" s="70" t="s">
        <v>43</v>
      </c>
      <c r="D569" s="80">
        <v>44441</v>
      </c>
      <c r="E569" s="72" t="s">
        <v>4263</v>
      </c>
      <c r="F569" s="74" t="s">
        <v>4264</v>
      </c>
      <c r="G569" s="74" t="s">
        <v>3710</v>
      </c>
      <c r="H569" s="74" t="s">
        <v>3288</v>
      </c>
    </row>
    <row r="570" spans="1:8" ht="12.75">
      <c r="A570" s="78">
        <v>2021</v>
      </c>
      <c r="B570" s="69">
        <v>175</v>
      </c>
      <c r="C570" s="70" t="s">
        <v>43</v>
      </c>
      <c r="D570" s="80">
        <v>44441</v>
      </c>
      <c r="E570" s="72" t="s">
        <v>4265</v>
      </c>
      <c r="F570" s="74" t="s">
        <v>4266</v>
      </c>
      <c r="G570" s="74" t="s">
        <v>3710</v>
      </c>
      <c r="H570" s="74" t="s">
        <v>3288</v>
      </c>
    </row>
    <row r="571" spans="1:8" ht="12.75">
      <c r="A571" s="78">
        <v>2021</v>
      </c>
      <c r="B571" s="69">
        <v>175</v>
      </c>
      <c r="C571" s="70" t="s">
        <v>43</v>
      </c>
      <c r="D571" s="80">
        <v>44441</v>
      </c>
      <c r="E571" s="72" t="s">
        <v>4267</v>
      </c>
      <c r="F571" s="74" t="s">
        <v>4268</v>
      </c>
      <c r="G571" s="74" t="s">
        <v>3710</v>
      </c>
      <c r="H571" s="74" t="s">
        <v>3288</v>
      </c>
    </row>
    <row r="572" spans="1:8" ht="12.75">
      <c r="A572" s="78">
        <v>2021</v>
      </c>
      <c r="B572" s="69">
        <v>175</v>
      </c>
      <c r="C572" s="70" t="s">
        <v>43</v>
      </c>
      <c r="D572" s="80">
        <v>44441</v>
      </c>
      <c r="E572" s="72" t="s">
        <v>4269</v>
      </c>
      <c r="F572" s="74" t="s">
        <v>4270</v>
      </c>
      <c r="G572" s="74" t="s">
        <v>1319</v>
      </c>
      <c r="H572" s="74" t="s">
        <v>3288</v>
      </c>
    </row>
    <row r="573" spans="1:8" ht="12.75">
      <c r="A573" s="78">
        <v>2021</v>
      </c>
      <c r="B573" s="69">
        <v>175</v>
      </c>
      <c r="C573" s="70" t="s">
        <v>43</v>
      </c>
      <c r="D573" s="80">
        <v>44441</v>
      </c>
      <c r="E573" s="72" t="s">
        <v>4271</v>
      </c>
      <c r="F573" s="74" t="s">
        <v>4272</v>
      </c>
      <c r="G573" s="74" t="s">
        <v>1319</v>
      </c>
      <c r="H573" s="74" t="s">
        <v>3288</v>
      </c>
    </row>
    <row r="574" spans="1:8" ht="12.75">
      <c r="A574" s="78">
        <v>2021</v>
      </c>
      <c r="B574" s="69">
        <v>175</v>
      </c>
      <c r="C574" s="70" t="s">
        <v>43</v>
      </c>
      <c r="D574" s="80">
        <v>44441</v>
      </c>
      <c r="E574" s="72" t="s">
        <v>4273</v>
      </c>
      <c r="F574" s="74" t="s">
        <v>4274</v>
      </c>
      <c r="G574" s="74" t="s">
        <v>1319</v>
      </c>
      <c r="H574" s="74" t="s">
        <v>3288</v>
      </c>
    </row>
    <row r="575" spans="1:8" ht="12.75">
      <c r="A575" s="78">
        <v>2021</v>
      </c>
      <c r="B575" s="69">
        <v>176</v>
      </c>
      <c r="C575" s="70" t="s">
        <v>96</v>
      </c>
      <c r="D575" s="80">
        <v>44441</v>
      </c>
      <c r="E575" s="72" t="s">
        <v>4275</v>
      </c>
      <c r="F575" s="74" t="s">
        <v>4276</v>
      </c>
      <c r="G575" s="74" t="s">
        <v>1319</v>
      </c>
      <c r="H575" s="74" t="s">
        <v>3288</v>
      </c>
    </row>
    <row r="576" spans="1:8" ht="12.75">
      <c r="A576" s="78">
        <v>2021</v>
      </c>
      <c r="B576" s="69">
        <v>178</v>
      </c>
      <c r="C576" s="77" t="s">
        <v>1591</v>
      </c>
      <c r="D576" s="80">
        <v>44453</v>
      </c>
      <c r="E576" s="72" t="s">
        <v>4277</v>
      </c>
      <c r="F576" s="74" t="s">
        <v>4278</v>
      </c>
      <c r="G576" s="74" t="s">
        <v>3439</v>
      </c>
      <c r="H576" s="74" t="s">
        <v>3288</v>
      </c>
    </row>
    <row r="577" spans="1:8" ht="12.75">
      <c r="A577" s="78">
        <v>2021</v>
      </c>
      <c r="B577" s="69">
        <v>178</v>
      </c>
      <c r="C577" s="77" t="s">
        <v>1591</v>
      </c>
      <c r="D577" s="80">
        <v>44453</v>
      </c>
      <c r="E577" s="72" t="s">
        <v>4279</v>
      </c>
      <c r="F577" s="74" t="s">
        <v>4280</v>
      </c>
      <c r="G577" s="74" t="s">
        <v>3439</v>
      </c>
      <c r="H577" s="74" t="s">
        <v>3288</v>
      </c>
    </row>
    <row r="578" spans="1:8" ht="12.75">
      <c r="A578" s="78">
        <v>2021</v>
      </c>
      <c r="B578" s="69">
        <v>178</v>
      </c>
      <c r="C578" s="77" t="s">
        <v>1591</v>
      </c>
      <c r="D578" s="80">
        <v>44453</v>
      </c>
      <c r="E578" s="72" t="s">
        <v>4281</v>
      </c>
      <c r="F578" s="74" t="s">
        <v>4282</v>
      </c>
      <c r="G578" s="74" t="s">
        <v>3389</v>
      </c>
      <c r="H578" s="74" t="s">
        <v>3288</v>
      </c>
    </row>
    <row r="579" spans="1:8" ht="12.75">
      <c r="A579" s="78">
        <v>2021</v>
      </c>
      <c r="B579" s="69">
        <v>178</v>
      </c>
      <c r="C579" s="77" t="s">
        <v>1591</v>
      </c>
      <c r="D579" s="80">
        <v>44453</v>
      </c>
      <c r="E579" s="72" t="s">
        <v>4283</v>
      </c>
      <c r="F579" s="74" t="s">
        <v>4284</v>
      </c>
      <c r="G579" s="74" t="s">
        <v>3389</v>
      </c>
      <c r="H579" s="74" t="s">
        <v>3288</v>
      </c>
    </row>
    <row r="580" spans="1:8" ht="12.75">
      <c r="A580" s="78">
        <v>2021</v>
      </c>
      <c r="B580" s="69">
        <v>178</v>
      </c>
      <c r="C580" s="77" t="s">
        <v>1591</v>
      </c>
      <c r="D580" s="80">
        <v>44453</v>
      </c>
      <c r="E580" s="72" t="s">
        <v>4285</v>
      </c>
      <c r="F580" s="74" t="s">
        <v>4286</v>
      </c>
      <c r="G580" s="74" t="s">
        <v>3389</v>
      </c>
      <c r="H580" s="74" t="s">
        <v>3288</v>
      </c>
    </row>
    <row r="581" spans="1:8" ht="12.75">
      <c r="A581" s="78">
        <v>2021</v>
      </c>
      <c r="B581" s="69">
        <v>182</v>
      </c>
      <c r="C581" s="77" t="s">
        <v>4287</v>
      </c>
      <c r="D581" s="80">
        <v>44455</v>
      </c>
      <c r="E581" s="72" t="s">
        <v>4288</v>
      </c>
      <c r="F581" s="74" t="s">
        <v>4289</v>
      </c>
      <c r="G581" s="74" t="s">
        <v>3325</v>
      </c>
      <c r="H581" s="74" t="s">
        <v>3292</v>
      </c>
    </row>
    <row r="582" spans="1:8" ht="12.75">
      <c r="A582" s="78">
        <v>2021</v>
      </c>
      <c r="B582" s="69">
        <v>186</v>
      </c>
      <c r="C582" s="77" t="s">
        <v>1660</v>
      </c>
      <c r="D582" s="80">
        <v>44460</v>
      </c>
      <c r="E582" s="72" t="s">
        <v>3397</v>
      </c>
      <c r="F582" s="74" t="s">
        <v>4215</v>
      </c>
      <c r="G582" s="74" t="s">
        <v>3328</v>
      </c>
      <c r="H582" s="74" t="s">
        <v>3292</v>
      </c>
    </row>
    <row r="583" spans="1:8" ht="12.75">
      <c r="A583" s="78">
        <v>2021</v>
      </c>
      <c r="B583" s="69">
        <v>186</v>
      </c>
      <c r="C583" s="77" t="s">
        <v>1660</v>
      </c>
      <c r="D583" s="80">
        <v>44460</v>
      </c>
      <c r="E583" s="72" t="s">
        <v>4290</v>
      </c>
      <c r="F583" s="74" t="s">
        <v>4291</v>
      </c>
      <c r="G583" s="74" t="s">
        <v>3432</v>
      </c>
      <c r="H583" s="74" t="s">
        <v>3393</v>
      </c>
    </row>
    <row r="584" spans="1:8" ht="12.75">
      <c r="A584" s="78">
        <v>2021</v>
      </c>
      <c r="B584" s="69">
        <v>186</v>
      </c>
      <c r="C584" s="87" t="s">
        <v>1660</v>
      </c>
      <c r="D584" s="80">
        <v>44460</v>
      </c>
      <c r="E584" s="72" t="s">
        <v>4292</v>
      </c>
      <c r="F584" s="74" t="s">
        <v>4293</v>
      </c>
      <c r="G584" s="74" t="s">
        <v>3309</v>
      </c>
      <c r="H584" s="74" t="s">
        <v>3292</v>
      </c>
    </row>
    <row r="585" spans="1:8" ht="12.75">
      <c r="A585" s="78">
        <v>2021</v>
      </c>
      <c r="B585" s="69">
        <v>188</v>
      </c>
      <c r="C585" s="70" t="s">
        <v>55</v>
      </c>
      <c r="D585" s="80">
        <v>44462</v>
      </c>
      <c r="E585" s="72" t="s">
        <v>3344</v>
      </c>
      <c r="F585" s="74" t="s">
        <v>3345</v>
      </c>
      <c r="G585" s="74" t="s">
        <v>3311</v>
      </c>
      <c r="H585" s="74" t="s">
        <v>3292</v>
      </c>
    </row>
    <row r="586" spans="1:8" ht="12.75">
      <c r="A586" s="78">
        <v>2021</v>
      </c>
      <c r="B586" s="69">
        <v>191</v>
      </c>
      <c r="C586" s="77" t="s">
        <v>4294</v>
      </c>
      <c r="D586" s="80">
        <v>44462</v>
      </c>
      <c r="E586" s="72" t="s">
        <v>4295</v>
      </c>
      <c r="F586" s="74" t="s">
        <v>4296</v>
      </c>
      <c r="G586" s="74" t="s">
        <v>1319</v>
      </c>
      <c r="H586" s="74" t="s">
        <v>3288</v>
      </c>
    </row>
    <row r="587" spans="1:8" ht="12.75">
      <c r="A587" s="78">
        <v>2021</v>
      </c>
      <c r="B587" s="69">
        <v>191</v>
      </c>
      <c r="C587" s="77" t="s">
        <v>4294</v>
      </c>
      <c r="D587" s="80">
        <v>44462</v>
      </c>
      <c r="E587" s="72" t="s">
        <v>4297</v>
      </c>
      <c r="F587" s="74" t="s">
        <v>4298</v>
      </c>
      <c r="G587" s="74" t="s">
        <v>1319</v>
      </c>
      <c r="H587" s="74" t="s">
        <v>3288</v>
      </c>
    </row>
    <row r="588" spans="1:8" ht="12.75">
      <c r="A588" s="78">
        <v>2021</v>
      </c>
      <c r="B588" s="69">
        <v>191</v>
      </c>
      <c r="C588" s="77" t="s">
        <v>4294</v>
      </c>
      <c r="D588" s="80">
        <v>44462</v>
      </c>
      <c r="E588" s="72" t="s">
        <v>4299</v>
      </c>
      <c r="F588" s="74" t="s">
        <v>4300</v>
      </c>
      <c r="G588" s="74" t="s">
        <v>1319</v>
      </c>
      <c r="H588" s="74" t="s">
        <v>3288</v>
      </c>
    </row>
    <row r="589" spans="1:8" ht="12.75">
      <c r="A589" s="78">
        <v>2021</v>
      </c>
      <c r="B589" s="69">
        <v>193</v>
      </c>
      <c r="C589" s="88" t="s">
        <v>39</v>
      </c>
      <c r="D589" s="80">
        <v>44467</v>
      </c>
      <c r="E589" s="72" t="s">
        <v>4301</v>
      </c>
      <c r="F589" s="74" t="s">
        <v>4302</v>
      </c>
      <c r="G589" s="74" t="s">
        <v>3439</v>
      </c>
      <c r="H589" s="74" t="s">
        <v>3288</v>
      </c>
    </row>
    <row r="590" spans="1:8" ht="12.75">
      <c r="A590" s="78">
        <v>2021</v>
      </c>
      <c r="B590" s="69">
        <v>193</v>
      </c>
      <c r="C590" s="88" t="s">
        <v>39</v>
      </c>
      <c r="D590" s="80">
        <v>44467</v>
      </c>
      <c r="E590" s="72" t="s">
        <v>4303</v>
      </c>
      <c r="F590" s="74" t="s">
        <v>4304</v>
      </c>
      <c r="G590" s="74" t="s">
        <v>3439</v>
      </c>
      <c r="H590" s="74" t="s">
        <v>3288</v>
      </c>
    </row>
    <row r="591" spans="1:8" ht="12.75">
      <c r="A591" s="78">
        <v>2021</v>
      </c>
      <c r="B591" s="69">
        <v>198</v>
      </c>
      <c r="C591" s="87" t="s">
        <v>1710</v>
      </c>
      <c r="D591" s="80">
        <v>44474</v>
      </c>
      <c r="E591" s="72" t="s">
        <v>4305</v>
      </c>
      <c r="F591" s="74" t="s">
        <v>3565</v>
      </c>
      <c r="G591" s="74" t="s">
        <v>4306</v>
      </c>
      <c r="H591" s="74" t="s">
        <v>3567</v>
      </c>
    </row>
    <row r="592" spans="1:8" ht="12.75">
      <c r="A592" s="78">
        <v>2021</v>
      </c>
      <c r="B592" s="69">
        <v>198</v>
      </c>
      <c r="C592" s="77" t="s">
        <v>1710</v>
      </c>
      <c r="D592" s="80">
        <v>44474</v>
      </c>
      <c r="E592" s="72" t="s">
        <v>4307</v>
      </c>
      <c r="F592" s="74" t="s">
        <v>4308</v>
      </c>
      <c r="G592" s="74" t="s">
        <v>3439</v>
      </c>
      <c r="H592" s="74" t="s">
        <v>3288</v>
      </c>
    </row>
    <row r="593" spans="1:8" ht="12.75">
      <c r="A593" s="78">
        <v>2021</v>
      </c>
      <c r="B593" s="69">
        <v>199</v>
      </c>
      <c r="C593" s="70" t="s">
        <v>41</v>
      </c>
      <c r="D593" s="80">
        <v>44476</v>
      </c>
      <c r="E593" s="72" t="s">
        <v>4309</v>
      </c>
      <c r="F593" s="74" t="s">
        <v>4310</v>
      </c>
      <c r="G593" s="74" t="s">
        <v>3469</v>
      </c>
      <c r="H593" s="74" t="s">
        <v>3288</v>
      </c>
    </row>
    <row r="594" spans="1:8" ht="12.75">
      <c r="A594" s="78">
        <v>2021</v>
      </c>
      <c r="B594" s="69">
        <v>199</v>
      </c>
      <c r="C594" s="70" t="s">
        <v>41</v>
      </c>
      <c r="D594" s="80">
        <v>44476</v>
      </c>
      <c r="E594" s="72" t="s">
        <v>4311</v>
      </c>
      <c r="F594" s="74" t="s">
        <v>4312</v>
      </c>
      <c r="G594" s="74" t="s">
        <v>1319</v>
      </c>
      <c r="H594" s="74" t="s">
        <v>3288</v>
      </c>
    </row>
    <row r="595" spans="1:8" ht="12.75">
      <c r="A595" s="78">
        <v>2021</v>
      </c>
      <c r="B595" s="69">
        <v>199</v>
      </c>
      <c r="C595" s="70" t="s">
        <v>41</v>
      </c>
      <c r="D595" s="80">
        <v>44476</v>
      </c>
      <c r="E595" s="72" t="s">
        <v>4313</v>
      </c>
      <c r="F595" s="74" t="s">
        <v>4314</v>
      </c>
      <c r="G595" s="74" t="s">
        <v>1319</v>
      </c>
      <c r="H595" s="74" t="s">
        <v>3288</v>
      </c>
    </row>
    <row r="596" spans="1:8" ht="12.75">
      <c r="A596" s="78">
        <v>2021</v>
      </c>
      <c r="B596" s="69">
        <v>200</v>
      </c>
      <c r="C596" s="70" t="s">
        <v>21</v>
      </c>
      <c r="D596" s="80">
        <v>44476</v>
      </c>
      <c r="E596" s="72" t="s">
        <v>4315</v>
      </c>
      <c r="F596" s="74" t="s">
        <v>4316</v>
      </c>
      <c r="G596" s="74" t="s">
        <v>3328</v>
      </c>
      <c r="H596" s="74" t="s">
        <v>3292</v>
      </c>
    </row>
    <row r="597" spans="1:8" ht="12.75">
      <c r="A597" s="78">
        <v>2021</v>
      </c>
      <c r="B597" s="69">
        <v>201</v>
      </c>
      <c r="C597" s="77" t="s">
        <v>4294</v>
      </c>
      <c r="D597" s="80">
        <v>44476</v>
      </c>
      <c r="E597" s="72" t="s">
        <v>4317</v>
      </c>
      <c r="F597" s="74" t="s">
        <v>4318</v>
      </c>
      <c r="G597" s="74" t="s">
        <v>1319</v>
      </c>
      <c r="H597" s="74" t="s">
        <v>3288</v>
      </c>
    </row>
    <row r="598" spans="1:8" ht="12.75">
      <c r="A598" s="78">
        <v>2021</v>
      </c>
      <c r="B598" s="69">
        <v>201</v>
      </c>
      <c r="C598" s="77" t="s">
        <v>4294</v>
      </c>
      <c r="D598" s="80">
        <v>44476</v>
      </c>
      <c r="E598" s="72" t="s">
        <v>4319</v>
      </c>
      <c r="F598" s="74" t="s">
        <v>4320</v>
      </c>
      <c r="G598" s="74" t="s">
        <v>4102</v>
      </c>
      <c r="H598" s="74" t="s">
        <v>3288</v>
      </c>
    </row>
    <row r="599" spans="1:8" ht="12.75">
      <c r="A599" s="78">
        <v>2021</v>
      </c>
      <c r="B599" s="69">
        <v>201</v>
      </c>
      <c r="C599" s="77" t="s">
        <v>4294</v>
      </c>
      <c r="D599" s="80">
        <v>44476</v>
      </c>
      <c r="E599" s="72" t="s">
        <v>4321</v>
      </c>
      <c r="F599" s="74" t="s">
        <v>4322</v>
      </c>
      <c r="G599" s="74" t="s">
        <v>3409</v>
      </c>
      <c r="H599" s="74" t="s">
        <v>3288</v>
      </c>
    </row>
    <row r="600" spans="1:8" ht="12.75">
      <c r="A600" s="78">
        <v>2021</v>
      </c>
      <c r="B600" s="69">
        <v>205</v>
      </c>
      <c r="C600" s="87" t="s">
        <v>1739</v>
      </c>
      <c r="D600" s="80">
        <v>44483</v>
      </c>
      <c r="E600" s="72" t="s">
        <v>4323</v>
      </c>
      <c r="F600" s="74" t="s">
        <v>4324</v>
      </c>
      <c r="G600" s="74" t="s">
        <v>3309</v>
      </c>
      <c r="H600" s="74" t="s">
        <v>3292</v>
      </c>
    </row>
    <row r="601" spans="1:8" ht="12.75">
      <c r="A601" s="78">
        <v>2021</v>
      </c>
      <c r="B601" s="69">
        <v>206</v>
      </c>
      <c r="C601" s="87" t="s">
        <v>4294</v>
      </c>
      <c r="D601" s="80">
        <v>44488</v>
      </c>
      <c r="E601" s="72" t="s">
        <v>4325</v>
      </c>
      <c r="F601" s="74" t="s">
        <v>4326</v>
      </c>
      <c r="G601" s="74" t="s">
        <v>3720</v>
      </c>
      <c r="H601" s="74" t="s">
        <v>3292</v>
      </c>
    </row>
    <row r="602" spans="1:8" ht="12.75">
      <c r="A602" s="78">
        <v>2021</v>
      </c>
      <c r="B602" s="69">
        <v>206</v>
      </c>
      <c r="C602" s="87" t="s">
        <v>4294</v>
      </c>
      <c r="D602" s="80">
        <v>44488</v>
      </c>
      <c r="E602" s="72" t="s">
        <v>4327</v>
      </c>
      <c r="F602" s="74" t="s">
        <v>4328</v>
      </c>
      <c r="G602" s="74" t="s">
        <v>4329</v>
      </c>
      <c r="H602" s="74" t="s">
        <v>3292</v>
      </c>
    </row>
    <row r="603" spans="1:8" ht="12.75">
      <c r="A603" s="78">
        <v>2021</v>
      </c>
      <c r="B603" s="69">
        <v>206</v>
      </c>
      <c r="C603" s="77" t="s">
        <v>4294</v>
      </c>
      <c r="D603" s="89">
        <v>44488</v>
      </c>
      <c r="E603" s="19" t="s">
        <v>4330</v>
      </c>
      <c r="F603" s="6" t="s">
        <v>4331</v>
      </c>
      <c r="G603" s="6" t="s">
        <v>3409</v>
      </c>
      <c r="H603" s="6" t="s">
        <v>3288</v>
      </c>
    </row>
    <row r="604" spans="1:8" ht="12.75">
      <c r="A604" s="78">
        <v>2021</v>
      </c>
      <c r="B604" s="69">
        <v>206</v>
      </c>
      <c r="C604" s="87" t="s">
        <v>4294</v>
      </c>
      <c r="D604" s="89">
        <v>44488</v>
      </c>
      <c r="E604" s="19" t="s">
        <v>4332</v>
      </c>
      <c r="F604" s="6" t="s">
        <v>4333</v>
      </c>
      <c r="G604" s="6" t="s">
        <v>1319</v>
      </c>
      <c r="H604" s="6" t="s">
        <v>3288</v>
      </c>
    </row>
    <row r="605" spans="1:8" ht="12.75">
      <c r="A605" s="78">
        <v>2021</v>
      </c>
      <c r="B605" s="69">
        <v>206</v>
      </c>
      <c r="C605" s="87" t="s">
        <v>4294</v>
      </c>
      <c r="D605" s="89">
        <v>44488</v>
      </c>
      <c r="E605" s="19" t="s">
        <v>4334</v>
      </c>
      <c r="F605" s="6" t="s">
        <v>3808</v>
      </c>
      <c r="G605" s="6" t="s">
        <v>4335</v>
      </c>
      <c r="H605" s="6" t="s">
        <v>3810</v>
      </c>
    </row>
    <row r="606" spans="1:8" ht="12.75">
      <c r="A606" s="78">
        <v>2021</v>
      </c>
      <c r="B606" s="69">
        <v>206</v>
      </c>
      <c r="C606" s="87" t="s">
        <v>4294</v>
      </c>
      <c r="D606" s="89">
        <v>44488</v>
      </c>
      <c r="E606" s="19" t="s">
        <v>4336</v>
      </c>
      <c r="F606" s="6" t="s">
        <v>4337</v>
      </c>
      <c r="G606" s="6" t="s">
        <v>1319</v>
      </c>
      <c r="H606" s="6" t="s">
        <v>3288</v>
      </c>
    </row>
    <row r="607" spans="1:8" ht="12.75">
      <c r="A607" s="78">
        <v>2021</v>
      </c>
      <c r="B607" s="69">
        <v>209</v>
      </c>
      <c r="C607" s="87" t="s">
        <v>1759</v>
      </c>
      <c r="D607" s="89">
        <v>44490</v>
      </c>
      <c r="E607" s="19" t="s">
        <v>4338</v>
      </c>
      <c r="F607" s="6" t="s">
        <v>3565</v>
      </c>
      <c r="G607" s="6" t="s">
        <v>4339</v>
      </c>
      <c r="H607" s="6" t="s">
        <v>3567</v>
      </c>
    </row>
    <row r="608" spans="1:8" ht="12.75">
      <c r="A608" s="78">
        <v>2021</v>
      </c>
      <c r="B608" s="69">
        <v>210</v>
      </c>
      <c r="C608" s="88" t="s">
        <v>55</v>
      </c>
      <c r="D608" s="89">
        <v>44490</v>
      </c>
      <c r="E608" s="19" t="s">
        <v>4340</v>
      </c>
      <c r="F608" s="6" t="s">
        <v>4341</v>
      </c>
      <c r="G608" s="6" t="s">
        <v>3439</v>
      </c>
      <c r="H608" s="6" t="s">
        <v>3288</v>
      </c>
    </row>
    <row r="609" spans="1:8" ht="12.75">
      <c r="A609" s="78">
        <v>2021</v>
      </c>
      <c r="B609" s="69">
        <v>210</v>
      </c>
      <c r="C609" s="88" t="s">
        <v>55</v>
      </c>
      <c r="D609" s="89">
        <v>44490</v>
      </c>
      <c r="E609" s="19" t="s">
        <v>4342</v>
      </c>
      <c r="F609" s="6" t="s">
        <v>4343</v>
      </c>
      <c r="G609" s="6" t="s">
        <v>3439</v>
      </c>
      <c r="H609" s="6" t="s">
        <v>3288</v>
      </c>
    </row>
    <row r="610" spans="1:8" ht="12.75">
      <c r="A610" s="78">
        <v>2021</v>
      </c>
      <c r="B610" s="69">
        <v>210</v>
      </c>
      <c r="C610" s="70" t="s">
        <v>55</v>
      </c>
      <c r="D610" s="89">
        <v>44490</v>
      </c>
      <c r="E610" s="19" t="s">
        <v>4344</v>
      </c>
      <c r="F610" s="6" t="s">
        <v>4345</v>
      </c>
      <c r="G610" s="6" t="s">
        <v>1319</v>
      </c>
      <c r="H610" s="6" t="s">
        <v>3288</v>
      </c>
    </row>
    <row r="611" spans="1:8" ht="12.75">
      <c r="A611" s="78">
        <v>2021</v>
      </c>
      <c r="B611" s="69">
        <v>211</v>
      </c>
      <c r="C611" s="70" t="s">
        <v>39</v>
      </c>
      <c r="D611" s="89">
        <v>44490</v>
      </c>
      <c r="E611" s="19" t="s">
        <v>4346</v>
      </c>
      <c r="F611" s="6" t="s">
        <v>4347</v>
      </c>
      <c r="G611" s="90" t="s">
        <v>3291</v>
      </c>
      <c r="H611" s="6" t="s">
        <v>3292</v>
      </c>
    </row>
    <row r="612" spans="1:8" ht="12.75">
      <c r="A612" s="78">
        <v>2021</v>
      </c>
      <c r="B612" s="69">
        <v>211</v>
      </c>
      <c r="C612" s="70" t="s">
        <v>39</v>
      </c>
      <c r="D612" s="89">
        <v>44490</v>
      </c>
      <c r="E612" s="19" t="s">
        <v>4348</v>
      </c>
      <c r="F612" s="6" t="s">
        <v>4349</v>
      </c>
      <c r="G612" s="90" t="s">
        <v>3291</v>
      </c>
      <c r="H612" s="6" t="s">
        <v>3292</v>
      </c>
    </row>
    <row r="613" spans="1:8" ht="12.75">
      <c r="A613" s="78">
        <v>2021</v>
      </c>
      <c r="B613" s="69">
        <v>213</v>
      </c>
      <c r="C613" s="70" t="s">
        <v>148</v>
      </c>
      <c r="D613" s="89">
        <v>44495</v>
      </c>
      <c r="E613" s="19" t="s">
        <v>4350</v>
      </c>
      <c r="F613" s="6" t="s">
        <v>4351</v>
      </c>
      <c r="G613" s="6" t="s">
        <v>3439</v>
      </c>
      <c r="H613" s="6" t="s">
        <v>3288</v>
      </c>
    </row>
    <row r="614" spans="1:8" ht="12.75">
      <c r="A614" s="78">
        <v>2021</v>
      </c>
      <c r="B614" s="69">
        <v>213</v>
      </c>
      <c r="C614" s="70" t="s">
        <v>148</v>
      </c>
      <c r="D614" s="89">
        <v>44495</v>
      </c>
      <c r="E614" s="19" t="s">
        <v>4352</v>
      </c>
      <c r="F614" s="6" t="s">
        <v>4353</v>
      </c>
      <c r="G614" s="6" t="s">
        <v>3446</v>
      </c>
      <c r="H614" s="6" t="s">
        <v>3288</v>
      </c>
    </row>
    <row r="615" spans="1:8" ht="12.75">
      <c r="A615" s="78">
        <v>2021</v>
      </c>
      <c r="B615" s="69">
        <v>213</v>
      </c>
      <c r="C615" s="70" t="s">
        <v>148</v>
      </c>
      <c r="D615" s="89">
        <v>44495</v>
      </c>
      <c r="E615" s="19" t="s">
        <v>4354</v>
      </c>
      <c r="F615" s="6" t="s">
        <v>4355</v>
      </c>
      <c r="G615" s="6" t="s">
        <v>3720</v>
      </c>
      <c r="H615" s="6" t="s">
        <v>3292</v>
      </c>
    </row>
    <row r="616" spans="1:8" ht="12.75">
      <c r="A616" s="78">
        <v>2021</v>
      </c>
      <c r="B616" s="69">
        <v>213</v>
      </c>
      <c r="C616" s="70" t="s">
        <v>148</v>
      </c>
      <c r="D616" s="89">
        <v>44495</v>
      </c>
      <c r="E616" s="19" t="s">
        <v>4356</v>
      </c>
      <c r="F616" s="6" t="s">
        <v>4357</v>
      </c>
      <c r="G616" s="90" t="s">
        <v>3720</v>
      </c>
      <c r="H616" s="6" t="s">
        <v>3292</v>
      </c>
    </row>
    <row r="617" spans="1:8" ht="12.75">
      <c r="A617" s="78">
        <v>2021</v>
      </c>
      <c r="B617" s="69">
        <v>216</v>
      </c>
      <c r="C617" s="77" t="s">
        <v>1784</v>
      </c>
      <c r="D617" s="89">
        <v>44497</v>
      </c>
      <c r="E617" s="19" t="s">
        <v>4358</v>
      </c>
      <c r="F617" s="6" t="s">
        <v>4359</v>
      </c>
      <c r="G617" s="6" t="s">
        <v>3303</v>
      </c>
      <c r="H617" s="6" t="s">
        <v>3292</v>
      </c>
    </row>
    <row r="618" spans="1:8" ht="12.75">
      <c r="A618" s="78">
        <v>2021</v>
      </c>
      <c r="B618" s="69">
        <v>216</v>
      </c>
      <c r="C618" s="77" t="s">
        <v>1784</v>
      </c>
      <c r="D618" s="89">
        <v>44497</v>
      </c>
      <c r="E618" s="19" t="s">
        <v>4360</v>
      </c>
      <c r="F618" s="6" t="s">
        <v>4361</v>
      </c>
      <c r="G618" s="6" t="s">
        <v>3469</v>
      </c>
      <c r="H618" s="6" t="s">
        <v>3288</v>
      </c>
    </row>
    <row r="619" spans="1:8" ht="12.75">
      <c r="A619" s="78">
        <v>2021</v>
      </c>
      <c r="B619" s="69">
        <v>216</v>
      </c>
      <c r="C619" s="77" t="s">
        <v>1784</v>
      </c>
      <c r="D619" s="89">
        <v>44497</v>
      </c>
      <c r="E619" s="19" t="s">
        <v>4362</v>
      </c>
      <c r="F619" s="6" t="s">
        <v>4363</v>
      </c>
      <c r="G619" s="6" t="s">
        <v>3439</v>
      </c>
      <c r="H619" s="6" t="s">
        <v>3288</v>
      </c>
    </row>
    <row r="620" spans="1:8" ht="12.75">
      <c r="A620" s="78">
        <v>2021</v>
      </c>
      <c r="B620" s="69">
        <v>216</v>
      </c>
      <c r="C620" s="77" t="s">
        <v>1784</v>
      </c>
      <c r="D620" s="89">
        <v>44497</v>
      </c>
      <c r="E620" s="19" t="s">
        <v>4364</v>
      </c>
      <c r="F620" s="6" t="s">
        <v>4365</v>
      </c>
      <c r="G620" s="6" t="s">
        <v>3469</v>
      </c>
      <c r="H620" s="6" t="s">
        <v>3288</v>
      </c>
    </row>
    <row r="621" spans="1:8" ht="12.75">
      <c r="A621" s="78">
        <v>2021</v>
      </c>
      <c r="B621" s="69">
        <v>216</v>
      </c>
      <c r="C621" s="77" t="s">
        <v>1784</v>
      </c>
      <c r="D621" s="89">
        <v>44497</v>
      </c>
      <c r="E621" s="19" t="s">
        <v>4366</v>
      </c>
      <c r="F621" s="6" t="s">
        <v>4367</v>
      </c>
      <c r="G621" s="74" t="s">
        <v>3439</v>
      </c>
      <c r="H621" s="6" t="s">
        <v>3288</v>
      </c>
    </row>
    <row r="622" spans="1:8" ht="12.75">
      <c r="A622" s="78">
        <v>2021</v>
      </c>
      <c r="B622" s="69">
        <v>216</v>
      </c>
      <c r="C622" s="77" t="s">
        <v>1784</v>
      </c>
      <c r="D622" s="89">
        <v>44497</v>
      </c>
      <c r="E622" s="19" t="s">
        <v>4368</v>
      </c>
      <c r="F622" s="6" t="s">
        <v>4369</v>
      </c>
      <c r="G622" s="6" t="s">
        <v>3439</v>
      </c>
      <c r="H622" s="6" t="s">
        <v>3288</v>
      </c>
    </row>
    <row r="623" spans="1:8" ht="12.75">
      <c r="A623" s="78">
        <v>2021</v>
      </c>
      <c r="B623" s="69">
        <v>216</v>
      </c>
      <c r="C623" s="77" t="s">
        <v>1784</v>
      </c>
      <c r="D623" s="89">
        <v>44497</v>
      </c>
      <c r="E623" s="19" t="s">
        <v>4370</v>
      </c>
      <c r="F623" s="6" t="s">
        <v>4371</v>
      </c>
      <c r="G623" s="74" t="s">
        <v>3439</v>
      </c>
      <c r="H623" s="6" t="s">
        <v>3288</v>
      </c>
    </row>
    <row r="624" spans="1:8" ht="12.75">
      <c r="A624" s="78">
        <v>2021</v>
      </c>
      <c r="B624" s="69">
        <v>216</v>
      </c>
      <c r="C624" s="77" t="s">
        <v>1784</v>
      </c>
      <c r="D624" s="89">
        <v>44497</v>
      </c>
      <c r="E624" s="19" t="s">
        <v>4372</v>
      </c>
      <c r="F624" s="6" t="s">
        <v>4373</v>
      </c>
      <c r="G624" s="6" t="s">
        <v>3439</v>
      </c>
      <c r="H624" s="6" t="s">
        <v>3288</v>
      </c>
    </row>
    <row r="625" spans="1:8" ht="12.75">
      <c r="A625" s="78">
        <v>2021</v>
      </c>
      <c r="B625" s="69">
        <v>217</v>
      </c>
      <c r="C625" s="77" t="s">
        <v>1789</v>
      </c>
      <c r="D625" s="89">
        <v>44497</v>
      </c>
      <c r="E625" s="19" t="s">
        <v>4374</v>
      </c>
      <c r="F625" s="6" t="s">
        <v>3595</v>
      </c>
      <c r="G625" s="6" t="s">
        <v>4375</v>
      </c>
      <c r="H625" s="6" t="s">
        <v>3567</v>
      </c>
    </row>
    <row r="626" spans="1:8" ht="12.75">
      <c r="A626" s="78">
        <v>2021</v>
      </c>
      <c r="B626" s="69">
        <v>218</v>
      </c>
      <c r="C626" s="70" t="s">
        <v>43</v>
      </c>
      <c r="D626" s="89">
        <v>44497</v>
      </c>
      <c r="E626" s="19" t="s">
        <v>4376</v>
      </c>
      <c r="F626" s="6" t="s">
        <v>4377</v>
      </c>
      <c r="G626" s="6" t="s">
        <v>4194</v>
      </c>
      <c r="H626" s="6" t="s">
        <v>3393</v>
      </c>
    </row>
    <row r="627" spans="1:8" ht="12.75">
      <c r="A627" s="78">
        <v>2021</v>
      </c>
      <c r="B627" s="69">
        <v>218</v>
      </c>
      <c r="C627" s="70" t="s">
        <v>43</v>
      </c>
      <c r="D627" s="89">
        <v>44497</v>
      </c>
      <c r="E627" s="19" t="s">
        <v>4378</v>
      </c>
      <c r="F627" s="6" t="s">
        <v>4379</v>
      </c>
      <c r="G627" s="6" t="s">
        <v>4194</v>
      </c>
      <c r="H627" s="6" t="s">
        <v>3393</v>
      </c>
    </row>
    <row r="628" spans="1:8" ht="12.75">
      <c r="A628" s="78">
        <v>2021</v>
      </c>
      <c r="B628" s="69">
        <v>220</v>
      </c>
      <c r="C628" s="70" t="s">
        <v>55</v>
      </c>
      <c r="D628" s="89">
        <v>44504</v>
      </c>
      <c r="E628" s="19" t="s">
        <v>4340</v>
      </c>
      <c r="F628" s="6" t="s">
        <v>4341</v>
      </c>
      <c r="G628" s="6" t="s">
        <v>3439</v>
      </c>
      <c r="H628" s="6" t="s">
        <v>3288</v>
      </c>
    </row>
    <row r="629" spans="1:8" ht="12.75">
      <c r="A629" s="78">
        <v>2021</v>
      </c>
      <c r="B629" s="69">
        <v>220</v>
      </c>
      <c r="C629" s="70" t="s">
        <v>55</v>
      </c>
      <c r="D629" s="89">
        <v>44504</v>
      </c>
      <c r="E629" s="19" t="s">
        <v>4380</v>
      </c>
      <c r="F629" s="6" t="s">
        <v>4381</v>
      </c>
      <c r="G629" s="74" t="s">
        <v>3446</v>
      </c>
      <c r="H629" s="6" t="s">
        <v>3288</v>
      </c>
    </row>
    <row r="630" spans="1:8" ht="12.75">
      <c r="A630" s="78">
        <v>2021</v>
      </c>
      <c r="B630" s="69">
        <v>222</v>
      </c>
      <c r="C630" s="77" t="s">
        <v>1039</v>
      </c>
      <c r="D630" s="89">
        <v>44516</v>
      </c>
      <c r="E630" s="19" t="s">
        <v>4382</v>
      </c>
      <c r="F630" s="6" t="s">
        <v>4383</v>
      </c>
      <c r="G630" s="74" t="s">
        <v>3409</v>
      </c>
      <c r="H630" s="6" t="s">
        <v>3288</v>
      </c>
    </row>
    <row r="631" spans="1:8" ht="12.75">
      <c r="A631" s="78">
        <v>2021</v>
      </c>
      <c r="B631" s="69">
        <v>224</v>
      </c>
      <c r="C631" s="77" t="s">
        <v>282</v>
      </c>
      <c r="D631" s="89">
        <v>44518</v>
      </c>
      <c r="E631" s="91" t="s">
        <v>4384</v>
      </c>
      <c r="F631" s="6" t="s">
        <v>4385</v>
      </c>
      <c r="G631" s="6" t="s">
        <v>3469</v>
      </c>
      <c r="H631" s="6" t="s">
        <v>3288</v>
      </c>
    </row>
    <row r="632" spans="1:8" ht="12.75">
      <c r="A632" s="78">
        <v>2021</v>
      </c>
      <c r="B632" s="69">
        <v>225</v>
      </c>
      <c r="C632" s="77" t="s">
        <v>1825</v>
      </c>
      <c r="D632" s="89">
        <v>44523</v>
      </c>
      <c r="E632" s="91" t="s">
        <v>3780</v>
      </c>
      <c r="F632" s="6" t="s">
        <v>3781</v>
      </c>
      <c r="G632" s="6" t="s">
        <v>3311</v>
      </c>
      <c r="H632" s="6" t="s">
        <v>3292</v>
      </c>
    </row>
    <row r="633" spans="1:8" ht="12.75">
      <c r="A633" s="92">
        <v>2021</v>
      </c>
      <c r="B633" s="18">
        <v>225</v>
      </c>
      <c r="C633" s="77" t="s">
        <v>1825</v>
      </c>
      <c r="D633" s="89">
        <v>44523</v>
      </c>
      <c r="E633" s="19" t="s">
        <v>3344</v>
      </c>
      <c r="F633" s="6" t="s">
        <v>3345</v>
      </c>
      <c r="G633" s="6" t="s">
        <v>3311</v>
      </c>
      <c r="H633" s="6" t="s">
        <v>3292</v>
      </c>
    </row>
    <row r="634" spans="1:8" ht="12.75">
      <c r="A634" s="92">
        <v>2021</v>
      </c>
      <c r="B634" s="18">
        <v>227</v>
      </c>
      <c r="C634" s="70" t="s">
        <v>43</v>
      </c>
      <c r="D634" s="89">
        <v>44523</v>
      </c>
      <c r="E634" s="19" t="s">
        <v>3940</v>
      </c>
      <c r="F634" s="6" t="s">
        <v>3941</v>
      </c>
      <c r="G634" s="74" t="s">
        <v>3432</v>
      </c>
      <c r="H634" s="6" t="s">
        <v>3292</v>
      </c>
    </row>
    <row r="635" spans="1:8" ht="12.75">
      <c r="A635" s="92">
        <v>2021</v>
      </c>
      <c r="B635" s="18">
        <v>227</v>
      </c>
      <c r="C635" s="70" t="s">
        <v>43</v>
      </c>
      <c r="D635" s="89">
        <v>44523</v>
      </c>
      <c r="E635" s="73" t="s">
        <v>4386</v>
      </c>
      <c r="F635" s="6" t="s">
        <v>4387</v>
      </c>
      <c r="G635" s="6" t="s">
        <v>3432</v>
      </c>
      <c r="H635" s="6" t="s">
        <v>3292</v>
      </c>
    </row>
    <row r="636" spans="1:8" ht="12.75">
      <c r="A636" s="92">
        <v>2021</v>
      </c>
      <c r="B636" s="18">
        <v>230</v>
      </c>
      <c r="C636" s="77" t="s">
        <v>1825</v>
      </c>
      <c r="D636" s="89">
        <v>44525</v>
      </c>
      <c r="E636" s="19" t="s">
        <v>3736</v>
      </c>
      <c r="F636" s="6" t="s">
        <v>3302</v>
      </c>
      <c r="G636" s="6" t="s">
        <v>3309</v>
      </c>
      <c r="H636" s="6" t="s">
        <v>3292</v>
      </c>
    </row>
    <row r="637" spans="1:8" ht="12.75">
      <c r="A637" s="92">
        <v>2021</v>
      </c>
      <c r="B637" s="18">
        <v>231</v>
      </c>
      <c r="C637" s="77" t="s">
        <v>1850</v>
      </c>
      <c r="D637" s="89">
        <v>44525</v>
      </c>
      <c r="E637" s="19" t="s">
        <v>4388</v>
      </c>
      <c r="F637" s="6" t="s">
        <v>3957</v>
      </c>
      <c r="G637" s="6" t="s">
        <v>3313</v>
      </c>
      <c r="H637" s="6" t="s">
        <v>3292</v>
      </c>
    </row>
    <row r="638" spans="1:8" ht="12.75">
      <c r="A638" s="92">
        <v>2021</v>
      </c>
      <c r="B638" s="18">
        <v>234</v>
      </c>
      <c r="C638" s="77" t="s">
        <v>4092</v>
      </c>
      <c r="D638" s="89">
        <v>44530</v>
      </c>
      <c r="E638" s="19" t="s">
        <v>3735</v>
      </c>
      <c r="F638" s="6" t="s">
        <v>3302</v>
      </c>
      <c r="G638" s="6" t="s">
        <v>3720</v>
      </c>
      <c r="H638" s="6" t="s">
        <v>3292</v>
      </c>
    </row>
    <row r="639" spans="1:8" ht="12.75">
      <c r="A639" s="92">
        <v>2021</v>
      </c>
      <c r="B639" s="18">
        <v>236</v>
      </c>
      <c r="C639" s="77" t="s">
        <v>1825</v>
      </c>
      <c r="D639" s="89">
        <v>44532</v>
      </c>
      <c r="E639" s="19" t="s">
        <v>3324</v>
      </c>
      <c r="F639" s="6" t="s">
        <v>3302</v>
      </c>
      <c r="G639" s="6" t="s">
        <v>3325</v>
      </c>
      <c r="H639" s="6" t="s">
        <v>3292</v>
      </c>
    </row>
    <row r="640" spans="1:8" ht="12.75">
      <c r="A640" s="92">
        <v>2021</v>
      </c>
      <c r="B640" s="18">
        <v>236</v>
      </c>
      <c r="C640" s="77" t="s">
        <v>1825</v>
      </c>
      <c r="D640" s="89">
        <v>44532</v>
      </c>
      <c r="E640" s="19" t="s">
        <v>3774</v>
      </c>
      <c r="F640" s="6" t="s">
        <v>3302</v>
      </c>
      <c r="G640" s="6" t="s">
        <v>3546</v>
      </c>
      <c r="H640" s="6" t="s">
        <v>3292</v>
      </c>
    </row>
    <row r="641" spans="1:8" ht="12.75">
      <c r="A641" s="92">
        <v>2021</v>
      </c>
      <c r="B641" s="18">
        <v>240</v>
      </c>
      <c r="C641" s="87" t="s">
        <v>1825</v>
      </c>
      <c r="D641" s="89">
        <v>44537</v>
      </c>
      <c r="E641" s="19" t="s">
        <v>4389</v>
      </c>
      <c r="F641" s="6" t="s">
        <v>3302</v>
      </c>
      <c r="G641" s="6" t="s">
        <v>3432</v>
      </c>
      <c r="H641" s="6" t="s">
        <v>3292</v>
      </c>
    </row>
    <row r="642" spans="1:8" ht="12.75">
      <c r="A642" s="92">
        <v>2021</v>
      </c>
      <c r="B642" s="18">
        <v>240</v>
      </c>
      <c r="C642" s="77" t="s">
        <v>1825</v>
      </c>
      <c r="D642" s="89">
        <v>44537</v>
      </c>
      <c r="E642" s="19" t="s">
        <v>3352</v>
      </c>
      <c r="F642" s="6" t="s">
        <v>3302</v>
      </c>
      <c r="G642" s="6" t="s">
        <v>3353</v>
      </c>
      <c r="H642" s="6" t="s">
        <v>3292</v>
      </c>
    </row>
    <row r="643" spans="1:8" ht="12.75">
      <c r="A643" s="92">
        <v>2021</v>
      </c>
      <c r="B643" s="18">
        <v>241</v>
      </c>
      <c r="C643" s="77" t="s">
        <v>4390</v>
      </c>
      <c r="D643" s="89">
        <v>44537</v>
      </c>
      <c r="E643" s="19" t="s">
        <v>4391</v>
      </c>
      <c r="F643" s="6" t="s">
        <v>4392</v>
      </c>
      <c r="G643" s="6" t="s">
        <v>3409</v>
      </c>
      <c r="H643" s="6" t="s">
        <v>3288</v>
      </c>
    </row>
    <row r="644" spans="1:8" ht="12.75">
      <c r="A644" s="92">
        <v>2021</v>
      </c>
      <c r="B644" s="18">
        <v>241</v>
      </c>
      <c r="C644" s="77" t="s">
        <v>4390</v>
      </c>
      <c r="D644" s="89">
        <v>44537</v>
      </c>
      <c r="E644" s="19" t="s">
        <v>4393</v>
      </c>
      <c r="F644" s="6" t="s">
        <v>4394</v>
      </c>
      <c r="G644" s="6" t="s">
        <v>3409</v>
      </c>
      <c r="H644" s="6" t="s">
        <v>3288</v>
      </c>
    </row>
    <row r="645" spans="1:8" ht="12.75">
      <c r="A645" s="92">
        <v>2021</v>
      </c>
      <c r="B645" s="18">
        <v>241</v>
      </c>
      <c r="C645" s="77" t="s">
        <v>4390</v>
      </c>
      <c r="D645" s="89">
        <v>44537</v>
      </c>
      <c r="E645" s="19" t="s">
        <v>4395</v>
      </c>
      <c r="F645" s="6" t="s">
        <v>4396</v>
      </c>
      <c r="G645" s="6" t="s">
        <v>3409</v>
      </c>
      <c r="H645" s="6" t="s">
        <v>3288</v>
      </c>
    </row>
    <row r="646" spans="1:8" ht="12.75">
      <c r="A646" s="92">
        <v>2021</v>
      </c>
      <c r="B646" s="18">
        <v>241</v>
      </c>
      <c r="C646" s="87" t="s">
        <v>4390</v>
      </c>
      <c r="D646" s="89">
        <v>44537</v>
      </c>
      <c r="E646" s="19" t="s">
        <v>4397</v>
      </c>
      <c r="F646" s="6" t="s">
        <v>4398</v>
      </c>
      <c r="G646" s="6" t="s">
        <v>3409</v>
      </c>
      <c r="H646" s="6" t="s">
        <v>3288</v>
      </c>
    </row>
    <row r="647" spans="1:8" ht="12.75">
      <c r="A647" s="92">
        <v>2021</v>
      </c>
      <c r="B647" s="18">
        <v>241</v>
      </c>
      <c r="C647" s="87" t="s">
        <v>4390</v>
      </c>
      <c r="D647" s="89">
        <v>44537</v>
      </c>
      <c r="E647" s="19" t="s">
        <v>3412</v>
      </c>
      <c r="F647" s="6" t="s">
        <v>3413</v>
      </c>
      <c r="G647" s="6" t="s">
        <v>3409</v>
      </c>
      <c r="H647" s="6" t="s">
        <v>3288</v>
      </c>
    </row>
    <row r="648" spans="1:8" ht="12.75">
      <c r="A648" s="92">
        <v>2021</v>
      </c>
      <c r="B648" s="18">
        <v>241</v>
      </c>
      <c r="C648" s="87" t="s">
        <v>4390</v>
      </c>
      <c r="D648" s="89">
        <v>44537</v>
      </c>
      <c r="E648" s="19" t="s">
        <v>4399</v>
      </c>
      <c r="F648" s="6" t="s">
        <v>4400</v>
      </c>
      <c r="G648" s="6" t="s">
        <v>3409</v>
      </c>
      <c r="H648" s="6" t="s">
        <v>3288</v>
      </c>
    </row>
    <row r="649" spans="1:8" ht="12.75">
      <c r="A649" s="92">
        <v>2021</v>
      </c>
      <c r="B649" s="18">
        <v>241</v>
      </c>
      <c r="C649" s="87" t="s">
        <v>4390</v>
      </c>
      <c r="D649" s="89">
        <v>44537</v>
      </c>
      <c r="E649" s="19" t="s">
        <v>4401</v>
      </c>
      <c r="F649" s="6" t="s">
        <v>4402</v>
      </c>
      <c r="G649" s="6" t="s">
        <v>3409</v>
      </c>
      <c r="H649" s="6" t="s">
        <v>3288</v>
      </c>
    </row>
    <row r="650" spans="1:8" ht="12.75">
      <c r="A650" s="92">
        <v>2021</v>
      </c>
      <c r="B650" s="18">
        <v>242</v>
      </c>
      <c r="C650" s="87" t="s">
        <v>4390</v>
      </c>
      <c r="D650" s="89">
        <v>44539</v>
      </c>
      <c r="E650" s="19" t="s">
        <v>4391</v>
      </c>
      <c r="F650" s="6" t="s">
        <v>4392</v>
      </c>
      <c r="G650" s="6" t="s">
        <v>3409</v>
      </c>
      <c r="H650" s="6" t="s">
        <v>3288</v>
      </c>
    </row>
    <row r="651" spans="1:8" ht="12.75">
      <c r="A651" s="92">
        <v>2021</v>
      </c>
      <c r="B651" s="18">
        <v>242</v>
      </c>
      <c r="C651" s="87" t="s">
        <v>4390</v>
      </c>
      <c r="D651" s="89">
        <v>44539</v>
      </c>
      <c r="E651" s="19" t="s">
        <v>4393</v>
      </c>
      <c r="F651" s="6" t="s">
        <v>4394</v>
      </c>
      <c r="G651" s="6" t="s">
        <v>3409</v>
      </c>
      <c r="H651" s="6" t="s">
        <v>3288</v>
      </c>
    </row>
    <row r="652" spans="1:8" ht="12.75">
      <c r="A652" s="92">
        <v>2021</v>
      </c>
      <c r="B652" s="18">
        <v>242</v>
      </c>
      <c r="C652" s="87" t="s">
        <v>4390</v>
      </c>
      <c r="D652" s="89">
        <v>44539</v>
      </c>
      <c r="E652" s="19" t="s">
        <v>4395</v>
      </c>
      <c r="F652" s="6" t="s">
        <v>4396</v>
      </c>
      <c r="G652" s="6" t="s">
        <v>3409</v>
      </c>
      <c r="H652" s="6" t="s">
        <v>3288</v>
      </c>
    </row>
    <row r="653" spans="1:8" ht="12.75">
      <c r="A653" s="92">
        <v>2021</v>
      </c>
      <c r="B653" s="18">
        <v>242</v>
      </c>
      <c r="C653" s="87" t="s">
        <v>4390</v>
      </c>
      <c r="D653" s="89">
        <v>44539</v>
      </c>
      <c r="E653" s="19" t="s">
        <v>4397</v>
      </c>
      <c r="F653" s="6" t="s">
        <v>4398</v>
      </c>
      <c r="G653" s="6" t="s">
        <v>3409</v>
      </c>
      <c r="H653" s="6" t="s">
        <v>3288</v>
      </c>
    </row>
    <row r="654" spans="1:8" ht="12.75">
      <c r="A654" s="92">
        <v>2021</v>
      </c>
      <c r="B654" s="18">
        <v>242</v>
      </c>
      <c r="C654" s="87" t="s">
        <v>4390</v>
      </c>
      <c r="D654" s="89">
        <v>44539</v>
      </c>
      <c r="E654" s="19" t="s">
        <v>3412</v>
      </c>
      <c r="F654" s="6" t="s">
        <v>3413</v>
      </c>
      <c r="G654" s="6" t="s">
        <v>3409</v>
      </c>
      <c r="H654" s="6" t="s">
        <v>3288</v>
      </c>
    </row>
    <row r="655" spans="1:8" ht="12.75">
      <c r="A655" s="92">
        <v>2021</v>
      </c>
      <c r="B655" s="18">
        <v>242</v>
      </c>
      <c r="C655" s="87" t="s">
        <v>4390</v>
      </c>
      <c r="D655" s="89">
        <v>44539</v>
      </c>
      <c r="E655" s="19" t="s">
        <v>4399</v>
      </c>
      <c r="F655" s="6" t="s">
        <v>4400</v>
      </c>
      <c r="G655" s="6" t="s">
        <v>3409</v>
      </c>
      <c r="H655" s="6" t="s">
        <v>3288</v>
      </c>
    </row>
    <row r="656" spans="1:8" ht="12.75">
      <c r="A656" s="92">
        <v>2021</v>
      </c>
      <c r="B656" s="18">
        <v>242</v>
      </c>
      <c r="C656" s="87" t="s">
        <v>4390</v>
      </c>
      <c r="D656" s="89">
        <v>44539</v>
      </c>
      <c r="E656" s="19" t="s">
        <v>4401</v>
      </c>
      <c r="F656" s="6" t="s">
        <v>4402</v>
      </c>
      <c r="G656" s="6" t="s">
        <v>3409</v>
      </c>
      <c r="H656" s="6" t="s">
        <v>3288</v>
      </c>
    </row>
    <row r="657" spans="1:8" ht="12.75">
      <c r="A657" s="92">
        <v>2021</v>
      </c>
      <c r="B657" s="18">
        <v>244</v>
      </c>
      <c r="C657" s="87" t="s">
        <v>1825</v>
      </c>
      <c r="D657" s="89">
        <v>44544</v>
      </c>
      <c r="E657" s="19" t="s">
        <v>4403</v>
      </c>
      <c r="F657" s="6" t="s">
        <v>4404</v>
      </c>
      <c r="G657" s="6" t="s">
        <v>3311</v>
      </c>
      <c r="H657" s="6" t="s">
        <v>3292</v>
      </c>
    </row>
    <row r="658" spans="1:8" ht="12.75">
      <c r="A658" s="92">
        <v>2021</v>
      </c>
      <c r="B658" s="18">
        <v>244</v>
      </c>
      <c r="C658" s="87" t="s">
        <v>1825</v>
      </c>
      <c r="D658" s="89">
        <v>44544</v>
      </c>
      <c r="E658" s="19" t="s">
        <v>4405</v>
      </c>
      <c r="F658" s="6" t="s">
        <v>4406</v>
      </c>
      <c r="G658" s="6" t="s">
        <v>3311</v>
      </c>
      <c r="H658" s="6" t="s">
        <v>3292</v>
      </c>
    </row>
    <row r="659" spans="1:8" ht="12.75">
      <c r="A659" s="92">
        <v>2021</v>
      </c>
      <c r="B659" s="18">
        <v>245</v>
      </c>
      <c r="C659" s="88" t="s">
        <v>41</v>
      </c>
      <c r="D659" s="89">
        <v>44544</v>
      </c>
      <c r="E659" s="19" t="s">
        <v>4407</v>
      </c>
      <c r="F659" s="6" t="s">
        <v>4408</v>
      </c>
      <c r="G659" s="6" t="s">
        <v>1319</v>
      </c>
      <c r="H659" s="6" t="s">
        <v>3288</v>
      </c>
    </row>
    <row r="660" spans="1:8" ht="12.75">
      <c r="A660" s="92">
        <v>2021</v>
      </c>
      <c r="B660" s="18">
        <v>245</v>
      </c>
      <c r="C660" s="70" t="s">
        <v>41</v>
      </c>
      <c r="D660" s="89">
        <v>44544</v>
      </c>
      <c r="E660" s="19" t="s">
        <v>4409</v>
      </c>
      <c r="F660" s="6" t="s">
        <v>4410</v>
      </c>
      <c r="G660" s="6" t="s">
        <v>4411</v>
      </c>
      <c r="H660" s="6" t="s">
        <v>3292</v>
      </c>
    </row>
    <row r="661" spans="1:8" ht="12.75">
      <c r="A661" s="92">
        <v>2021</v>
      </c>
      <c r="B661" s="18">
        <v>245</v>
      </c>
      <c r="C661" s="70" t="s">
        <v>41</v>
      </c>
      <c r="D661" s="89">
        <v>44544</v>
      </c>
      <c r="E661" s="19" t="s">
        <v>4412</v>
      </c>
      <c r="F661" s="6" t="s">
        <v>4413</v>
      </c>
      <c r="G661" s="6" t="s">
        <v>4411</v>
      </c>
      <c r="H661" s="6" t="s">
        <v>3292</v>
      </c>
    </row>
    <row r="662" spans="1:8" ht="12.75">
      <c r="A662" s="92">
        <v>2021</v>
      </c>
      <c r="B662" s="18">
        <v>246</v>
      </c>
      <c r="C662" s="77" t="s">
        <v>1850</v>
      </c>
      <c r="D662" s="89">
        <v>44546</v>
      </c>
      <c r="E662" s="19" t="s">
        <v>4414</v>
      </c>
      <c r="F662" s="6" t="s">
        <v>4415</v>
      </c>
      <c r="G662" s="6" t="s">
        <v>3389</v>
      </c>
      <c r="H662" s="6" t="s">
        <v>3288</v>
      </c>
    </row>
    <row r="663" spans="1:8" ht="12.75">
      <c r="A663" s="92">
        <v>2021</v>
      </c>
      <c r="B663" s="18">
        <v>251</v>
      </c>
      <c r="C663" s="77" t="s">
        <v>98</v>
      </c>
      <c r="D663" s="89">
        <v>44551</v>
      </c>
      <c r="E663" s="19" t="s">
        <v>4416</v>
      </c>
      <c r="F663" s="6" t="s">
        <v>4417</v>
      </c>
      <c r="G663" s="6" t="s">
        <v>3710</v>
      </c>
      <c r="H663" s="6" t="s">
        <v>3288</v>
      </c>
    </row>
    <row r="664" spans="1:8" ht="12.75">
      <c r="A664" s="92">
        <v>2021</v>
      </c>
      <c r="B664" s="18">
        <v>251</v>
      </c>
      <c r="C664" s="77" t="s">
        <v>98</v>
      </c>
      <c r="D664" s="89">
        <v>44551</v>
      </c>
      <c r="E664" s="19" t="s">
        <v>4418</v>
      </c>
      <c r="F664" s="6" t="s">
        <v>4419</v>
      </c>
      <c r="G664" s="6" t="s">
        <v>3993</v>
      </c>
      <c r="H664" s="6" t="s">
        <v>3513</v>
      </c>
    </row>
    <row r="665" spans="1:8" ht="12.75">
      <c r="A665" s="92">
        <v>2021</v>
      </c>
      <c r="B665" s="18">
        <v>252</v>
      </c>
      <c r="C665" s="77" t="s">
        <v>1938</v>
      </c>
      <c r="D665" s="89">
        <v>44552</v>
      </c>
      <c r="E665" s="19" t="s">
        <v>3853</v>
      </c>
      <c r="F665" s="6" t="s">
        <v>3854</v>
      </c>
      <c r="G665" s="6" t="s">
        <v>3309</v>
      </c>
      <c r="H665" s="6" t="s">
        <v>3292</v>
      </c>
    </row>
    <row r="666" spans="1:8" ht="12.75">
      <c r="A666" s="92">
        <v>2021</v>
      </c>
      <c r="B666" s="18">
        <v>252</v>
      </c>
      <c r="C666" s="77" t="s">
        <v>1938</v>
      </c>
      <c r="D666" s="89">
        <v>44552</v>
      </c>
      <c r="E666" s="19" t="s">
        <v>3994</v>
      </c>
      <c r="F666" s="6" t="s">
        <v>3995</v>
      </c>
      <c r="G666" s="6" t="s">
        <v>3309</v>
      </c>
      <c r="H666" s="6" t="s">
        <v>3292</v>
      </c>
    </row>
    <row r="667" spans="1:8" ht="12.75">
      <c r="A667" s="92">
        <v>2021</v>
      </c>
      <c r="B667" s="18">
        <v>258</v>
      </c>
      <c r="C667" s="70" t="s">
        <v>190</v>
      </c>
      <c r="D667" s="89">
        <v>44559</v>
      </c>
      <c r="E667" s="19" t="s">
        <v>4134</v>
      </c>
      <c r="F667" s="6" t="s">
        <v>4135</v>
      </c>
      <c r="G667" s="6" t="s">
        <v>3306</v>
      </c>
      <c r="H667" s="6" t="s">
        <v>3292</v>
      </c>
    </row>
    <row r="668" spans="1:8" ht="15.75" customHeight="1">
      <c r="A668" s="92">
        <v>2021</v>
      </c>
      <c r="B668" s="18">
        <v>258</v>
      </c>
      <c r="C668" s="70" t="s">
        <v>190</v>
      </c>
      <c r="D668" s="89">
        <v>44559</v>
      </c>
      <c r="E668" s="93" t="s">
        <v>4136</v>
      </c>
      <c r="F668" s="6" t="s">
        <v>4137</v>
      </c>
      <c r="G668" s="94" t="s">
        <v>3306</v>
      </c>
      <c r="H668" s="94" t="s">
        <v>3292</v>
      </c>
    </row>
    <row r="669" spans="1:8" ht="15.75" customHeight="1">
      <c r="A669" s="92">
        <v>2021</v>
      </c>
      <c r="B669" s="18">
        <v>258</v>
      </c>
      <c r="C669" s="70" t="s">
        <v>190</v>
      </c>
      <c r="D669" s="89">
        <v>44559</v>
      </c>
      <c r="E669" s="93" t="s">
        <v>3375</v>
      </c>
      <c r="F669" s="6" t="s">
        <v>3403</v>
      </c>
      <c r="G669" s="94" t="s">
        <v>3306</v>
      </c>
      <c r="H669" s="94" t="s">
        <v>3292</v>
      </c>
    </row>
    <row r="670" spans="1:8" ht="12.75">
      <c r="A670" s="92">
        <v>2021</v>
      </c>
      <c r="B670" s="18">
        <v>258</v>
      </c>
      <c r="C670" s="70" t="s">
        <v>190</v>
      </c>
      <c r="D670" s="89">
        <v>44559</v>
      </c>
      <c r="E670" s="19" t="s">
        <v>4138</v>
      </c>
      <c r="F670" s="6" t="s">
        <v>3688</v>
      </c>
      <c r="G670" s="6" t="s">
        <v>3306</v>
      </c>
      <c r="H670" s="6" t="s">
        <v>3292</v>
      </c>
    </row>
    <row r="671" spans="1:8" ht="12.75">
      <c r="A671" s="18">
        <v>2022</v>
      </c>
      <c r="B671" s="18">
        <v>3</v>
      </c>
      <c r="C671" s="87" t="s">
        <v>1980</v>
      </c>
      <c r="D671" s="95">
        <v>44602</v>
      </c>
      <c r="E671" s="19" t="s">
        <v>3544</v>
      </c>
      <c r="F671" s="6" t="s">
        <v>4420</v>
      </c>
      <c r="G671" s="6" t="s">
        <v>3546</v>
      </c>
      <c r="H671" s="6" t="s">
        <v>3292</v>
      </c>
    </row>
    <row r="672" spans="1:8" ht="12.75">
      <c r="A672" s="18">
        <v>2022</v>
      </c>
      <c r="B672" s="18">
        <v>3</v>
      </c>
      <c r="C672" s="87" t="s">
        <v>1980</v>
      </c>
      <c r="D672" s="95">
        <v>44602</v>
      </c>
      <c r="E672" s="19" t="s">
        <v>4421</v>
      </c>
      <c r="F672" s="6" t="s">
        <v>3548</v>
      </c>
      <c r="G672" s="6" t="s">
        <v>3546</v>
      </c>
      <c r="H672" s="6" t="s">
        <v>3292</v>
      </c>
    </row>
    <row r="673" spans="1:8" ht="12.75">
      <c r="A673" s="18">
        <v>2022</v>
      </c>
      <c r="B673" s="18">
        <v>17</v>
      </c>
      <c r="C673" s="87" t="s">
        <v>39</v>
      </c>
      <c r="D673" s="95">
        <v>44628</v>
      </c>
      <c r="E673" s="19" t="s">
        <v>3684</v>
      </c>
      <c r="F673" s="6" t="s">
        <v>3302</v>
      </c>
      <c r="G673" s="6" t="s">
        <v>3291</v>
      </c>
      <c r="H673" s="6" t="s">
        <v>3292</v>
      </c>
    </row>
    <row r="674" spans="1:8" ht="12.75">
      <c r="A674" s="18">
        <v>2022</v>
      </c>
      <c r="B674" s="18">
        <v>17</v>
      </c>
      <c r="C674" s="87" t="s">
        <v>39</v>
      </c>
      <c r="D674" s="95">
        <v>44628</v>
      </c>
      <c r="E674" s="19" t="s">
        <v>4422</v>
      </c>
      <c r="F674" s="6" t="s">
        <v>4423</v>
      </c>
      <c r="G674" s="6" t="s">
        <v>3291</v>
      </c>
      <c r="H674" s="6" t="s">
        <v>3292</v>
      </c>
    </row>
    <row r="675" spans="1:8" ht="12.75">
      <c r="A675" s="18">
        <v>2022</v>
      </c>
      <c r="B675" s="18">
        <v>17</v>
      </c>
      <c r="C675" s="87" t="s">
        <v>39</v>
      </c>
      <c r="D675" s="95">
        <v>44628</v>
      </c>
      <c r="E675" s="19" t="s">
        <v>4424</v>
      </c>
      <c r="F675" s="6" t="s">
        <v>4425</v>
      </c>
      <c r="G675" s="6" t="s">
        <v>3291</v>
      </c>
      <c r="H675" s="6" t="s">
        <v>3292</v>
      </c>
    </row>
    <row r="676" spans="1:8" ht="12.75">
      <c r="A676" s="18">
        <v>2022</v>
      </c>
      <c r="B676" s="18">
        <v>17</v>
      </c>
      <c r="C676" s="87" t="s">
        <v>39</v>
      </c>
      <c r="D676" s="95">
        <v>44628</v>
      </c>
      <c r="E676" s="19" t="s">
        <v>3952</v>
      </c>
      <c r="F676" s="6" t="s">
        <v>4426</v>
      </c>
      <c r="G676" s="6" t="s">
        <v>3291</v>
      </c>
      <c r="H676" s="6" t="s">
        <v>3292</v>
      </c>
    </row>
    <row r="677" spans="1:8" ht="12.75">
      <c r="A677" s="18">
        <v>2022</v>
      </c>
      <c r="B677" s="18">
        <v>17</v>
      </c>
      <c r="C677" s="87" t="s">
        <v>39</v>
      </c>
      <c r="D677" s="95">
        <v>44628</v>
      </c>
      <c r="E677" s="19" t="s">
        <v>4427</v>
      </c>
      <c r="F677" s="6" t="s">
        <v>4428</v>
      </c>
      <c r="G677" s="6" t="s">
        <v>3291</v>
      </c>
      <c r="H677" s="6" t="s">
        <v>3292</v>
      </c>
    </row>
    <row r="678" spans="1:8" ht="12.75">
      <c r="A678" s="18">
        <v>2022</v>
      </c>
      <c r="B678" s="18">
        <v>17</v>
      </c>
      <c r="C678" s="87" t="s">
        <v>39</v>
      </c>
      <c r="D678" s="95">
        <v>44628</v>
      </c>
      <c r="E678" s="19" t="s">
        <v>3954</v>
      </c>
      <c r="F678" s="6" t="s">
        <v>4429</v>
      </c>
      <c r="G678" s="6" t="s">
        <v>3291</v>
      </c>
      <c r="H678" s="6" t="s">
        <v>3292</v>
      </c>
    </row>
    <row r="679" spans="1:8" ht="12.75">
      <c r="A679" s="18">
        <v>2022</v>
      </c>
      <c r="B679" s="18">
        <v>17</v>
      </c>
      <c r="C679" s="87" t="s">
        <v>39</v>
      </c>
      <c r="D679" s="95">
        <v>44628</v>
      </c>
      <c r="E679" s="19" t="s">
        <v>4430</v>
      </c>
      <c r="F679" s="6" t="s">
        <v>4431</v>
      </c>
      <c r="G679" s="6" t="s">
        <v>3291</v>
      </c>
      <c r="H679" s="6" t="s">
        <v>3292</v>
      </c>
    </row>
    <row r="680" spans="1:8" ht="12.75">
      <c r="A680" s="18">
        <v>2022</v>
      </c>
      <c r="B680" s="18">
        <v>17</v>
      </c>
      <c r="C680" s="87" t="s">
        <v>39</v>
      </c>
      <c r="D680" s="95">
        <v>44628</v>
      </c>
      <c r="E680" s="19" t="s">
        <v>3289</v>
      </c>
      <c r="F680" s="6" t="s">
        <v>3290</v>
      </c>
      <c r="G680" s="6" t="s">
        <v>3291</v>
      </c>
      <c r="H680" s="6" t="s">
        <v>3292</v>
      </c>
    </row>
    <row r="681" spans="1:8" ht="12.75">
      <c r="A681" s="18">
        <v>2022</v>
      </c>
      <c r="B681" s="18">
        <v>17</v>
      </c>
      <c r="C681" s="87" t="s">
        <v>39</v>
      </c>
      <c r="D681" s="95">
        <v>44628</v>
      </c>
      <c r="E681" s="19" t="s">
        <v>4432</v>
      </c>
      <c r="F681" s="6" t="s">
        <v>4433</v>
      </c>
      <c r="G681" s="6" t="s">
        <v>3291</v>
      </c>
      <c r="H681" s="6" t="s">
        <v>3292</v>
      </c>
    </row>
    <row r="682" spans="1:8" ht="12.75">
      <c r="A682" s="18">
        <v>2022</v>
      </c>
      <c r="B682" s="18">
        <v>17</v>
      </c>
      <c r="C682" s="87" t="s">
        <v>39</v>
      </c>
      <c r="D682" s="95">
        <v>44628</v>
      </c>
      <c r="E682" s="19" t="s">
        <v>4434</v>
      </c>
      <c r="F682" s="6" t="s">
        <v>4435</v>
      </c>
      <c r="G682" s="6" t="s">
        <v>3291</v>
      </c>
      <c r="H682" s="6" t="s">
        <v>3292</v>
      </c>
    </row>
    <row r="683" spans="1:8" ht="12.75">
      <c r="A683" s="18">
        <v>2022</v>
      </c>
      <c r="B683" s="18">
        <v>17</v>
      </c>
      <c r="C683" s="87" t="s">
        <v>39</v>
      </c>
      <c r="D683" s="95">
        <v>44628</v>
      </c>
      <c r="E683" s="19" t="s">
        <v>4436</v>
      </c>
      <c r="F683" s="6" t="s">
        <v>4437</v>
      </c>
      <c r="G683" s="6" t="s">
        <v>3291</v>
      </c>
      <c r="H683" s="6" t="s">
        <v>3292</v>
      </c>
    </row>
    <row r="684" spans="1:8" ht="12.75">
      <c r="A684" s="18">
        <v>2022</v>
      </c>
      <c r="B684" s="18">
        <v>17</v>
      </c>
      <c r="C684" s="87" t="s">
        <v>39</v>
      </c>
      <c r="D684" s="95">
        <v>44628</v>
      </c>
      <c r="E684" s="19" t="s">
        <v>3399</v>
      </c>
      <c r="F684" s="6" t="s">
        <v>4438</v>
      </c>
      <c r="G684" s="6" t="s">
        <v>3291</v>
      </c>
      <c r="H684" s="6" t="s">
        <v>3292</v>
      </c>
    </row>
    <row r="685" spans="1:8" ht="12.75">
      <c r="A685" s="18">
        <v>2022</v>
      </c>
      <c r="B685" s="18">
        <v>17</v>
      </c>
      <c r="C685" s="87" t="s">
        <v>39</v>
      </c>
      <c r="D685" s="95">
        <v>44628</v>
      </c>
      <c r="E685" s="19" t="s">
        <v>4439</v>
      </c>
      <c r="F685" s="6" t="s">
        <v>4440</v>
      </c>
      <c r="G685" s="6" t="s">
        <v>3291</v>
      </c>
      <c r="H685" s="6" t="s">
        <v>3292</v>
      </c>
    </row>
    <row r="686" spans="1:8" ht="12.75">
      <c r="A686" s="18">
        <v>2022</v>
      </c>
      <c r="B686" s="18">
        <v>17</v>
      </c>
      <c r="C686" s="87" t="s">
        <v>39</v>
      </c>
      <c r="D686" s="95">
        <v>44628</v>
      </c>
      <c r="E686" s="19" t="s">
        <v>4441</v>
      </c>
      <c r="F686" s="6" t="s">
        <v>4442</v>
      </c>
      <c r="G686" s="6" t="s">
        <v>3291</v>
      </c>
      <c r="H686" s="6" t="s">
        <v>3292</v>
      </c>
    </row>
    <row r="687" spans="1:8" ht="12.75">
      <c r="A687" s="18">
        <v>2022</v>
      </c>
      <c r="B687" s="18">
        <v>17</v>
      </c>
      <c r="C687" s="87" t="s">
        <v>39</v>
      </c>
      <c r="D687" s="95">
        <v>44628</v>
      </c>
      <c r="E687" s="19" t="s">
        <v>4443</v>
      </c>
      <c r="F687" s="6" t="s">
        <v>4444</v>
      </c>
      <c r="G687" s="6" t="s">
        <v>3291</v>
      </c>
      <c r="H687" s="6" t="s">
        <v>3292</v>
      </c>
    </row>
    <row r="688" spans="1:8" ht="12.75">
      <c r="A688" s="18">
        <v>2022</v>
      </c>
      <c r="B688" s="18">
        <v>17</v>
      </c>
      <c r="C688" s="87" t="s">
        <v>39</v>
      </c>
      <c r="D688" s="95">
        <v>44628</v>
      </c>
      <c r="E688" s="19" t="s">
        <v>4445</v>
      </c>
      <c r="F688" s="6" t="s">
        <v>4446</v>
      </c>
      <c r="G688" s="6" t="s">
        <v>3291</v>
      </c>
      <c r="H688" s="6" t="s">
        <v>3292</v>
      </c>
    </row>
    <row r="689" spans="1:8" ht="12.75">
      <c r="A689" s="18">
        <v>2022</v>
      </c>
      <c r="B689" s="18">
        <v>17</v>
      </c>
      <c r="C689" s="87" t="s">
        <v>39</v>
      </c>
      <c r="D689" s="95">
        <v>44628</v>
      </c>
      <c r="E689" s="19" t="s">
        <v>4447</v>
      </c>
      <c r="F689" s="6" t="s">
        <v>4152</v>
      </c>
      <c r="G689" s="6" t="s">
        <v>3291</v>
      </c>
      <c r="H689" s="6" t="s">
        <v>3292</v>
      </c>
    </row>
    <row r="690" spans="1:8" ht="12.75">
      <c r="A690" s="18">
        <v>2022</v>
      </c>
      <c r="B690" s="18">
        <v>17</v>
      </c>
      <c r="C690" s="87" t="s">
        <v>39</v>
      </c>
      <c r="D690" s="95">
        <v>44628</v>
      </c>
      <c r="E690" s="19" t="s">
        <v>3361</v>
      </c>
      <c r="F690" s="6" t="s">
        <v>4448</v>
      </c>
      <c r="G690" s="6" t="s">
        <v>3291</v>
      </c>
      <c r="H690" s="6" t="s">
        <v>3292</v>
      </c>
    </row>
    <row r="691" spans="1:8" ht="12.75">
      <c r="A691" s="18">
        <v>2022</v>
      </c>
      <c r="B691" s="18">
        <v>21</v>
      </c>
      <c r="C691" s="87" t="s">
        <v>51</v>
      </c>
      <c r="D691" s="48">
        <v>44630</v>
      </c>
      <c r="E691" s="19" t="s">
        <v>3312</v>
      </c>
      <c r="F691" s="6" t="s">
        <v>3302</v>
      </c>
      <c r="G691" s="6" t="s">
        <v>3313</v>
      </c>
      <c r="H691" s="6" t="s">
        <v>3292</v>
      </c>
    </row>
    <row r="692" spans="1:8" ht="12.75">
      <c r="A692" s="18">
        <v>2022</v>
      </c>
      <c r="B692" s="18">
        <v>21</v>
      </c>
      <c r="C692" s="87" t="s">
        <v>51</v>
      </c>
      <c r="D692" s="48">
        <v>44630</v>
      </c>
      <c r="E692" s="19" t="s">
        <v>3844</v>
      </c>
      <c r="F692" s="6" t="s">
        <v>4449</v>
      </c>
      <c r="G692" s="6" t="s">
        <v>3313</v>
      </c>
      <c r="H692" s="6" t="s">
        <v>3292</v>
      </c>
    </row>
    <row r="693" spans="1:8" ht="12.75">
      <c r="A693" s="18">
        <v>2022</v>
      </c>
      <c r="B693" s="18">
        <v>21</v>
      </c>
      <c r="C693" s="87" t="s">
        <v>51</v>
      </c>
      <c r="D693" s="48">
        <v>44630</v>
      </c>
      <c r="E693" s="19" t="s">
        <v>3846</v>
      </c>
      <c r="F693" s="6" t="s">
        <v>3355</v>
      </c>
      <c r="G693" s="6" t="s">
        <v>3313</v>
      </c>
      <c r="H693" s="6" t="s">
        <v>3292</v>
      </c>
    </row>
    <row r="694" spans="1:8" ht="12.75">
      <c r="A694" s="18">
        <v>2022</v>
      </c>
      <c r="B694" s="18">
        <v>21</v>
      </c>
      <c r="C694" s="87" t="s">
        <v>51</v>
      </c>
      <c r="D694" s="48">
        <v>44630</v>
      </c>
      <c r="E694" s="19" t="s">
        <v>4450</v>
      </c>
      <c r="F694" s="6" t="s">
        <v>4451</v>
      </c>
      <c r="G694" s="6" t="s">
        <v>3313</v>
      </c>
      <c r="H694" s="6" t="s">
        <v>3292</v>
      </c>
    </row>
    <row r="695" spans="1:8" ht="12.75">
      <c r="A695" s="18">
        <v>2022</v>
      </c>
      <c r="B695" s="18">
        <v>21</v>
      </c>
      <c r="C695" s="87" t="s">
        <v>51</v>
      </c>
      <c r="D695" s="48">
        <v>44630</v>
      </c>
      <c r="E695" s="19" t="s">
        <v>4452</v>
      </c>
      <c r="F695" s="6" t="s">
        <v>4453</v>
      </c>
      <c r="G695" s="6" t="s">
        <v>3313</v>
      </c>
      <c r="H695" s="6" t="s">
        <v>3292</v>
      </c>
    </row>
    <row r="696" spans="1:8" ht="12.75">
      <c r="A696" s="18">
        <v>2022</v>
      </c>
      <c r="B696" s="18">
        <v>22</v>
      </c>
      <c r="C696" s="87" t="s">
        <v>2064</v>
      </c>
      <c r="D696" s="48">
        <v>44630</v>
      </c>
      <c r="E696" s="19" t="s">
        <v>3361</v>
      </c>
      <c r="F696" s="6" t="s">
        <v>4448</v>
      </c>
      <c r="G696" s="6" t="s">
        <v>3291</v>
      </c>
      <c r="H696" s="6" t="s">
        <v>3292</v>
      </c>
    </row>
    <row r="697" spans="1:8" ht="12.75">
      <c r="A697" s="18">
        <v>2022</v>
      </c>
      <c r="B697" s="18">
        <v>24</v>
      </c>
      <c r="C697" s="87" t="s">
        <v>2074</v>
      </c>
      <c r="D697" s="48">
        <v>44635</v>
      </c>
      <c r="E697" s="19" t="s">
        <v>4454</v>
      </c>
      <c r="F697" s="6" t="s">
        <v>4455</v>
      </c>
      <c r="G697" s="6" t="s">
        <v>3328</v>
      </c>
      <c r="H697" s="6" t="s">
        <v>3292</v>
      </c>
    </row>
    <row r="698" spans="1:8" ht="12.75">
      <c r="A698" s="18">
        <v>2022</v>
      </c>
      <c r="B698" s="18">
        <v>28</v>
      </c>
      <c r="C698" s="87" t="s">
        <v>3644</v>
      </c>
      <c r="D698" s="48">
        <v>44637</v>
      </c>
      <c r="E698" s="19" t="s">
        <v>4456</v>
      </c>
      <c r="F698" s="6" t="s">
        <v>3302</v>
      </c>
      <c r="G698" s="6" t="s">
        <v>3720</v>
      </c>
      <c r="H698" s="6" t="s">
        <v>3292</v>
      </c>
    </row>
    <row r="699" spans="1:8" ht="12.75">
      <c r="A699" s="18">
        <v>2022</v>
      </c>
      <c r="B699" s="18">
        <v>28</v>
      </c>
      <c r="C699" s="87" t="s">
        <v>3644</v>
      </c>
      <c r="D699" s="48">
        <v>44637</v>
      </c>
      <c r="E699" s="19" t="s">
        <v>4457</v>
      </c>
      <c r="F699" s="6" t="s">
        <v>4458</v>
      </c>
      <c r="G699" s="6" t="s">
        <v>3720</v>
      </c>
      <c r="H699" s="6" t="s">
        <v>3292</v>
      </c>
    </row>
    <row r="700" spans="1:8" ht="12.75">
      <c r="A700" s="18">
        <v>2022</v>
      </c>
      <c r="B700" s="18">
        <v>28</v>
      </c>
      <c r="C700" s="87" t="s">
        <v>3644</v>
      </c>
      <c r="D700" s="48">
        <v>44637</v>
      </c>
      <c r="E700" s="19" t="s">
        <v>4459</v>
      </c>
      <c r="F700" s="6" t="s">
        <v>4460</v>
      </c>
      <c r="G700" s="6" t="s">
        <v>3720</v>
      </c>
      <c r="H700" s="6" t="s">
        <v>3292</v>
      </c>
    </row>
    <row r="701" spans="1:8" ht="12.75">
      <c r="A701" s="18">
        <v>2022</v>
      </c>
      <c r="B701" s="18">
        <v>28</v>
      </c>
      <c r="C701" s="87" t="s">
        <v>3644</v>
      </c>
      <c r="D701" s="48">
        <v>44637</v>
      </c>
      <c r="E701" s="19" t="s">
        <v>4325</v>
      </c>
      <c r="F701" s="6" t="s">
        <v>4461</v>
      </c>
      <c r="G701" s="6" t="s">
        <v>3720</v>
      </c>
      <c r="H701" s="6" t="s">
        <v>3292</v>
      </c>
    </row>
    <row r="702" spans="1:8" ht="12.75">
      <c r="A702" s="18">
        <v>2022</v>
      </c>
      <c r="B702" s="18">
        <v>30</v>
      </c>
      <c r="C702" s="87" t="s">
        <v>73</v>
      </c>
      <c r="D702" s="48">
        <v>44637</v>
      </c>
      <c r="E702" s="19" t="s">
        <v>4462</v>
      </c>
      <c r="F702" s="6" t="s">
        <v>3305</v>
      </c>
      <c r="G702" s="6" t="s">
        <v>3306</v>
      </c>
      <c r="H702" s="6" t="s">
        <v>3292</v>
      </c>
    </row>
    <row r="703" spans="1:8" ht="12.75">
      <c r="A703" s="18">
        <v>2022</v>
      </c>
      <c r="B703" s="18">
        <v>36</v>
      </c>
      <c r="C703" s="87" t="s">
        <v>148</v>
      </c>
      <c r="D703" s="48">
        <v>44651</v>
      </c>
      <c r="E703" s="19" t="s">
        <v>3329</v>
      </c>
      <c r="F703" s="6" t="s">
        <v>4463</v>
      </c>
      <c r="G703" s="6" t="s">
        <v>3309</v>
      </c>
      <c r="H703" s="6" t="s">
        <v>3292</v>
      </c>
    </row>
    <row r="704" spans="1:8" ht="12.75">
      <c r="A704" s="18">
        <v>2022</v>
      </c>
      <c r="B704" s="18">
        <v>37</v>
      </c>
      <c r="C704" s="87" t="s">
        <v>73</v>
      </c>
      <c r="D704" s="48">
        <v>44651</v>
      </c>
      <c r="E704" s="19" t="s">
        <v>3544</v>
      </c>
      <c r="F704" s="6" t="s">
        <v>4420</v>
      </c>
      <c r="G704" s="6" t="s">
        <v>3546</v>
      </c>
      <c r="H704" s="6" t="s">
        <v>3292</v>
      </c>
    </row>
    <row r="705" spans="1:8" ht="12.75">
      <c r="A705" s="18">
        <v>2022</v>
      </c>
      <c r="B705" s="18">
        <v>37</v>
      </c>
      <c r="C705" s="87" t="s">
        <v>73</v>
      </c>
      <c r="D705" s="48">
        <v>44651</v>
      </c>
      <c r="E705" s="19" t="s">
        <v>4421</v>
      </c>
      <c r="F705" s="6" t="s">
        <v>3548</v>
      </c>
      <c r="G705" s="6" t="s">
        <v>3546</v>
      </c>
      <c r="H705" s="6" t="s">
        <v>3292</v>
      </c>
    </row>
    <row r="706" spans="1:8" ht="12.75">
      <c r="A706" s="18">
        <v>2022</v>
      </c>
      <c r="B706" s="18">
        <v>38</v>
      </c>
      <c r="C706" s="87" t="s">
        <v>51</v>
      </c>
      <c r="D706" s="48">
        <v>44651</v>
      </c>
      <c r="E706" s="19" t="s">
        <v>4464</v>
      </c>
      <c r="F706" s="6" t="s">
        <v>4465</v>
      </c>
      <c r="G706" s="6" t="s">
        <v>4095</v>
      </c>
      <c r="H706" s="6" t="s">
        <v>3292</v>
      </c>
    </row>
    <row r="707" spans="1:8" ht="12.75">
      <c r="A707" s="18">
        <v>2022</v>
      </c>
      <c r="B707" s="18">
        <v>40</v>
      </c>
      <c r="C707" s="87" t="s">
        <v>39</v>
      </c>
      <c r="D707" s="48">
        <v>44656</v>
      </c>
      <c r="E707" s="19" t="s">
        <v>3483</v>
      </c>
      <c r="F707" s="6" t="s">
        <v>4466</v>
      </c>
      <c r="G707" s="6" t="s">
        <v>3291</v>
      </c>
      <c r="H707" s="6" t="s">
        <v>3292</v>
      </c>
    </row>
    <row r="708" spans="1:8" ht="12.75">
      <c r="A708" s="18">
        <v>2022</v>
      </c>
      <c r="B708" s="18">
        <v>40</v>
      </c>
      <c r="C708" s="87" t="s">
        <v>39</v>
      </c>
      <c r="D708" s="48">
        <v>44656</v>
      </c>
      <c r="E708" s="19" t="s">
        <v>4467</v>
      </c>
      <c r="F708" s="6" t="s">
        <v>4468</v>
      </c>
      <c r="G708" s="6" t="s">
        <v>3291</v>
      </c>
      <c r="H708" s="6" t="s">
        <v>3292</v>
      </c>
    </row>
    <row r="709" spans="1:8" ht="12.75">
      <c r="A709" s="18">
        <v>2022</v>
      </c>
      <c r="B709" s="18">
        <v>40</v>
      </c>
      <c r="C709" s="87" t="s">
        <v>39</v>
      </c>
      <c r="D709" s="48">
        <v>44656</v>
      </c>
      <c r="E709" s="19" t="s">
        <v>4469</v>
      </c>
      <c r="F709" s="6" t="s">
        <v>4470</v>
      </c>
      <c r="G709" s="6" t="s">
        <v>3291</v>
      </c>
      <c r="H709" s="6" t="s">
        <v>3292</v>
      </c>
    </row>
    <row r="710" spans="1:8" ht="12.75">
      <c r="A710" s="18">
        <v>2022</v>
      </c>
      <c r="B710" s="18">
        <v>40</v>
      </c>
      <c r="C710" s="87" t="s">
        <v>39</v>
      </c>
      <c r="D710" s="48">
        <v>44656</v>
      </c>
      <c r="E710" s="19" t="s">
        <v>4471</v>
      </c>
      <c r="F710" s="6" t="s">
        <v>4472</v>
      </c>
      <c r="G710" s="6" t="s">
        <v>3291</v>
      </c>
      <c r="H710" s="6" t="s">
        <v>3292</v>
      </c>
    </row>
    <row r="711" spans="1:8" ht="12.75">
      <c r="A711" s="18">
        <v>2022</v>
      </c>
      <c r="B711" s="18">
        <v>40</v>
      </c>
      <c r="C711" s="87" t="s">
        <v>39</v>
      </c>
      <c r="D711" s="48">
        <v>44656</v>
      </c>
      <c r="E711" s="19" t="s">
        <v>4473</v>
      </c>
      <c r="F711" s="6" t="s">
        <v>4474</v>
      </c>
      <c r="G711" s="6" t="s">
        <v>3291</v>
      </c>
      <c r="H711" s="6" t="s">
        <v>3292</v>
      </c>
    </row>
    <row r="712" spans="1:8" ht="12.75">
      <c r="A712" s="18">
        <v>2022</v>
      </c>
      <c r="B712" s="18">
        <v>43</v>
      </c>
      <c r="C712" s="87" t="s">
        <v>370</v>
      </c>
      <c r="D712" s="48">
        <v>44658</v>
      </c>
      <c r="E712" s="19" t="s">
        <v>3307</v>
      </c>
      <c r="F712" s="6" t="s">
        <v>3308</v>
      </c>
      <c r="G712" s="6" t="s">
        <v>3876</v>
      </c>
      <c r="H712" s="6" t="s">
        <v>3292</v>
      </c>
    </row>
    <row r="713" spans="1:8" ht="12.75">
      <c r="A713" s="18">
        <v>2022</v>
      </c>
      <c r="B713" s="18">
        <v>43</v>
      </c>
      <c r="C713" s="87" t="s">
        <v>370</v>
      </c>
      <c r="D713" s="48">
        <v>44658</v>
      </c>
      <c r="E713" s="19" t="s">
        <v>3342</v>
      </c>
      <c r="F713" s="6" t="s">
        <v>4096</v>
      </c>
      <c r="G713" s="6" t="s">
        <v>3876</v>
      </c>
      <c r="H713" s="6" t="s">
        <v>3292</v>
      </c>
    </row>
    <row r="714" spans="1:8" ht="12.75">
      <c r="A714" s="18">
        <v>2022</v>
      </c>
      <c r="B714" s="18">
        <v>43</v>
      </c>
      <c r="C714" s="87" t="s">
        <v>370</v>
      </c>
      <c r="D714" s="48">
        <v>44658</v>
      </c>
      <c r="E714" s="19" t="s">
        <v>4475</v>
      </c>
      <c r="F714" s="6" t="s">
        <v>4476</v>
      </c>
      <c r="G714" s="6" t="s">
        <v>3876</v>
      </c>
      <c r="H714" s="6" t="s">
        <v>3292</v>
      </c>
    </row>
    <row r="715" spans="1:8" ht="12.75">
      <c r="A715" s="18">
        <v>2022</v>
      </c>
      <c r="B715" s="18">
        <v>43</v>
      </c>
      <c r="C715" s="87" t="s">
        <v>370</v>
      </c>
      <c r="D715" s="48">
        <v>44658</v>
      </c>
      <c r="E715" s="19" t="s">
        <v>4477</v>
      </c>
      <c r="F715" s="6" t="s">
        <v>4478</v>
      </c>
      <c r="G715" s="6" t="s">
        <v>3876</v>
      </c>
      <c r="H715" s="6" t="s">
        <v>3292</v>
      </c>
    </row>
    <row r="716" spans="1:8" ht="12.75">
      <c r="A716" s="18">
        <v>2022</v>
      </c>
      <c r="B716" s="18">
        <v>43</v>
      </c>
      <c r="C716" s="87" t="s">
        <v>370</v>
      </c>
      <c r="D716" s="48">
        <v>44658</v>
      </c>
      <c r="E716" s="19" t="s">
        <v>4479</v>
      </c>
      <c r="F716" s="6" t="s">
        <v>4478</v>
      </c>
      <c r="G716" s="6" t="s">
        <v>3876</v>
      </c>
      <c r="H716" s="6" t="s">
        <v>3292</v>
      </c>
    </row>
    <row r="717" spans="1:8" ht="12.75">
      <c r="A717" s="18">
        <v>2022</v>
      </c>
      <c r="B717" s="18">
        <v>46</v>
      </c>
      <c r="C717" s="87" t="s">
        <v>51</v>
      </c>
      <c r="D717" s="48">
        <v>44663</v>
      </c>
      <c r="E717" s="19" t="s">
        <v>4480</v>
      </c>
      <c r="F717" s="6" t="s">
        <v>4481</v>
      </c>
      <c r="G717" s="6" t="s">
        <v>3313</v>
      </c>
      <c r="H717" s="6" t="s">
        <v>3292</v>
      </c>
    </row>
    <row r="718" spans="1:8" ht="12.75">
      <c r="A718" s="18">
        <v>2022</v>
      </c>
      <c r="B718" s="18">
        <v>48</v>
      </c>
      <c r="C718" s="87" t="s">
        <v>1591</v>
      </c>
      <c r="D718" s="48">
        <v>44670</v>
      </c>
      <c r="E718" s="19" t="s">
        <v>4482</v>
      </c>
      <c r="F718" s="6" t="s">
        <v>4483</v>
      </c>
      <c r="G718" s="6" t="s">
        <v>3439</v>
      </c>
      <c r="H718" s="6" t="s">
        <v>3288</v>
      </c>
    </row>
    <row r="719" spans="1:8" ht="12.75">
      <c r="A719" s="18">
        <v>2022</v>
      </c>
      <c r="B719" s="18">
        <v>48</v>
      </c>
      <c r="C719" s="87" t="s">
        <v>1591</v>
      </c>
      <c r="D719" s="48">
        <v>44670</v>
      </c>
      <c r="E719" s="19" t="s">
        <v>4484</v>
      </c>
      <c r="F719" s="6" t="s">
        <v>4485</v>
      </c>
      <c r="G719" s="6" t="s">
        <v>1319</v>
      </c>
      <c r="H719" s="6" t="s">
        <v>3288</v>
      </c>
    </row>
    <row r="720" spans="1:8" ht="12.75">
      <c r="A720" s="18">
        <v>2022</v>
      </c>
      <c r="B720" s="18">
        <v>48</v>
      </c>
      <c r="C720" s="87" t="s">
        <v>1591</v>
      </c>
      <c r="D720" s="48">
        <v>44670</v>
      </c>
      <c r="E720" s="19" t="s">
        <v>4486</v>
      </c>
      <c r="F720" s="6" t="s">
        <v>4487</v>
      </c>
      <c r="G720" s="6" t="s">
        <v>1319</v>
      </c>
      <c r="H720" s="6" t="s">
        <v>3288</v>
      </c>
    </row>
    <row r="721" spans="1:8" ht="12.75">
      <c r="A721" s="18">
        <v>2022</v>
      </c>
      <c r="B721" s="18">
        <v>50</v>
      </c>
      <c r="C721" s="87" t="s">
        <v>2192</v>
      </c>
      <c r="D721" s="48">
        <v>44671</v>
      </c>
      <c r="E721" s="19" t="s">
        <v>4488</v>
      </c>
      <c r="F721" s="6" t="s">
        <v>4489</v>
      </c>
      <c r="G721" s="6" t="s">
        <v>1319</v>
      </c>
      <c r="H721" s="6" t="s">
        <v>3288</v>
      </c>
    </row>
    <row r="722" spans="1:8" ht="12.75">
      <c r="A722" s="18">
        <v>2022</v>
      </c>
      <c r="B722" s="18">
        <v>50</v>
      </c>
      <c r="C722" s="87" t="s">
        <v>2192</v>
      </c>
      <c r="D722" s="48">
        <v>44671</v>
      </c>
      <c r="E722" s="19" t="s">
        <v>4490</v>
      </c>
      <c r="F722" s="6" t="s">
        <v>4491</v>
      </c>
      <c r="G722" s="6" t="s">
        <v>3439</v>
      </c>
      <c r="H722" s="6" t="s">
        <v>3288</v>
      </c>
    </row>
    <row r="723" spans="1:8" ht="12.75">
      <c r="A723" s="18">
        <v>2022</v>
      </c>
      <c r="B723" s="18">
        <v>51</v>
      </c>
      <c r="C723" s="87" t="s">
        <v>1980</v>
      </c>
      <c r="D723" s="48">
        <v>44672</v>
      </c>
      <c r="E723" s="19" t="s">
        <v>3544</v>
      </c>
      <c r="F723" s="6" t="s">
        <v>4420</v>
      </c>
      <c r="G723" s="6" t="s">
        <v>3546</v>
      </c>
      <c r="H723" s="6" t="s">
        <v>3292</v>
      </c>
    </row>
    <row r="724" spans="1:8" ht="12.75">
      <c r="A724" s="18">
        <v>2022</v>
      </c>
      <c r="B724" s="18">
        <v>51</v>
      </c>
      <c r="C724" s="87" t="s">
        <v>1980</v>
      </c>
      <c r="D724" s="48">
        <v>44672</v>
      </c>
      <c r="E724" s="19" t="s">
        <v>4421</v>
      </c>
      <c r="F724" s="6" t="s">
        <v>3548</v>
      </c>
      <c r="G724" s="6" t="s">
        <v>3546</v>
      </c>
      <c r="H724" s="6" t="s">
        <v>3292</v>
      </c>
    </row>
    <row r="725" spans="1:8" ht="12.75">
      <c r="A725" s="18">
        <v>2022</v>
      </c>
      <c r="B725" s="18">
        <v>52</v>
      </c>
      <c r="C725" s="87" t="s">
        <v>1591</v>
      </c>
      <c r="D725" s="48">
        <v>44677</v>
      </c>
      <c r="E725" s="19" t="s">
        <v>4492</v>
      </c>
      <c r="F725" s="6" t="s">
        <v>4493</v>
      </c>
      <c r="G725" s="6" t="s">
        <v>3389</v>
      </c>
      <c r="H725" s="6" t="s">
        <v>3288</v>
      </c>
    </row>
    <row r="726" spans="1:8" ht="12.75">
      <c r="A726" s="18">
        <v>2022</v>
      </c>
      <c r="B726" s="18">
        <v>52</v>
      </c>
      <c r="C726" s="87" t="s">
        <v>1591</v>
      </c>
      <c r="D726" s="48">
        <v>44677</v>
      </c>
      <c r="E726" s="19" t="s">
        <v>4494</v>
      </c>
      <c r="F726" s="6" t="s">
        <v>4495</v>
      </c>
      <c r="G726" s="6" t="s">
        <v>3439</v>
      </c>
      <c r="H726" s="6" t="s">
        <v>3288</v>
      </c>
    </row>
    <row r="727" spans="1:8" ht="12.75">
      <c r="A727" s="18">
        <v>2022</v>
      </c>
      <c r="B727" s="18">
        <v>53</v>
      </c>
      <c r="C727" s="87" t="s">
        <v>39</v>
      </c>
      <c r="D727" s="48">
        <v>44677</v>
      </c>
      <c r="E727" s="19" t="s">
        <v>3363</v>
      </c>
      <c r="F727" s="6" t="s">
        <v>4496</v>
      </c>
      <c r="G727" s="6" t="s">
        <v>3291</v>
      </c>
      <c r="H727" s="6" t="s">
        <v>3292</v>
      </c>
    </row>
    <row r="728" spans="1:8" ht="12.75">
      <c r="A728" s="18">
        <v>2022</v>
      </c>
      <c r="B728" s="18">
        <v>53</v>
      </c>
      <c r="C728" s="87" t="s">
        <v>39</v>
      </c>
      <c r="D728" s="48">
        <v>44677</v>
      </c>
      <c r="E728" s="19" t="s">
        <v>3983</v>
      </c>
      <c r="F728" s="6" t="s">
        <v>4497</v>
      </c>
      <c r="G728" s="6" t="s">
        <v>3291</v>
      </c>
      <c r="H728" s="6" t="s">
        <v>3292</v>
      </c>
    </row>
    <row r="729" spans="1:8" ht="12.75">
      <c r="A729" s="18">
        <v>2022</v>
      </c>
      <c r="B729" s="18">
        <v>53</v>
      </c>
      <c r="C729" s="87" t="s">
        <v>39</v>
      </c>
      <c r="D729" s="48">
        <v>44677</v>
      </c>
      <c r="E729" s="19" t="s">
        <v>4498</v>
      </c>
      <c r="F729" s="6" t="s">
        <v>4499</v>
      </c>
      <c r="G729" s="6" t="s">
        <v>3291</v>
      </c>
      <c r="H729" s="6" t="s">
        <v>3292</v>
      </c>
    </row>
    <row r="730" spans="1:8" ht="12.75">
      <c r="A730" s="18">
        <v>2022</v>
      </c>
      <c r="B730" s="18">
        <v>56</v>
      </c>
      <c r="C730" s="87" t="s">
        <v>47</v>
      </c>
      <c r="D730" s="48">
        <v>44679</v>
      </c>
      <c r="E730" s="19" t="s">
        <v>4500</v>
      </c>
      <c r="F730" s="6" t="s">
        <v>4501</v>
      </c>
      <c r="G730" s="6" t="s">
        <v>4502</v>
      </c>
      <c r="H730" s="6" t="s">
        <v>3567</v>
      </c>
    </row>
    <row r="731" spans="1:8" ht="12.75">
      <c r="A731" s="18">
        <v>2022</v>
      </c>
      <c r="B731" s="18">
        <v>56</v>
      </c>
      <c r="C731" s="87" t="s">
        <v>47</v>
      </c>
      <c r="D731" s="48">
        <v>44679</v>
      </c>
      <c r="E731" s="19" t="s">
        <v>4503</v>
      </c>
      <c r="F731" s="6" t="s">
        <v>4504</v>
      </c>
      <c r="G731" s="6" t="s">
        <v>4502</v>
      </c>
      <c r="H731" s="6" t="s">
        <v>3567</v>
      </c>
    </row>
    <row r="732" spans="1:8" ht="12.75">
      <c r="A732" s="18">
        <v>2022</v>
      </c>
      <c r="B732" s="18">
        <v>58</v>
      </c>
      <c r="C732" s="87" t="s">
        <v>1591</v>
      </c>
      <c r="D732" s="48">
        <v>44684</v>
      </c>
      <c r="E732" s="19" t="s">
        <v>4505</v>
      </c>
      <c r="F732" s="6" t="s">
        <v>4506</v>
      </c>
      <c r="G732" s="6" t="s">
        <v>1319</v>
      </c>
      <c r="H732" s="6" t="s">
        <v>3288</v>
      </c>
    </row>
    <row r="733" spans="1:8" ht="12.75">
      <c r="A733" s="18">
        <v>2022</v>
      </c>
      <c r="B733" s="18">
        <v>58</v>
      </c>
      <c r="C733" s="87" t="s">
        <v>1591</v>
      </c>
      <c r="D733" s="48">
        <v>44684</v>
      </c>
      <c r="E733" s="19" t="s">
        <v>4507</v>
      </c>
      <c r="F733" s="6" t="s">
        <v>4508</v>
      </c>
      <c r="G733" s="6" t="s">
        <v>1319</v>
      </c>
      <c r="H733" s="6" t="s">
        <v>3288</v>
      </c>
    </row>
    <row r="734" spans="1:8" ht="12.75">
      <c r="A734" s="18">
        <v>2022</v>
      </c>
      <c r="B734" s="18">
        <v>58</v>
      </c>
      <c r="C734" s="87" t="s">
        <v>1591</v>
      </c>
      <c r="D734" s="48">
        <v>44684</v>
      </c>
      <c r="E734" s="19" t="s">
        <v>4509</v>
      </c>
      <c r="F734" s="6" t="s">
        <v>4510</v>
      </c>
      <c r="G734" s="6" t="s">
        <v>1319</v>
      </c>
      <c r="H734" s="6" t="s">
        <v>3288</v>
      </c>
    </row>
    <row r="735" spans="1:8" ht="12.75">
      <c r="A735" s="18">
        <v>2022</v>
      </c>
      <c r="B735" s="18">
        <v>59</v>
      </c>
      <c r="C735" s="87" t="s">
        <v>190</v>
      </c>
      <c r="D735" s="48">
        <v>44684</v>
      </c>
      <c r="E735" s="19" t="s">
        <v>3481</v>
      </c>
      <c r="F735" s="6" t="s">
        <v>4511</v>
      </c>
      <c r="G735" s="6" t="s">
        <v>3306</v>
      </c>
      <c r="H735" s="6" t="s">
        <v>3292</v>
      </c>
    </row>
    <row r="736" spans="1:8" ht="12.75">
      <c r="A736" s="18">
        <v>2022</v>
      </c>
      <c r="B736" s="18">
        <v>60</v>
      </c>
      <c r="C736" s="87" t="s">
        <v>2236</v>
      </c>
      <c r="D736" s="48">
        <v>44684</v>
      </c>
      <c r="E736" s="19" t="s">
        <v>3361</v>
      </c>
      <c r="F736" s="6" t="s">
        <v>4448</v>
      </c>
      <c r="G736" s="6" t="s">
        <v>3291</v>
      </c>
      <c r="H736" s="6" t="s">
        <v>3292</v>
      </c>
    </row>
    <row r="737" spans="1:8" ht="12.75">
      <c r="A737" s="18">
        <v>2022</v>
      </c>
      <c r="B737" s="18">
        <v>60</v>
      </c>
      <c r="C737" s="87" t="s">
        <v>2236</v>
      </c>
      <c r="D737" s="48">
        <v>44684</v>
      </c>
      <c r="E737" s="19" t="s">
        <v>4512</v>
      </c>
      <c r="F737" s="6" t="s">
        <v>4513</v>
      </c>
      <c r="G737" s="6" t="s">
        <v>3876</v>
      </c>
      <c r="H737" s="6" t="s">
        <v>3292</v>
      </c>
    </row>
    <row r="738" spans="1:8" ht="12.75">
      <c r="A738" s="18">
        <v>2022</v>
      </c>
      <c r="B738" s="18">
        <v>62</v>
      </c>
      <c r="C738" s="87" t="s">
        <v>73</v>
      </c>
      <c r="D738" s="48">
        <v>44686</v>
      </c>
      <c r="E738" s="19" t="s">
        <v>3321</v>
      </c>
      <c r="F738" s="6" t="s">
        <v>4514</v>
      </c>
      <c r="G738" s="6" t="s">
        <v>3876</v>
      </c>
      <c r="H738" s="6" t="s">
        <v>3292</v>
      </c>
    </row>
    <row r="739" spans="1:8" ht="12.75">
      <c r="A739" s="18">
        <v>2022</v>
      </c>
      <c r="B739" s="18">
        <v>64</v>
      </c>
      <c r="C739" s="87" t="s">
        <v>45</v>
      </c>
      <c r="D739" s="48">
        <v>44691</v>
      </c>
      <c r="E739" s="19" t="s">
        <v>3324</v>
      </c>
      <c r="F739" s="6" t="s">
        <v>3302</v>
      </c>
      <c r="G739" s="6" t="s">
        <v>3325</v>
      </c>
      <c r="H739" s="6" t="s">
        <v>3292</v>
      </c>
    </row>
    <row r="740" spans="1:8" ht="12.75">
      <c r="A740" s="18">
        <v>2022</v>
      </c>
      <c r="B740" s="18">
        <v>67</v>
      </c>
      <c r="C740" s="87" t="s">
        <v>39</v>
      </c>
      <c r="D740" s="48">
        <v>44693</v>
      </c>
      <c r="E740" s="19" t="s">
        <v>3289</v>
      </c>
      <c r="F740" s="6" t="s">
        <v>3290</v>
      </c>
      <c r="G740" s="6" t="s">
        <v>3291</v>
      </c>
      <c r="H740" s="6" t="s">
        <v>3292</v>
      </c>
    </row>
    <row r="741" spans="1:8" ht="12.75">
      <c r="A741" s="18">
        <v>2022</v>
      </c>
      <c r="B741" s="18">
        <v>67</v>
      </c>
      <c r="C741" s="87" t="s">
        <v>39</v>
      </c>
      <c r="D741" s="48">
        <v>44693</v>
      </c>
      <c r="E741" s="19" t="s">
        <v>4515</v>
      </c>
      <c r="F741" s="6" t="s">
        <v>4516</v>
      </c>
      <c r="G741" s="6" t="s">
        <v>3291</v>
      </c>
      <c r="H741" s="6" t="s">
        <v>3292</v>
      </c>
    </row>
    <row r="742" spans="1:8" ht="12.75">
      <c r="A742" s="18">
        <v>2022</v>
      </c>
      <c r="B742" s="18">
        <v>68</v>
      </c>
      <c r="C742" s="87" t="s">
        <v>471</v>
      </c>
      <c r="D742" s="48">
        <v>44693</v>
      </c>
      <c r="E742" s="19" t="s">
        <v>4517</v>
      </c>
      <c r="F742" s="6" t="s">
        <v>4518</v>
      </c>
      <c r="G742" s="6" t="s">
        <v>3973</v>
      </c>
      <c r="H742" s="6" t="s">
        <v>3393</v>
      </c>
    </row>
    <row r="743" spans="1:8" ht="12.75">
      <c r="A743" s="18">
        <v>2022</v>
      </c>
      <c r="B743" s="18">
        <v>69</v>
      </c>
      <c r="C743" s="87" t="s">
        <v>2288</v>
      </c>
      <c r="D743" s="48">
        <v>44698</v>
      </c>
      <c r="E743" s="19" t="s">
        <v>4519</v>
      </c>
      <c r="F743" s="6" t="s">
        <v>3302</v>
      </c>
      <c r="G743" s="6" t="s">
        <v>3306</v>
      </c>
      <c r="H743" s="6" t="s">
        <v>3292</v>
      </c>
    </row>
    <row r="744" spans="1:8" ht="12.75">
      <c r="A744" s="18">
        <v>2022</v>
      </c>
      <c r="B744" s="18">
        <v>69</v>
      </c>
      <c r="C744" s="87" t="s">
        <v>2288</v>
      </c>
      <c r="D744" s="48">
        <v>44698</v>
      </c>
      <c r="E744" s="19" t="s">
        <v>4134</v>
      </c>
      <c r="F744" s="6" t="s">
        <v>4520</v>
      </c>
      <c r="G744" s="6" t="s">
        <v>3306</v>
      </c>
      <c r="H744" s="6" t="s">
        <v>3513</v>
      </c>
    </row>
    <row r="745" spans="1:8" ht="12.75">
      <c r="A745" s="18">
        <v>2022</v>
      </c>
      <c r="B745" s="18">
        <v>69</v>
      </c>
      <c r="C745" s="87" t="s">
        <v>2288</v>
      </c>
      <c r="D745" s="48">
        <v>44698</v>
      </c>
      <c r="E745" s="19" t="s">
        <v>4521</v>
      </c>
      <c r="F745" s="6" t="s">
        <v>3381</v>
      </c>
      <c r="G745" s="6" t="s">
        <v>3306</v>
      </c>
      <c r="H745" s="6" t="s">
        <v>3292</v>
      </c>
    </row>
    <row r="746" spans="1:8" ht="12.75">
      <c r="A746" s="18">
        <v>2022</v>
      </c>
      <c r="B746" s="18">
        <v>69</v>
      </c>
      <c r="C746" s="87" t="s">
        <v>2288</v>
      </c>
      <c r="D746" s="48">
        <v>44698</v>
      </c>
      <c r="E746" s="19" t="s">
        <v>3989</v>
      </c>
      <c r="F746" s="6" t="s">
        <v>3990</v>
      </c>
      <c r="G746" s="6" t="s">
        <v>3306</v>
      </c>
      <c r="H746" s="6" t="s">
        <v>3292</v>
      </c>
    </row>
    <row r="747" spans="1:8" ht="12.75">
      <c r="A747" s="18">
        <v>2022</v>
      </c>
      <c r="B747" s="18">
        <v>70</v>
      </c>
      <c r="C747" s="87" t="s">
        <v>2300</v>
      </c>
      <c r="D747" s="48">
        <v>44700</v>
      </c>
      <c r="E747" s="19" t="s">
        <v>4522</v>
      </c>
      <c r="F747" s="6" t="s">
        <v>4523</v>
      </c>
      <c r="G747" s="6" t="s">
        <v>3446</v>
      </c>
      <c r="H747" s="6" t="s">
        <v>3288</v>
      </c>
    </row>
    <row r="748" spans="1:8" ht="12.75">
      <c r="A748" s="18">
        <v>2022</v>
      </c>
      <c r="B748" s="18">
        <v>72</v>
      </c>
      <c r="C748" s="87" t="s">
        <v>1980</v>
      </c>
      <c r="D748" s="48">
        <v>44700</v>
      </c>
      <c r="E748" s="19" t="s">
        <v>3544</v>
      </c>
      <c r="F748" s="6" t="s">
        <v>4420</v>
      </c>
      <c r="G748" s="6" t="s">
        <v>3546</v>
      </c>
      <c r="H748" s="6" t="s">
        <v>3292</v>
      </c>
    </row>
    <row r="749" spans="1:8" ht="12.75">
      <c r="A749" s="18">
        <v>2022</v>
      </c>
      <c r="B749" s="18">
        <v>72</v>
      </c>
      <c r="C749" s="87" t="s">
        <v>1980</v>
      </c>
      <c r="D749" s="48">
        <v>44700</v>
      </c>
      <c r="E749" s="19" t="s">
        <v>4421</v>
      </c>
      <c r="F749" s="6" t="s">
        <v>3548</v>
      </c>
      <c r="G749" s="6" t="s">
        <v>3546</v>
      </c>
      <c r="H749" s="6" t="s">
        <v>3292</v>
      </c>
    </row>
    <row r="750" spans="1:8" ht="12.75">
      <c r="A750" s="18">
        <v>2022</v>
      </c>
      <c r="B750" s="18">
        <v>73</v>
      </c>
      <c r="C750" s="87" t="s">
        <v>2314</v>
      </c>
      <c r="D750" s="48">
        <v>44705</v>
      </c>
      <c r="E750" s="19" t="s">
        <v>3289</v>
      </c>
      <c r="F750" s="6" t="s">
        <v>3290</v>
      </c>
      <c r="G750" s="6" t="s">
        <v>3291</v>
      </c>
      <c r="H750" s="6" t="s">
        <v>3292</v>
      </c>
    </row>
    <row r="751" spans="1:8" ht="12.75">
      <c r="A751" s="18">
        <v>2022</v>
      </c>
      <c r="B751" s="18">
        <v>76</v>
      </c>
      <c r="C751" s="87" t="s">
        <v>2325</v>
      </c>
      <c r="D751" s="48">
        <v>44707</v>
      </c>
      <c r="E751" s="19" t="s">
        <v>4430</v>
      </c>
      <c r="F751" s="6" t="s">
        <v>4431</v>
      </c>
      <c r="G751" s="6" t="s">
        <v>3291</v>
      </c>
      <c r="H751" s="6" t="s">
        <v>3292</v>
      </c>
    </row>
    <row r="752" spans="1:8" ht="12.75">
      <c r="A752" s="18">
        <v>2022</v>
      </c>
      <c r="B752" s="18">
        <v>76</v>
      </c>
      <c r="C752" s="87" t="s">
        <v>2325</v>
      </c>
      <c r="D752" s="48">
        <v>44707</v>
      </c>
      <c r="E752" s="19" t="s">
        <v>4524</v>
      </c>
      <c r="F752" s="6" t="s">
        <v>4525</v>
      </c>
      <c r="G752" s="6" t="s">
        <v>3291</v>
      </c>
      <c r="H752" s="6" t="s">
        <v>3292</v>
      </c>
    </row>
    <row r="753" spans="1:8" ht="12.75">
      <c r="A753" s="18">
        <v>2022</v>
      </c>
      <c r="B753" s="18">
        <v>76</v>
      </c>
      <c r="C753" s="87" t="s">
        <v>2325</v>
      </c>
      <c r="D753" s="48">
        <v>44707</v>
      </c>
      <c r="E753" s="19" t="s">
        <v>4526</v>
      </c>
      <c r="F753" s="6" t="s">
        <v>4527</v>
      </c>
      <c r="G753" s="6" t="s">
        <v>3291</v>
      </c>
      <c r="H753" s="6" t="s">
        <v>3292</v>
      </c>
    </row>
    <row r="754" spans="1:8" ht="12.75">
      <c r="A754" s="18">
        <v>2022</v>
      </c>
      <c r="B754" s="18">
        <v>76</v>
      </c>
      <c r="C754" s="87" t="s">
        <v>2325</v>
      </c>
      <c r="D754" s="48">
        <v>44707</v>
      </c>
      <c r="E754" s="19" t="s">
        <v>4528</v>
      </c>
      <c r="F754" s="6" t="s">
        <v>4529</v>
      </c>
      <c r="G754" s="6" t="s">
        <v>3291</v>
      </c>
      <c r="H754" s="6" t="s">
        <v>3292</v>
      </c>
    </row>
    <row r="755" spans="1:8" ht="12.75">
      <c r="A755" s="18">
        <v>2022</v>
      </c>
      <c r="B755" s="18">
        <v>83</v>
      </c>
      <c r="C755" s="87" t="s">
        <v>3644</v>
      </c>
      <c r="D755" s="48">
        <v>44719</v>
      </c>
      <c r="E755" s="19" t="s">
        <v>4530</v>
      </c>
      <c r="F755" s="6" t="s">
        <v>4531</v>
      </c>
      <c r="G755" s="6" t="s">
        <v>3720</v>
      </c>
      <c r="H755" s="6" t="s">
        <v>3292</v>
      </c>
    </row>
    <row r="756" spans="1:8" ht="12.75">
      <c r="A756" s="18">
        <v>2022</v>
      </c>
      <c r="B756" s="18">
        <v>83</v>
      </c>
      <c r="C756" s="87" t="s">
        <v>3644</v>
      </c>
      <c r="D756" s="48">
        <v>44719</v>
      </c>
      <c r="E756" s="19" t="s">
        <v>4354</v>
      </c>
      <c r="F756" s="6" t="s">
        <v>4532</v>
      </c>
      <c r="G756" s="6" t="s">
        <v>3720</v>
      </c>
      <c r="H756" s="6" t="s">
        <v>3292</v>
      </c>
    </row>
    <row r="757" spans="1:8" ht="12.75">
      <c r="A757" s="18">
        <v>2022</v>
      </c>
      <c r="B757" s="18">
        <v>84</v>
      </c>
      <c r="C757" s="87" t="s">
        <v>2192</v>
      </c>
      <c r="D757" s="48">
        <v>44720</v>
      </c>
      <c r="E757" s="19" t="s">
        <v>4533</v>
      </c>
      <c r="F757" s="6" t="s">
        <v>4534</v>
      </c>
      <c r="G757" s="6" t="s">
        <v>1319</v>
      </c>
      <c r="H757" s="6" t="s">
        <v>3288</v>
      </c>
    </row>
    <row r="758" spans="1:8" ht="12.75">
      <c r="A758" s="18">
        <v>2022</v>
      </c>
      <c r="B758" s="18">
        <v>84</v>
      </c>
      <c r="C758" s="87" t="s">
        <v>2192</v>
      </c>
      <c r="D758" s="48">
        <v>44720</v>
      </c>
      <c r="E758" s="19" t="s">
        <v>4535</v>
      </c>
      <c r="F758" s="6" t="s">
        <v>4534</v>
      </c>
      <c r="G758" s="6" t="s">
        <v>1319</v>
      </c>
      <c r="H758" s="6" t="s">
        <v>3288</v>
      </c>
    </row>
    <row r="759" spans="1:8" ht="12.75">
      <c r="A759" s="18">
        <v>2022</v>
      </c>
      <c r="B759" s="18">
        <v>84</v>
      </c>
      <c r="C759" s="87" t="s">
        <v>2192</v>
      </c>
      <c r="D759" s="48">
        <v>44720</v>
      </c>
      <c r="E759" s="19" t="s">
        <v>4536</v>
      </c>
      <c r="F759" s="6" t="s">
        <v>4537</v>
      </c>
      <c r="G759" s="6" t="s">
        <v>1319</v>
      </c>
      <c r="H759" s="6" t="s">
        <v>3288</v>
      </c>
    </row>
    <row r="760" spans="1:8" ht="12.75">
      <c r="A760" s="18">
        <v>2022</v>
      </c>
      <c r="B760" s="18">
        <v>86</v>
      </c>
      <c r="C760" s="87" t="s">
        <v>1980</v>
      </c>
      <c r="D760" s="48">
        <v>44721</v>
      </c>
      <c r="E760" s="19" t="s">
        <v>4538</v>
      </c>
      <c r="F760" s="6" t="s">
        <v>4539</v>
      </c>
      <c r="G760" s="6" t="s">
        <v>3546</v>
      </c>
      <c r="H760" s="6" t="s">
        <v>3292</v>
      </c>
    </row>
    <row r="761" spans="1:8" ht="12.75">
      <c r="A761" s="18">
        <v>2022</v>
      </c>
      <c r="B761" s="18">
        <v>86</v>
      </c>
      <c r="C761" s="87" t="s">
        <v>1980</v>
      </c>
      <c r="D761" s="48">
        <v>44721</v>
      </c>
      <c r="E761" s="19" t="s">
        <v>4540</v>
      </c>
      <c r="F761" s="6" t="s">
        <v>3548</v>
      </c>
      <c r="G761" s="6" t="s">
        <v>3546</v>
      </c>
      <c r="H761" s="6" t="s">
        <v>3292</v>
      </c>
    </row>
    <row r="762" spans="1:8" ht="12.75">
      <c r="A762" s="18">
        <v>2022</v>
      </c>
      <c r="B762" s="18">
        <v>87</v>
      </c>
      <c r="C762" s="87" t="s">
        <v>2373</v>
      </c>
      <c r="D762" s="48">
        <v>44721</v>
      </c>
      <c r="E762" s="19" t="s">
        <v>4541</v>
      </c>
      <c r="F762" s="6" t="s">
        <v>4542</v>
      </c>
      <c r="G762" s="6" t="s">
        <v>4502</v>
      </c>
      <c r="H762" s="6" t="s">
        <v>3567</v>
      </c>
    </row>
    <row r="763" spans="1:8" ht="12.75">
      <c r="A763" s="18">
        <v>2022</v>
      </c>
      <c r="B763" s="18">
        <v>87</v>
      </c>
      <c r="C763" s="87" t="s">
        <v>2373</v>
      </c>
      <c r="D763" s="48">
        <v>44721</v>
      </c>
      <c r="E763" s="19" t="s">
        <v>3342</v>
      </c>
      <c r="F763" s="6" t="s">
        <v>4096</v>
      </c>
      <c r="G763" s="6" t="s">
        <v>4543</v>
      </c>
      <c r="H763" s="6" t="s">
        <v>3292</v>
      </c>
    </row>
    <row r="764" spans="1:8" ht="12.75">
      <c r="A764" s="18">
        <v>2022</v>
      </c>
      <c r="B764" s="18">
        <v>87</v>
      </c>
      <c r="C764" s="87" t="s">
        <v>2373</v>
      </c>
      <c r="D764" s="48">
        <v>44721</v>
      </c>
      <c r="E764" s="19" t="s">
        <v>4544</v>
      </c>
      <c r="F764" s="6" t="s">
        <v>4545</v>
      </c>
      <c r="G764" s="6" t="s">
        <v>3469</v>
      </c>
      <c r="H764" s="6" t="s">
        <v>3288</v>
      </c>
    </row>
    <row r="765" spans="1:8" ht="12.75">
      <c r="A765" s="18">
        <v>2022</v>
      </c>
      <c r="B765" s="18">
        <v>87</v>
      </c>
      <c r="C765" s="87" t="s">
        <v>2373</v>
      </c>
      <c r="D765" s="48">
        <v>44721</v>
      </c>
      <c r="E765" s="19" t="s">
        <v>4546</v>
      </c>
      <c r="F765" s="6" t="s">
        <v>4547</v>
      </c>
      <c r="G765" s="6" t="s">
        <v>3469</v>
      </c>
      <c r="H765" s="6" t="s">
        <v>3288</v>
      </c>
    </row>
    <row r="766" spans="1:8" ht="12.75">
      <c r="A766" s="18">
        <v>2022</v>
      </c>
      <c r="B766" s="18">
        <v>87</v>
      </c>
      <c r="C766" s="87" t="s">
        <v>2373</v>
      </c>
      <c r="D766" s="48">
        <v>44721</v>
      </c>
      <c r="E766" s="19" t="s">
        <v>4548</v>
      </c>
      <c r="F766" s="6" t="s">
        <v>4549</v>
      </c>
      <c r="G766" s="6" t="s">
        <v>4502</v>
      </c>
      <c r="H766" s="6" t="s">
        <v>3567</v>
      </c>
    </row>
    <row r="767" spans="1:8" ht="12.75">
      <c r="A767" s="18">
        <v>2022</v>
      </c>
      <c r="B767" s="18">
        <v>87</v>
      </c>
      <c r="C767" s="87" t="s">
        <v>2373</v>
      </c>
      <c r="D767" s="48">
        <v>44721</v>
      </c>
      <c r="E767" s="19" t="s">
        <v>4550</v>
      </c>
      <c r="F767" s="6" t="s">
        <v>4551</v>
      </c>
      <c r="G767" s="6" t="s">
        <v>3469</v>
      </c>
      <c r="H767" s="6" t="s">
        <v>3288</v>
      </c>
    </row>
    <row r="768" spans="1:8" ht="12.75">
      <c r="A768" s="18">
        <v>2022</v>
      </c>
      <c r="B768" s="18">
        <v>87</v>
      </c>
      <c r="C768" s="87" t="s">
        <v>2373</v>
      </c>
      <c r="D768" s="48">
        <v>44721</v>
      </c>
      <c r="E768" s="19" t="s">
        <v>4103</v>
      </c>
      <c r="F768" s="6" t="s">
        <v>4552</v>
      </c>
      <c r="G768" s="6" t="s">
        <v>3469</v>
      </c>
      <c r="H768" s="6" t="s">
        <v>3288</v>
      </c>
    </row>
    <row r="769" spans="1:8" ht="12.75">
      <c r="A769" s="18">
        <v>2022</v>
      </c>
      <c r="B769" s="18">
        <v>87</v>
      </c>
      <c r="C769" s="87" t="s">
        <v>2373</v>
      </c>
      <c r="D769" s="48">
        <v>44721</v>
      </c>
      <c r="E769" s="19" t="s">
        <v>4553</v>
      </c>
      <c r="F769" s="6" t="s">
        <v>4554</v>
      </c>
      <c r="G769" s="6" t="s">
        <v>3469</v>
      </c>
      <c r="H769" s="6" t="s">
        <v>3288</v>
      </c>
    </row>
    <row r="770" spans="1:8" ht="12.75">
      <c r="A770" s="18">
        <v>2022</v>
      </c>
      <c r="B770" s="18">
        <v>87</v>
      </c>
      <c r="C770" s="87" t="s">
        <v>2373</v>
      </c>
      <c r="D770" s="48">
        <v>44721</v>
      </c>
      <c r="E770" s="19" t="s">
        <v>4555</v>
      </c>
      <c r="F770" s="6" t="s">
        <v>4556</v>
      </c>
      <c r="G770" s="6" t="s">
        <v>3469</v>
      </c>
      <c r="H770" s="6" t="s">
        <v>3288</v>
      </c>
    </row>
    <row r="771" spans="1:8" ht="12.75">
      <c r="A771" s="18">
        <v>2022</v>
      </c>
      <c r="B771" s="18">
        <v>87</v>
      </c>
      <c r="C771" s="87" t="s">
        <v>2373</v>
      </c>
      <c r="D771" s="48">
        <v>44721</v>
      </c>
      <c r="E771" s="19" t="s">
        <v>4557</v>
      </c>
      <c r="F771" s="6" t="s">
        <v>4558</v>
      </c>
      <c r="G771" s="6" t="s">
        <v>3469</v>
      </c>
      <c r="H771" s="6" t="s">
        <v>3288</v>
      </c>
    </row>
    <row r="772" spans="1:8" ht="12.75">
      <c r="A772" s="18">
        <v>2022</v>
      </c>
      <c r="B772" s="18">
        <v>87</v>
      </c>
      <c r="C772" s="87" t="s">
        <v>2373</v>
      </c>
      <c r="D772" s="48">
        <v>44721</v>
      </c>
      <c r="E772" s="19" t="s">
        <v>4559</v>
      </c>
      <c r="F772" s="6" t="s">
        <v>4560</v>
      </c>
      <c r="G772" s="6" t="s">
        <v>3469</v>
      </c>
      <c r="H772" s="6" t="s">
        <v>3288</v>
      </c>
    </row>
    <row r="773" spans="1:8" ht="12.75">
      <c r="A773" s="18">
        <v>2022</v>
      </c>
      <c r="B773" s="18">
        <v>88</v>
      </c>
      <c r="C773" s="87" t="s">
        <v>53</v>
      </c>
      <c r="D773" s="48">
        <v>44726</v>
      </c>
      <c r="E773" s="19" t="s">
        <v>4561</v>
      </c>
      <c r="F773" s="6" t="s">
        <v>4562</v>
      </c>
      <c r="G773" s="6" t="s">
        <v>3328</v>
      </c>
      <c r="H773" s="6" t="s">
        <v>3292</v>
      </c>
    </row>
    <row r="774" spans="1:8" ht="12.75">
      <c r="A774" s="18">
        <v>2022</v>
      </c>
      <c r="B774" s="18">
        <v>88</v>
      </c>
      <c r="C774" s="87" t="s">
        <v>53</v>
      </c>
      <c r="D774" s="48">
        <v>44726</v>
      </c>
      <c r="E774" s="19" t="s">
        <v>4563</v>
      </c>
      <c r="F774" s="6" t="s">
        <v>4564</v>
      </c>
      <c r="G774" s="6" t="s">
        <v>4565</v>
      </c>
      <c r="H774" s="6" t="s">
        <v>3288</v>
      </c>
    </row>
    <row r="775" spans="1:8" ht="12.75">
      <c r="A775" s="18">
        <v>2022</v>
      </c>
      <c r="B775" s="18">
        <v>88</v>
      </c>
      <c r="C775" s="87" t="s">
        <v>53</v>
      </c>
      <c r="D775" s="48">
        <v>44726</v>
      </c>
      <c r="E775" s="19" t="s">
        <v>4566</v>
      </c>
      <c r="F775" s="6" t="s">
        <v>4567</v>
      </c>
      <c r="G775" s="6" t="s">
        <v>4565</v>
      </c>
      <c r="H775" s="6" t="s">
        <v>3288</v>
      </c>
    </row>
    <row r="776" spans="1:8" ht="12.75">
      <c r="A776" s="18">
        <v>2022</v>
      </c>
      <c r="B776" s="18">
        <v>88</v>
      </c>
      <c r="C776" s="87" t="s">
        <v>53</v>
      </c>
      <c r="D776" s="48">
        <v>44726</v>
      </c>
      <c r="E776" s="19" t="s">
        <v>4568</v>
      </c>
      <c r="F776" s="6" t="s">
        <v>4569</v>
      </c>
      <c r="G776" s="6" t="s">
        <v>4565</v>
      </c>
      <c r="H776" s="6" t="s">
        <v>3288</v>
      </c>
    </row>
    <row r="777" spans="1:8" ht="12.75">
      <c r="A777" s="18">
        <v>2022</v>
      </c>
      <c r="B777" s="18">
        <v>88</v>
      </c>
      <c r="C777" s="87" t="s">
        <v>53</v>
      </c>
      <c r="D777" s="48">
        <v>44726</v>
      </c>
      <c r="E777" s="19" t="s">
        <v>4570</v>
      </c>
      <c r="F777" s="6" t="s">
        <v>4571</v>
      </c>
      <c r="G777" s="6" t="s">
        <v>4565</v>
      </c>
      <c r="H777" s="6" t="s">
        <v>3288</v>
      </c>
    </row>
    <row r="778" spans="1:8" ht="12.75">
      <c r="A778" s="18">
        <v>2022</v>
      </c>
      <c r="B778" s="18">
        <v>88</v>
      </c>
      <c r="C778" s="87" t="s">
        <v>53</v>
      </c>
      <c r="D778" s="48">
        <v>44726</v>
      </c>
      <c r="E778" s="19" t="s">
        <v>4572</v>
      </c>
      <c r="F778" s="6" t="s">
        <v>4573</v>
      </c>
      <c r="G778" s="6" t="s">
        <v>3328</v>
      </c>
      <c r="H778" s="6" t="s">
        <v>3292</v>
      </c>
    </row>
    <row r="779" spans="1:8" ht="12.75">
      <c r="A779" s="18">
        <v>2022</v>
      </c>
      <c r="B779" s="18">
        <v>89</v>
      </c>
      <c r="C779" s="87" t="s">
        <v>2064</v>
      </c>
      <c r="D779" s="48">
        <v>44726</v>
      </c>
      <c r="E779" s="19" t="s">
        <v>4574</v>
      </c>
      <c r="F779" s="6" t="s">
        <v>4575</v>
      </c>
      <c r="G779" s="6" t="s">
        <v>3291</v>
      </c>
      <c r="H779" s="6" t="s">
        <v>3292</v>
      </c>
    </row>
    <row r="780" spans="1:8" ht="12.75">
      <c r="A780" s="18">
        <v>2022</v>
      </c>
      <c r="B780" s="18">
        <v>89</v>
      </c>
      <c r="C780" s="87" t="s">
        <v>2064</v>
      </c>
      <c r="D780" s="48">
        <v>44726</v>
      </c>
      <c r="E780" s="19" t="s">
        <v>4576</v>
      </c>
      <c r="F780" s="6" t="s">
        <v>4577</v>
      </c>
      <c r="G780" s="6" t="s">
        <v>3291</v>
      </c>
      <c r="H780" s="6" t="s">
        <v>3292</v>
      </c>
    </row>
    <row r="781" spans="1:8" ht="12.75">
      <c r="A781" s="18">
        <v>2022</v>
      </c>
      <c r="B781" s="18">
        <v>89</v>
      </c>
      <c r="C781" s="87" t="s">
        <v>2064</v>
      </c>
      <c r="D781" s="48">
        <v>44726</v>
      </c>
      <c r="E781" s="19" t="s">
        <v>4578</v>
      </c>
      <c r="F781" s="6" t="s">
        <v>4579</v>
      </c>
      <c r="G781" s="6" t="s">
        <v>3291</v>
      </c>
      <c r="H781" s="6" t="s">
        <v>3292</v>
      </c>
    </row>
    <row r="782" spans="1:8" ht="12.75">
      <c r="A782" s="18">
        <v>2022</v>
      </c>
      <c r="B782" s="18">
        <v>89</v>
      </c>
      <c r="C782" s="87" t="s">
        <v>2064</v>
      </c>
      <c r="D782" s="48">
        <v>44726</v>
      </c>
      <c r="E782" s="19" t="s">
        <v>4580</v>
      </c>
      <c r="F782" s="6" t="s">
        <v>4579</v>
      </c>
      <c r="G782" s="6" t="s">
        <v>3291</v>
      </c>
      <c r="H782" s="6" t="s">
        <v>3292</v>
      </c>
    </row>
    <row r="783" spans="1:8" ht="12.75">
      <c r="A783" s="18">
        <v>2022</v>
      </c>
      <c r="B783" s="18">
        <v>89</v>
      </c>
      <c r="C783" s="87" t="s">
        <v>2064</v>
      </c>
      <c r="D783" s="48">
        <v>44726</v>
      </c>
      <c r="E783" s="19" t="s">
        <v>4581</v>
      </c>
      <c r="F783" s="6" t="s">
        <v>4582</v>
      </c>
      <c r="G783" s="6" t="s">
        <v>3291</v>
      </c>
      <c r="H783" s="6" t="s">
        <v>3292</v>
      </c>
    </row>
    <row r="784" spans="1:8" ht="12.75">
      <c r="A784" s="18">
        <v>2022</v>
      </c>
      <c r="B784" s="18">
        <v>89</v>
      </c>
      <c r="C784" s="87" t="s">
        <v>2064</v>
      </c>
      <c r="D784" s="48">
        <v>44726</v>
      </c>
      <c r="E784" s="19" t="s">
        <v>4133</v>
      </c>
      <c r="F784" s="6" t="s">
        <v>3318</v>
      </c>
      <c r="G784" s="6" t="s">
        <v>3291</v>
      </c>
      <c r="H784" s="6" t="s">
        <v>3292</v>
      </c>
    </row>
    <row r="785" spans="1:8" ht="12.75">
      <c r="A785" s="18">
        <v>2022</v>
      </c>
      <c r="B785" s="18">
        <v>91</v>
      </c>
      <c r="C785" s="87" t="s">
        <v>37</v>
      </c>
      <c r="D785" s="48">
        <v>44728</v>
      </c>
      <c r="E785" s="19" t="s">
        <v>4583</v>
      </c>
      <c r="F785" s="6" t="s">
        <v>4584</v>
      </c>
      <c r="G785" s="6" t="s">
        <v>3446</v>
      </c>
      <c r="H785" s="6" t="s">
        <v>3288</v>
      </c>
    </row>
    <row r="786" spans="1:8" ht="12.75">
      <c r="A786" s="18">
        <v>2022</v>
      </c>
      <c r="B786" s="18">
        <v>91</v>
      </c>
      <c r="C786" s="87" t="s">
        <v>37</v>
      </c>
      <c r="D786" s="48">
        <v>44728</v>
      </c>
      <c r="E786" s="19" t="s">
        <v>4585</v>
      </c>
      <c r="F786" s="6" t="s">
        <v>4586</v>
      </c>
      <c r="G786" s="6" t="s">
        <v>3446</v>
      </c>
      <c r="H786" s="6" t="s">
        <v>3288</v>
      </c>
    </row>
    <row r="787" spans="1:8" ht="12.75">
      <c r="A787" s="18">
        <v>2022</v>
      </c>
      <c r="B787" s="18">
        <v>91</v>
      </c>
      <c r="C787" s="87" t="s">
        <v>37</v>
      </c>
      <c r="D787" s="48">
        <v>44728</v>
      </c>
      <c r="E787" s="19" t="s">
        <v>4587</v>
      </c>
      <c r="F787" s="6" t="s">
        <v>4588</v>
      </c>
      <c r="G787" s="6" t="s">
        <v>3446</v>
      </c>
      <c r="H787" s="6" t="s">
        <v>3288</v>
      </c>
    </row>
    <row r="788" spans="1:8" ht="12.75">
      <c r="A788" s="18">
        <v>2022</v>
      </c>
      <c r="B788" s="18">
        <v>93</v>
      </c>
      <c r="C788" s="87" t="s">
        <v>2403</v>
      </c>
      <c r="D788" s="48">
        <v>44733</v>
      </c>
      <c r="E788" s="19" t="s">
        <v>4065</v>
      </c>
      <c r="F788" s="6" t="s">
        <v>4066</v>
      </c>
      <c r="G788" s="6" t="s">
        <v>4067</v>
      </c>
      <c r="H788" s="6" t="s">
        <v>3292</v>
      </c>
    </row>
    <row r="789" spans="1:8" ht="12.75">
      <c r="A789" s="18">
        <v>2022</v>
      </c>
      <c r="B789" s="18">
        <v>93</v>
      </c>
      <c r="C789" s="87" t="s">
        <v>2403</v>
      </c>
      <c r="D789" s="48">
        <v>44733</v>
      </c>
      <c r="E789" s="19" t="s">
        <v>4589</v>
      </c>
      <c r="F789" s="6" t="s">
        <v>4590</v>
      </c>
      <c r="G789" s="6" t="s">
        <v>4502</v>
      </c>
      <c r="H789" s="6" t="s">
        <v>3567</v>
      </c>
    </row>
    <row r="790" spans="1:8" ht="12.75">
      <c r="A790" s="18">
        <v>2022</v>
      </c>
      <c r="B790" s="18">
        <v>93</v>
      </c>
      <c r="C790" s="87" t="s">
        <v>2403</v>
      </c>
      <c r="D790" s="48">
        <v>44733</v>
      </c>
      <c r="E790" s="19" t="s">
        <v>4591</v>
      </c>
      <c r="F790" s="6" t="s">
        <v>4592</v>
      </c>
      <c r="G790" s="6" t="s">
        <v>4502</v>
      </c>
      <c r="H790" s="6" t="s">
        <v>3567</v>
      </c>
    </row>
    <row r="791" spans="1:8" ht="12.75">
      <c r="A791" s="18">
        <v>2022</v>
      </c>
      <c r="B791" s="18">
        <v>93</v>
      </c>
      <c r="C791" s="87" t="s">
        <v>2403</v>
      </c>
      <c r="D791" s="48">
        <v>44733</v>
      </c>
      <c r="E791" s="19" t="s">
        <v>4593</v>
      </c>
      <c r="F791" s="6" t="s">
        <v>4594</v>
      </c>
      <c r="G791" s="6" t="s">
        <v>3303</v>
      </c>
      <c r="H791" s="6" t="s">
        <v>3567</v>
      </c>
    </row>
    <row r="792" spans="1:8" ht="12.75">
      <c r="A792" s="18">
        <v>2022</v>
      </c>
      <c r="B792" s="18">
        <v>93</v>
      </c>
      <c r="C792" s="87" t="s">
        <v>2403</v>
      </c>
      <c r="D792" s="48">
        <v>44733</v>
      </c>
      <c r="E792" s="19" t="s">
        <v>4595</v>
      </c>
      <c r="F792" s="6" t="s">
        <v>4596</v>
      </c>
      <c r="G792" s="6" t="s">
        <v>4067</v>
      </c>
      <c r="H792" s="6" t="s">
        <v>3292</v>
      </c>
    </row>
    <row r="793" spans="1:8" ht="12.75">
      <c r="A793" s="18">
        <v>2022</v>
      </c>
      <c r="B793" s="18">
        <v>93</v>
      </c>
      <c r="C793" s="87" t="s">
        <v>2403</v>
      </c>
      <c r="D793" s="48">
        <v>44733</v>
      </c>
      <c r="E793" s="19" t="s">
        <v>4597</v>
      </c>
      <c r="F793" s="6" t="s">
        <v>4598</v>
      </c>
      <c r="G793" s="6" t="s">
        <v>4502</v>
      </c>
      <c r="H793" s="6" t="s">
        <v>3567</v>
      </c>
    </row>
    <row r="794" spans="1:8" ht="12.75">
      <c r="A794" s="18">
        <v>2022</v>
      </c>
      <c r="B794" s="18">
        <v>96</v>
      </c>
      <c r="C794" s="87" t="s">
        <v>73</v>
      </c>
      <c r="D794" s="48">
        <v>44735</v>
      </c>
      <c r="E794" s="19" t="s">
        <v>4599</v>
      </c>
      <c r="F794" s="6" t="s">
        <v>4600</v>
      </c>
      <c r="G794" s="6" t="s">
        <v>1319</v>
      </c>
      <c r="H794" s="6" t="s">
        <v>3288</v>
      </c>
    </row>
    <row r="795" spans="1:8" ht="12.75">
      <c r="A795" s="18">
        <v>2022</v>
      </c>
      <c r="B795" s="18">
        <v>98</v>
      </c>
      <c r="C795" s="87" t="s">
        <v>26</v>
      </c>
      <c r="D795" s="48">
        <v>44740</v>
      </c>
      <c r="E795" s="19" t="s">
        <v>4601</v>
      </c>
      <c r="F795" s="6" t="s">
        <v>4602</v>
      </c>
      <c r="G795" s="6" t="s">
        <v>3389</v>
      </c>
      <c r="H795" s="6" t="s">
        <v>3288</v>
      </c>
    </row>
    <row r="796" spans="1:8" ht="12.75">
      <c r="A796" s="18">
        <v>2022</v>
      </c>
      <c r="B796" s="18">
        <v>98</v>
      </c>
      <c r="C796" s="87" t="s">
        <v>26</v>
      </c>
      <c r="D796" s="48">
        <v>44740</v>
      </c>
      <c r="E796" s="19" t="s">
        <v>4603</v>
      </c>
      <c r="F796" s="6" t="s">
        <v>4604</v>
      </c>
      <c r="G796" s="6" t="s">
        <v>3389</v>
      </c>
      <c r="H796" s="6" t="s">
        <v>3288</v>
      </c>
    </row>
    <row r="797" spans="1:8" ht="12.75">
      <c r="A797" s="18">
        <v>2022</v>
      </c>
      <c r="B797" s="18">
        <v>98</v>
      </c>
      <c r="C797" s="87" t="s">
        <v>26</v>
      </c>
      <c r="D797" s="48">
        <v>44740</v>
      </c>
      <c r="E797" s="19" t="s">
        <v>4605</v>
      </c>
      <c r="F797" s="6" t="s">
        <v>4606</v>
      </c>
      <c r="G797" s="6" t="s">
        <v>3389</v>
      </c>
      <c r="H797" s="6" t="s">
        <v>3288</v>
      </c>
    </row>
    <row r="798" spans="1:8" ht="12.75">
      <c r="A798" s="18">
        <v>2022</v>
      </c>
      <c r="B798" s="18">
        <v>100</v>
      </c>
      <c r="C798" s="87" t="s">
        <v>190</v>
      </c>
      <c r="D798" s="48">
        <v>44742</v>
      </c>
      <c r="E798" s="19" t="s">
        <v>4607</v>
      </c>
      <c r="F798" s="6" t="s">
        <v>4608</v>
      </c>
      <c r="G798" s="6" t="s">
        <v>3512</v>
      </c>
      <c r="H798" s="6" t="s">
        <v>3513</v>
      </c>
    </row>
    <row r="799" spans="1:8" ht="12.75">
      <c r="A799" s="18">
        <v>2022</v>
      </c>
      <c r="B799" s="18">
        <v>100</v>
      </c>
      <c r="C799" s="87" t="s">
        <v>190</v>
      </c>
      <c r="D799" s="48">
        <v>44742</v>
      </c>
      <c r="E799" s="19" t="s">
        <v>4609</v>
      </c>
      <c r="F799" s="6" t="s">
        <v>4610</v>
      </c>
      <c r="G799" s="6" t="s">
        <v>3512</v>
      </c>
      <c r="H799" s="6" t="s">
        <v>3513</v>
      </c>
    </row>
    <row r="800" spans="1:8" ht="12.75">
      <c r="A800" s="18">
        <v>2022</v>
      </c>
      <c r="B800" s="18">
        <v>100</v>
      </c>
      <c r="C800" s="87" t="s">
        <v>190</v>
      </c>
      <c r="D800" s="48">
        <v>44742</v>
      </c>
      <c r="E800" s="19" t="s">
        <v>4611</v>
      </c>
      <c r="F800" s="6" t="s">
        <v>4612</v>
      </c>
      <c r="G800" s="6" t="s">
        <v>3512</v>
      </c>
      <c r="H800" s="6" t="s">
        <v>3513</v>
      </c>
    </row>
    <row r="801" spans="1:8" ht="12.75">
      <c r="A801" s="18">
        <v>2022</v>
      </c>
      <c r="B801" s="18">
        <v>104</v>
      </c>
      <c r="C801" s="87" t="s">
        <v>2074</v>
      </c>
      <c r="D801" s="48">
        <v>44768</v>
      </c>
      <c r="E801" s="19" t="s">
        <v>4613</v>
      </c>
      <c r="F801" s="6" t="s">
        <v>4614</v>
      </c>
      <c r="G801" s="6" t="s">
        <v>3993</v>
      </c>
      <c r="H801" s="6" t="s">
        <v>3513</v>
      </c>
    </row>
    <row r="802" spans="1:8" ht="12.75">
      <c r="A802" s="18">
        <v>2022</v>
      </c>
      <c r="B802" s="18">
        <v>104</v>
      </c>
      <c r="C802" s="87" t="s">
        <v>2074</v>
      </c>
      <c r="D802" s="48">
        <v>44768</v>
      </c>
      <c r="E802" s="19" t="s">
        <v>3989</v>
      </c>
      <c r="F802" s="6" t="s">
        <v>3990</v>
      </c>
      <c r="G802" s="6" t="s">
        <v>3306</v>
      </c>
      <c r="H802" s="6" t="s">
        <v>3292</v>
      </c>
    </row>
    <row r="803" spans="1:8" ht="12.75">
      <c r="A803" s="18">
        <v>2022</v>
      </c>
      <c r="B803" s="18">
        <v>107</v>
      </c>
      <c r="C803" s="87" t="s">
        <v>2074</v>
      </c>
      <c r="D803" s="48">
        <v>44775</v>
      </c>
      <c r="E803" s="19" t="s">
        <v>4615</v>
      </c>
      <c r="F803" s="6" t="s">
        <v>4616</v>
      </c>
      <c r="G803" s="6" t="s">
        <v>3446</v>
      </c>
      <c r="H803" s="6" t="s">
        <v>3288</v>
      </c>
    </row>
    <row r="804" spans="1:8" ht="12.75">
      <c r="A804" s="18">
        <v>2022</v>
      </c>
      <c r="B804" s="18">
        <v>107</v>
      </c>
      <c r="C804" s="87" t="s">
        <v>2074</v>
      </c>
      <c r="D804" s="48">
        <v>44775</v>
      </c>
      <c r="E804" s="19" t="s">
        <v>4617</v>
      </c>
      <c r="F804" s="6" t="s">
        <v>4618</v>
      </c>
      <c r="G804" s="6" t="s">
        <v>3446</v>
      </c>
      <c r="H804" s="6" t="s">
        <v>3288</v>
      </c>
    </row>
    <row r="805" spans="1:8" ht="12.75">
      <c r="A805" s="18">
        <v>2022</v>
      </c>
      <c r="B805" s="18">
        <v>107</v>
      </c>
      <c r="C805" s="87" t="s">
        <v>2074</v>
      </c>
      <c r="D805" s="48">
        <v>44775</v>
      </c>
      <c r="E805" s="19" t="s">
        <v>4619</v>
      </c>
      <c r="F805" s="6" t="s">
        <v>4620</v>
      </c>
      <c r="G805" s="6" t="s">
        <v>3446</v>
      </c>
      <c r="H805" s="6" t="s">
        <v>3288</v>
      </c>
    </row>
    <row r="806" spans="1:8" ht="12.75">
      <c r="A806" s="18">
        <v>2022</v>
      </c>
      <c r="B806" s="18">
        <v>107</v>
      </c>
      <c r="C806" s="87" t="s">
        <v>2074</v>
      </c>
      <c r="D806" s="48">
        <v>44775</v>
      </c>
      <c r="E806" s="19" t="s">
        <v>4621</v>
      </c>
      <c r="F806" s="6" t="s">
        <v>4622</v>
      </c>
      <c r="G806" s="6" t="s">
        <v>3446</v>
      </c>
      <c r="H806" s="6" t="s">
        <v>3288</v>
      </c>
    </row>
    <row r="807" spans="1:8" ht="12.75">
      <c r="A807" s="18">
        <v>2022</v>
      </c>
      <c r="B807" s="18">
        <v>107</v>
      </c>
      <c r="C807" s="87" t="s">
        <v>2074</v>
      </c>
      <c r="D807" s="48">
        <v>44775</v>
      </c>
      <c r="E807" s="19" t="s">
        <v>4623</v>
      </c>
      <c r="F807" s="6" t="s">
        <v>4624</v>
      </c>
      <c r="G807" s="6" t="s">
        <v>3446</v>
      </c>
      <c r="H807" s="6" t="s">
        <v>3288</v>
      </c>
    </row>
    <row r="808" spans="1:8" ht="12.75">
      <c r="A808" s="18">
        <v>2022</v>
      </c>
      <c r="B808" s="18">
        <v>107</v>
      </c>
      <c r="C808" s="87" t="s">
        <v>2074</v>
      </c>
      <c r="D808" s="48">
        <v>44775</v>
      </c>
      <c r="E808" s="19" t="s">
        <v>4625</v>
      </c>
      <c r="F808" s="6" t="s">
        <v>4626</v>
      </c>
      <c r="G808" s="6" t="s">
        <v>3446</v>
      </c>
      <c r="H808" s="6" t="s">
        <v>3288</v>
      </c>
    </row>
    <row r="809" spans="1:8" ht="12.75">
      <c r="A809" s="18">
        <v>2022</v>
      </c>
      <c r="B809" s="18">
        <v>109</v>
      </c>
      <c r="C809" s="87" t="s">
        <v>2466</v>
      </c>
      <c r="D809" s="48">
        <v>44775</v>
      </c>
      <c r="E809" s="19" t="s">
        <v>4627</v>
      </c>
      <c r="F809" s="6" t="s">
        <v>4431</v>
      </c>
      <c r="G809" s="6" t="s">
        <v>3291</v>
      </c>
      <c r="H809" s="6" t="s">
        <v>3292</v>
      </c>
    </row>
    <row r="810" spans="1:8" ht="12.75">
      <c r="A810" s="18">
        <v>2022</v>
      </c>
      <c r="B810" s="18">
        <v>109</v>
      </c>
      <c r="C810" s="87" t="s">
        <v>2466</v>
      </c>
      <c r="D810" s="48">
        <v>44775</v>
      </c>
      <c r="E810" s="19" t="s">
        <v>4628</v>
      </c>
      <c r="F810" s="6" t="s">
        <v>4629</v>
      </c>
      <c r="G810" s="6" t="s">
        <v>3291</v>
      </c>
      <c r="H810" s="6" t="s">
        <v>3292</v>
      </c>
    </row>
    <row r="811" spans="1:8" ht="12.75">
      <c r="A811" s="18">
        <v>2022</v>
      </c>
      <c r="B811" s="18">
        <v>109</v>
      </c>
      <c r="C811" s="87" t="s">
        <v>2466</v>
      </c>
      <c r="D811" s="48">
        <v>44775</v>
      </c>
      <c r="E811" s="19" t="s">
        <v>4630</v>
      </c>
      <c r="F811" s="6" t="s">
        <v>4631</v>
      </c>
      <c r="G811" s="6" t="s">
        <v>3291</v>
      </c>
      <c r="H811" s="6" t="s">
        <v>3292</v>
      </c>
    </row>
    <row r="812" spans="1:8" ht="12.75">
      <c r="A812" s="18">
        <v>2022</v>
      </c>
      <c r="B812" s="18">
        <v>109</v>
      </c>
      <c r="C812" s="87" t="s">
        <v>2466</v>
      </c>
      <c r="D812" s="48">
        <v>44775</v>
      </c>
      <c r="E812" s="19" t="s">
        <v>4632</v>
      </c>
      <c r="F812" s="6" t="s">
        <v>4633</v>
      </c>
      <c r="G812" s="6" t="s">
        <v>3291</v>
      </c>
      <c r="H812" s="6" t="s">
        <v>3292</v>
      </c>
    </row>
    <row r="813" spans="1:8" ht="12.75">
      <c r="A813" s="18">
        <v>2022</v>
      </c>
      <c r="B813" s="18">
        <v>109</v>
      </c>
      <c r="C813" s="87" t="s">
        <v>2466</v>
      </c>
      <c r="D813" s="48">
        <v>44775</v>
      </c>
      <c r="E813" s="19" t="s">
        <v>4634</v>
      </c>
      <c r="F813" s="6" t="s">
        <v>4635</v>
      </c>
      <c r="G813" s="6" t="s">
        <v>3291</v>
      </c>
      <c r="H813" s="6" t="s">
        <v>3292</v>
      </c>
    </row>
    <row r="814" spans="1:8" ht="12.75">
      <c r="A814" s="18">
        <v>2022</v>
      </c>
      <c r="B814" s="18">
        <v>109</v>
      </c>
      <c r="C814" s="87" t="s">
        <v>2466</v>
      </c>
      <c r="D814" s="48">
        <v>44775</v>
      </c>
      <c r="E814" s="19" t="s">
        <v>4636</v>
      </c>
      <c r="F814" s="6" t="s">
        <v>4637</v>
      </c>
      <c r="G814" s="6" t="s">
        <v>3351</v>
      </c>
      <c r="H814" s="6" t="s">
        <v>3292</v>
      </c>
    </row>
    <row r="815" spans="1:8" ht="12.75">
      <c r="A815" s="18">
        <v>2022</v>
      </c>
      <c r="B815" s="18">
        <v>109</v>
      </c>
      <c r="C815" s="87" t="s">
        <v>2466</v>
      </c>
      <c r="D815" s="48">
        <v>44775</v>
      </c>
      <c r="E815" s="19" t="s">
        <v>4638</v>
      </c>
      <c r="F815" s="6" t="s">
        <v>4639</v>
      </c>
      <c r="G815" s="6" t="s">
        <v>3351</v>
      </c>
      <c r="H815" s="6" t="s">
        <v>3292</v>
      </c>
    </row>
    <row r="816" spans="1:8" ht="12.75">
      <c r="A816" s="18">
        <v>2022</v>
      </c>
      <c r="B816" s="18">
        <v>109</v>
      </c>
      <c r="C816" s="87" t="s">
        <v>2466</v>
      </c>
      <c r="D816" s="48">
        <v>44775</v>
      </c>
      <c r="E816" s="19" t="s">
        <v>4640</v>
      </c>
      <c r="F816" s="6" t="s">
        <v>4641</v>
      </c>
      <c r="G816" s="6" t="s">
        <v>3291</v>
      </c>
      <c r="H816" s="6" t="s">
        <v>3292</v>
      </c>
    </row>
    <row r="817" spans="1:8" ht="12.75">
      <c r="A817" s="18">
        <v>2022</v>
      </c>
      <c r="B817" s="18">
        <v>111</v>
      </c>
      <c r="C817" s="87" t="s">
        <v>55</v>
      </c>
      <c r="D817" s="48">
        <v>44777</v>
      </c>
      <c r="E817" s="19" t="s">
        <v>3344</v>
      </c>
      <c r="F817" s="6" t="s">
        <v>3345</v>
      </c>
      <c r="G817" s="6" t="s">
        <v>3311</v>
      </c>
      <c r="H817" s="6" t="s">
        <v>3292</v>
      </c>
    </row>
    <row r="818" spans="1:8" ht="12.75">
      <c r="A818" s="18">
        <v>2022</v>
      </c>
      <c r="B818" s="18">
        <v>111</v>
      </c>
      <c r="C818" s="87" t="s">
        <v>55</v>
      </c>
      <c r="D818" s="48">
        <v>44777</v>
      </c>
      <c r="E818" s="19" t="s">
        <v>4642</v>
      </c>
      <c r="F818" s="6" t="s">
        <v>4643</v>
      </c>
      <c r="G818" s="6" t="s">
        <v>3311</v>
      </c>
      <c r="H818" s="6" t="s">
        <v>3292</v>
      </c>
    </row>
    <row r="819" spans="1:8" ht="12.75">
      <c r="A819" s="18">
        <v>2022</v>
      </c>
      <c r="B819" s="18">
        <v>111</v>
      </c>
      <c r="C819" s="87" t="s">
        <v>55</v>
      </c>
      <c r="D819" s="48">
        <v>44777</v>
      </c>
      <c r="E819" s="19" t="s">
        <v>4644</v>
      </c>
      <c r="F819" s="6" t="s">
        <v>4645</v>
      </c>
      <c r="G819" s="6" t="s">
        <v>3311</v>
      </c>
      <c r="H819" s="6" t="s">
        <v>3292</v>
      </c>
    </row>
    <row r="820" spans="1:8" ht="12.75">
      <c r="A820" s="18">
        <v>2022</v>
      </c>
      <c r="B820" s="18">
        <v>111</v>
      </c>
      <c r="C820" s="87" t="s">
        <v>55</v>
      </c>
      <c r="D820" s="48">
        <v>44777</v>
      </c>
      <c r="E820" s="19" t="s">
        <v>4646</v>
      </c>
      <c r="F820" s="6" t="s">
        <v>4647</v>
      </c>
      <c r="G820" s="6" t="s">
        <v>3311</v>
      </c>
      <c r="H820" s="6" t="s">
        <v>3292</v>
      </c>
    </row>
    <row r="821" spans="1:8" ht="12.75">
      <c r="A821" s="18">
        <v>2022</v>
      </c>
      <c r="B821" s="18">
        <v>111</v>
      </c>
      <c r="C821" s="87" t="s">
        <v>55</v>
      </c>
      <c r="D821" s="48">
        <v>44777</v>
      </c>
      <c r="E821" s="19" t="s">
        <v>4648</v>
      </c>
      <c r="F821" s="6" t="s">
        <v>4649</v>
      </c>
      <c r="G821" s="6" t="s">
        <v>3311</v>
      </c>
      <c r="H821" s="6" t="s">
        <v>3292</v>
      </c>
    </row>
    <row r="822" spans="1:8" ht="12.75">
      <c r="A822" s="18">
        <v>2022</v>
      </c>
      <c r="B822" s="18">
        <v>111</v>
      </c>
      <c r="C822" s="87" t="s">
        <v>55</v>
      </c>
      <c r="D822" s="48">
        <v>44777</v>
      </c>
      <c r="E822" s="19" t="s">
        <v>4650</v>
      </c>
      <c r="F822" s="6" t="s">
        <v>4651</v>
      </c>
      <c r="G822" s="6" t="s">
        <v>3311</v>
      </c>
      <c r="H822" s="6" t="s">
        <v>3292</v>
      </c>
    </row>
    <row r="823" spans="1:8" ht="12.75">
      <c r="A823" s="18">
        <v>2022</v>
      </c>
      <c r="B823" s="18">
        <v>111</v>
      </c>
      <c r="C823" s="87" t="s">
        <v>55</v>
      </c>
      <c r="D823" s="48">
        <v>44777</v>
      </c>
      <c r="E823" s="19" t="s">
        <v>4652</v>
      </c>
      <c r="F823" s="6" t="s">
        <v>4653</v>
      </c>
      <c r="G823" s="6" t="s">
        <v>3311</v>
      </c>
      <c r="H823" s="6" t="s">
        <v>3292</v>
      </c>
    </row>
    <row r="824" spans="1:8" ht="12.75">
      <c r="A824" s="18">
        <v>2022</v>
      </c>
      <c r="B824" s="18">
        <v>111</v>
      </c>
      <c r="C824" s="87" t="s">
        <v>55</v>
      </c>
      <c r="D824" s="48">
        <v>44777</v>
      </c>
      <c r="E824" s="19" t="s">
        <v>4654</v>
      </c>
      <c r="F824" s="6" t="s">
        <v>4655</v>
      </c>
      <c r="G824" s="6" t="s">
        <v>3311</v>
      </c>
      <c r="H824" s="6" t="s">
        <v>3292</v>
      </c>
    </row>
    <row r="825" spans="1:8" ht="12.75">
      <c r="A825" s="18">
        <v>2022</v>
      </c>
      <c r="B825" s="18">
        <v>114</v>
      </c>
      <c r="C825" s="87" t="s">
        <v>2064</v>
      </c>
      <c r="D825" s="48">
        <v>44782</v>
      </c>
      <c r="E825" s="19" t="s">
        <v>4133</v>
      </c>
      <c r="F825" s="6" t="s">
        <v>3318</v>
      </c>
      <c r="G825" s="6" t="s">
        <v>3291</v>
      </c>
      <c r="H825" s="6" t="s">
        <v>3292</v>
      </c>
    </row>
    <row r="826" spans="1:8" ht="12.75">
      <c r="A826" s="18">
        <v>2022</v>
      </c>
      <c r="B826" s="18">
        <v>114</v>
      </c>
      <c r="C826" s="87" t="s">
        <v>2064</v>
      </c>
      <c r="D826" s="48">
        <v>44782</v>
      </c>
      <c r="E826" s="19" t="s">
        <v>4656</v>
      </c>
      <c r="F826" s="6" t="s">
        <v>4657</v>
      </c>
      <c r="G826" s="6" t="s">
        <v>3291</v>
      </c>
      <c r="H826" s="6" t="s">
        <v>3292</v>
      </c>
    </row>
    <row r="827" spans="1:8" ht="12.75">
      <c r="A827" s="18">
        <v>2022</v>
      </c>
      <c r="B827" s="18">
        <v>116</v>
      </c>
      <c r="C827" s="87" t="s">
        <v>45</v>
      </c>
      <c r="D827" s="48">
        <v>44783</v>
      </c>
      <c r="E827" s="19" t="s">
        <v>4658</v>
      </c>
      <c r="F827" s="6" t="s">
        <v>4659</v>
      </c>
      <c r="G827" s="6" t="s">
        <v>3325</v>
      </c>
      <c r="H827" s="6" t="s">
        <v>3292</v>
      </c>
    </row>
    <row r="828" spans="1:8" ht="12.75">
      <c r="A828" s="18">
        <v>2022</v>
      </c>
      <c r="B828" s="18">
        <v>118</v>
      </c>
      <c r="C828" s="87" t="s">
        <v>370</v>
      </c>
      <c r="D828" s="48">
        <v>44784</v>
      </c>
      <c r="E828" s="19" t="s">
        <v>4236</v>
      </c>
      <c r="F828" s="6" t="s">
        <v>4660</v>
      </c>
      <c r="G828" s="6" t="s">
        <v>4543</v>
      </c>
      <c r="H828" s="6" t="s">
        <v>3292</v>
      </c>
    </row>
    <row r="829" spans="1:8" ht="12.75">
      <c r="A829" s="18">
        <v>2022</v>
      </c>
      <c r="B829" s="18">
        <v>118</v>
      </c>
      <c r="C829" s="87" t="s">
        <v>370</v>
      </c>
      <c r="D829" s="48">
        <v>44784</v>
      </c>
      <c r="E829" s="19" t="s">
        <v>4661</v>
      </c>
      <c r="F829" s="6" t="s">
        <v>4660</v>
      </c>
      <c r="G829" s="6" t="s">
        <v>4543</v>
      </c>
      <c r="H829" s="6" t="s">
        <v>3292</v>
      </c>
    </row>
    <row r="830" spans="1:8" ht="12.75">
      <c r="A830" s="18">
        <v>2022</v>
      </c>
      <c r="B830" s="18">
        <v>127</v>
      </c>
      <c r="C830" s="87" t="s">
        <v>28</v>
      </c>
      <c r="D830" s="48">
        <v>44798</v>
      </c>
      <c r="E830" s="19" t="s">
        <v>4382</v>
      </c>
      <c r="F830" s="6" t="s">
        <v>4662</v>
      </c>
      <c r="G830" s="6" t="s">
        <v>3432</v>
      </c>
      <c r="H830" s="6" t="s">
        <v>3292</v>
      </c>
    </row>
    <row r="831" spans="1:8" ht="12.75">
      <c r="A831" s="18">
        <v>2022</v>
      </c>
      <c r="B831" s="18">
        <v>128</v>
      </c>
      <c r="C831" s="87" t="s">
        <v>2074</v>
      </c>
      <c r="D831" s="48">
        <v>44803</v>
      </c>
      <c r="E831" s="19" t="s">
        <v>4663</v>
      </c>
      <c r="F831" s="6" t="s">
        <v>4664</v>
      </c>
      <c r="G831" s="6" t="s">
        <v>3446</v>
      </c>
      <c r="H831" s="6" t="s">
        <v>3288</v>
      </c>
    </row>
    <row r="832" spans="1:8" ht="12.75">
      <c r="A832" s="18">
        <v>2022</v>
      </c>
      <c r="B832" s="18">
        <v>128</v>
      </c>
      <c r="C832" s="87" t="s">
        <v>2074</v>
      </c>
      <c r="D832" s="48">
        <v>44803</v>
      </c>
      <c r="E832" s="19" t="s">
        <v>4665</v>
      </c>
      <c r="F832" s="6" t="s">
        <v>4620</v>
      </c>
      <c r="G832" s="6" t="s">
        <v>3446</v>
      </c>
      <c r="H832" s="6" t="s">
        <v>3288</v>
      </c>
    </row>
    <row r="833" spans="1:8" ht="12.75">
      <c r="A833" s="18">
        <v>2022</v>
      </c>
      <c r="B833" s="18">
        <v>131</v>
      </c>
      <c r="C833" s="87" t="s">
        <v>39</v>
      </c>
      <c r="D833" s="48">
        <v>44803</v>
      </c>
      <c r="E833" s="19" t="s">
        <v>4447</v>
      </c>
      <c r="F833" s="6" t="s">
        <v>4666</v>
      </c>
      <c r="G833" s="6" t="s">
        <v>3291</v>
      </c>
      <c r="H833" s="6" t="s">
        <v>3292</v>
      </c>
    </row>
    <row r="834" spans="1:8" ht="12.75">
      <c r="A834" s="18">
        <v>2022</v>
      </c>
      <c r="B834" s="18">
        <v>131</v>
      </c>
      <c r="C834" s="87" t="s">
        <v>39</v>
      </c>
      <c r="D834" s="48">
        <v>44803</v>
      </c>
      <c r="E834" s="19" t="s">
        <v>3666</v>
      </c>
      <c r="F834" s="6" t="s">
        <v>4667</v>
      </c>
      <c r="G834" s="6" t="s">
        <v>3291</v>
      </c>
      <c r="H834" s="6" t="s">
        <v>3292</v>
      </c>
    </row>
    <row r="835" spans="1:8" ht="12.75">
      <c r="A835" s="18">
        <v>2022</v>
      </c>
      <c r="B835" s="18">
        <v>131</v>
      </c>
      <c r="C835" s="87" t="s">
        <v>39</v>
      </c>
      <c r="D835" s="48">
        <v>44803</v>
      </c>
      <c r="E835" s="19" t="s">
        <v>4668</v>
      </c>
      <c r="F835" s="6" t="s">
        <v>4669</v>
      </c>
      <c r="G835" s="6" t="s">
        <v>3291</v>
      </c>
      <c r="H835" s="6" t="s">
        <v>3292</v>
      </c>
    </row>
    <row r="836" spans="1:8" ht="12.75">
      <c r="A836" s="18">
        <v>2022</v>
      </c>
      <c r="B836" s="18">
        <v>131</v>
      </c>
      <c r="C836" s="87" t="s">
        <v>39</v>
      </c>
      <c r="D836" s="48">
        <v>44803</v>
      </c>
      <c r="E836" s="19" t="s">
        <v>4670</v>
      </c>
      <c r="F836" s="6" t="s">
        <v>4671</v>
      </c>
      <c r="G836" s="6" t="s">
        <v>3291</v>
      </c>
      <c r="H836" s="6" t="s">
        <v>3292</v>
      </c>
    </row>
    <row r="837" spans="1:8" ht="12.75">
      <c r="A837" s="18">
        <v>2022</v>
      </c>
      <c r="B837" s="18">
        <v>136</v>
      </c>
      <c r="C837" s="87" t="s">
        <v>2579</v>
      </c>
      <c r="D837" s="48">
        <v>44810</v>
      </c>
      <c r="E837" s="19" t="s">
        <v>3703</v>
      </c>
      <c r="F837" s="6" t="s">
        <v>3704</v>
      </c>
      <c r="G837" s="6" t="s">
        <v>3325</v>
      </c>
      <c r="H837" s="6" t="s">
        <v>3292</v>
      </c>
    </row>
    <row r="838" spans="1:8" ht="12.75">
      <c r="A838" s="18">
        <v>2022</v>
      </c>
      <c r="B838" s="18">
        <v>138</v>
      </c>
      <c r="C838" s="87" t="s">
        <v>2074</v>
      </c>
      <c r="D838" s="48">
        <v>44811</v>
      </c>
      <c r="E838" s="19" t="s">
        <v>4672</v>
      </c>
      <c r="F838" s="6" t="s">
        <v>4673</v>
      </c>
      <c r="G838" s="6" t="s">
        <v>3993</v>
      </c>
      <c r="H838" s="6" t="s">
        <v>3513</v>
      </c>
    </row>
    <row r="839" spans="1:8" ht="12.75">
      <c r="A839" s="18">
        <v>2022</v>
      </c>
      <c r="B839" s="18">
        <v>138</v>
      </c>
      <c r="C839" s="87" t="s">
        <v>2074</v>
      </c>
      <c r="D839" s="48">
        <v>44811</v>
      </c>
      <c r="E839" s="19" t="s">
        <v>4674</v>
      </c>
      <c r="F839" s="6" t="s">
        <v>4675</v>
      </c>
      <c r="G839" s="6" t="s">
        <v>3439</v>
      </c>
      <c r="H839" s="6" t="s">
        <v>3288</v>
      </c>
    </row>
    <row r="840" spans="1:8" ht="12.75">
      <c r="A840" s="18">
        <v>2022</v>
      </c>
      <c r="B840" s="18">
        <v>138</v>
      </c>
      <c r="C840" s="87" t="s">
        <v>2074</v>
      </c>
      <c r="D840" s="48">
        <v>44811</v>
      </c>
      <c r="E840" s="19" t="s">
        <v>3447</v>
      </c>
      <c r="F840" s="6" t="s">
        <v>4676</v>
      </c>
      <c r="G840" s="6" t="s">
        <v>3446</v>
      </c>
      <c r="H840" s="6" t="s">
        <v>3288</v>
      </c>
    </row>
    <row r="841" spans="1:8" ht="12.75">
      <c r="A841" s="18">
        <v>2022</v>
      </c>
      <c r="B841" s="18">
        <v>138</v>
      </c>
      <c r="C841" s="87" t="s">
        <v>2074</v>
      </c>
      <c r="D841" s="48">
        <v>44811</v>
      </c>
      <c r="E841" s="19" t="s">
        <v>4677</v>
      </c>
      <c r="F841" s="6" t="s">
        <v>4678</v>
      </c>
      <c r="G841" s="6" t="s">
        <v>3389</v>
      </c>
      <c r="H841" s="6" t="s">
        <v>3288</v>
      </c>
    </row>
    <row r="842" spans="1:8" ht="12.75">
      <c r="A842" s="18">
        <v>2022</v>
      </c>
      <c r="B842" s="18">
        <v>138</v>
      </c>
      <c r="C842" s="87" t="s">
        <v>2074</v>
      </c>
      <c r="D842" s="48">
        <v>44811</v>
      </c>
      <c r="E842" s="19" t="s">
        <v>4679</v>
      </c>
      <c r="F842" s="6" t="s">
        <v>4680</v>
      </c>
      <c r="G842" s="6" t="s">
        <v>3389</v>
      </c>
      <c r="H842" s="6" t="s">
        <v>3288</v>
      </c>
    </row>
    <row r="843" spans="1:8" ht="12.75">
      <c r="A843" s="18">
        <v>2022</v>
      </c>
      <c r="B843" s="18">
        <v>141</v>
      </c>
      <c r="C843" s="87" t="s">
        <v>1980</v>
      </c>
      <c r="D843" s="48">
        <v>44812</v>
      </c>
      <c r="E843" s="19" t="s">
        <v>3544</v>
      </c>
      <c r="F843" s="6" t="s">
        <v>4420</v>
      </c>
      <c r="G843" s="6" t="s">
        <v>3546</v>
      </c>
      <c r="H843" s="6" t="s">
        <v>3292</v>
      </c>
    </row>
    <row r="844" spans="1:8" ht="12.75">
      <c r="A844" s="18">
        <v>2022</v>
      </c>
      <c r="B844" s="18">
        <v>141</v>
      </c>
      <c r="C844" s="87" t="s">
        <v>1980</v>
      </c>
      <c r="D844" s="48">
        <v>44812</v>
      </c>
      <c r="E844" s="19" t="s">
        <v>4421</v>
      </c>
      <c r="F844" s="6" t="s">
        <v>3548</v>
      </c>
      <c r="G844" s="6" t="s">
        <v>3546</v>
      </c>
      <c r="H844" s="6" t="s">
        <v>3292</v>
      </c>
    </row>
    <row r="845" spans="1:8" ht="12.75">
      <c r="A845" s="18">
        <v>2022</v>
      </c>
      <c r="B845" s="18">
        <v>142</v>
      </c>
      <c r="C845" s="87" t="s">
        <v>39</v>
      </c>
      <c r="D845" s="48">
        <v>44817</v>
      </c>
      <c r="E845" s="19" t="s">
        <v>4681</v>
      </c>
      <c r="F845" s="6" t="s">
        <v>4682</v>
      </c>
      <c r="G845" s="6" t="s">
        <v>3291</v>
      </c>
      <c r="H845" s="6" t="s">
        <v>3292</v>
      </c>
    </row>
    <row r="846" spans="1:8" ht="12.75">
      <c r="A846" s="18">
        <v>2022</v>
      </c>
      <c r="B846" s="18">
        <v>142</v>
      </c>
      <c r="C846" s="87" t="s">
        <v>39</v>
      </c>
      <c r="D846" s="48">
        <v>44817</v>
      </c>
      <c r="E846" s="19" t="s">
        <v>4683</v>
      </c>
      <c r="F846" s="6" t="s">
        <v>4684</v>
      </c>
      <c r="G846" s="6" t="s">
        <v>3291</v>
      </c>
      <c r="H846" s="6" t="s">
        <v>3292</v>
      </c>
    </row>
    <row r="847" spans="1:8" ht="12.75">
      <c r="A847" s="18">
        <v>2022</v>
      </c>
      <c r="B847" s="18">
        <v>142</v>
      </c>
      <c r="C847" s="87" t="s">
        <v>39</v>
      </c>
      <c r="D847" s="48">
        <v>44817</v>
      </c>
      <c r="E847" s="19" t="s">
        <v>4685</v>
      </c>
      <c r="F847" s="6" t="s">
        <v>4686</v>
      </c>
      <c r="G847" s="6" t="s">
        <v>3291</v>
      </c>
      <c r="H847" s="6" t="s">
        <v>3292</v>
      </c>
    </row>
    <row r="848" spans="1:8" ht="12.75">
      <c r="A848" s="18">
        <v>2022</v>
      </c>
      <c r="B848" s="18">
        <v>142</v>
      </c>
      <c r="C848" s="87" t="s">
        <v>39</v>
      </c>
      <c r="D848" s="48">
        <v>44817</v>
      </c>
      <c r="E848" s="19" t="s">
        <v>4687</v>
      </c>
      <c r="F848" s="6" t="s">
        <v>4688</v>
      </c>
      <c r="G848" s="6" t="s">
        <v>3291</v>
      </c>
      <c r="H848" s="6" t="s">
        <v>3292</v>
      </c>
    </row>
    <row r="849" spans="1:8" ht="12.75">
      <c r="A849" s="18">
        <v>2022</v>
      </c>
      <c r="B849" s="18">
        <v>142</v>
      </c>
      <c r="C849" s="87" t="s">
        <v>39</v>
      </c>
      <c r="D849" s="48">
        <v>44817</v>
      </c>
      <c r="E849" s="19" t="s">
        <v>4689</v>
      </c>
      <c r="F849" s="6" t="s">
        <v>4688</v>
      </c>
      <c r="G849" s="6" t="s">
        <v>3291</v>
      </c>
      <c r="H849" s="6" t="s">
        <v>3292</v>
      </c>
    </row>
    <row r="850" spans="1:8" ht="12.75">
      <c r="A850" s="18">
        <v>2022</v>
      </c>
      <c r="B850" s="18">
        <v>148</v>
      </c>
      <c r="C850" s="87" t="s">
        <v>41</v>
      </c>
      <c r="D850" s="48">
        <v>44824</v>
      </c>
      <c r="E850" s="19" t="s">
        <v>4690</v>
      </c>
      <c r="F850" s="6" t="s">
        <v>4691</v>
      </c>
      <c r="G850" s="6" t="s">
        <v>4692</v>
      </c>
      <c r="H850" s="6" t="s">
        <v>3513</v>
      </c>
    </row>
    <row r="851" spans="1:8" ht="12.75">
      <c r="A851" s="18">
        <v>2022</v>
      </c>
      <c r="B851" s="18">
        <v>148</v>
      </c>
      <c r="C851" s="87" t="s">
        <v>41</v>
      </c>
      <c r="D851" s="48">
        <v>44824</v>
      </c>
      <c r="E851" s="19" t="s">
        <v>4693</v>
      </c>
      <c r="F851" s="6" t="s">
        <v>4694</v>
      </c>
      <c r="G851" s="6" t="s">
        <v>3303</v>
      </c>
      <c r="H851" s="6" t="s">
        <v>3292</v>
      </c>
    </row>
    <row r="852" spans="1:8" ht="12.75">
      <c r="A852" s="18">
        <v>2022</v>
      </c>
      <c r="B852" s="18">
        <v>148</v>
      </c>
      <c r="C852" s="87" t="s">
        <v>41</v>
      </c>
      <c r="D852" s="48">
        <v>44824</v>
      </c>
      <c r="E852" s="19" t="s">
        <v>4695</v>
      </c>
      <c r="F852" s="6" t="s">
        <v>4696</v>
      </c>
      <c r="G852" s="6" t="s">
        <v>3303</v>
      </c>
      <c r="H852" s="6" t="s">
        <v>3292</v>
      </c>
    </row>
    <row r="853" spans="1:8" ht="12.75">
      <c r="A853" s="18">
        <v>2022</v>
      </c>
      <c r="B853" s="18">
        <v>150</v>
      </c>
      <c r="C853" s="87" t="s">
        <v>471</v>
      </c>
      <c r="D853" s="48">
        <v>44831</v>
      </c>
      <c r="E853" s="19" t="s">
        <v>4697</v>
      </c>
      <c r="F853" s="6" t="s">
        <v>4698</v>
      </c>
      <c r="G853" s="6" t="s">
        <v>1319</v>
      </c>
      <c r="H853" s="6" t="s">
        <v>3288</v>
      </c>
    </row>
    <row r="854" spans="1:8" ht="12.75">
      <c r="A854" s="18">
        <v>2022</v>
      </c>
      <c r="B854" s="18">
        <v>151</v>
      </c>
      <c r="C854" s="87" t="s">
        <v>2054</v>
      </c>
      <c r="D854" s="48">
        <v>44831</v>
      </c>
      <c r="E854" s="19" t="s">
        <v>4699</v>
      </c>
      <c r="F854" s="6" t="s">
        <v>3398</v>
      </c>
      <c r="G854" s="6" t="s">
        <v>3328</v>
      </c>
      <c r="H854" s="6" t="s">
        <v>3292</v>
      </c>
    </row>
    <row r="855" spans="1:8" ht="12.75">
      <c r="A855" s="18">
        <v>2022</v>
      </c>
      <c r="B855" s="18">
        <v>152</v>
      </c>
      <c r="C855" s="87" t="s">
        <v>2650</v>
      </c>
      <c r="D855" s="48">
        <v>44831</v>
      </c>
      <c r="E855" s="19" t="s">
        <v>4700</v>
      </c>
      <c r="F855" s="6" t="s">
        <v>4701</v>
      </c>
      <c r="G855" s="6" t="s">
        <v>4502</v>
      </c>
      <c r="H855" s="6" t="s">
        <v>3567</v>
      </c>
    </row>
    <row r="856" spans="1:8" ht="12.75">
      <c r="A856" s="18">
        <v>2022</v>
      </c>
      <c r="B856" s="18">
        <v>152</v>
      </c>
      <c r="C856" s="87" t="s">
        <v>2650</v>
      </c>
      <c r="D856" s="48">
        <v>44831</v>
      </c>
      <c r="E856" s="19" t="s">
        <v>4702</v>
      </c>
      <c r="F856" s="6" t="s">
        <v>4703</v>
      </c>
      <c r="G856" s="6" t="s">
        <v>4502</v>
      </c>
      <c r="H856" s="6" t="s">
        <v>3810</v>
      </c>
    </row>
    <row r="857" spans="1:8" ht="12.75">
      <c r="A857" s="18">
        <v>2022</v>
      </c>
      <c r="B857" s="18">
        <v>153</v>
      </c>
      <c r="C857" s="87" t="s">
        <v>471</v>
      </c>
      <c r="D857" s="48">
        <v>44832</v>
      </c>
      <c r="E857" s="19" t="s">
        <v>4704</v>
      </c>
      <c r="F857" s="6" t="s">
        <v>4705</v>
      </c>
      <c r="G857" s="6" t="s">
        <v>3409</v>
      </c>
      <c r="H857" s="6" t="s">
        <v>3288</v>
      </c>
    </row>
    <row r="858" spans="1:8" ht="12.75">
      <c r="A858" s="18">
        <v>2022</v>
      </c>
      <c r="B858" s="18">
        <v>153</v>
      </c>
      <c r="C858" s="87" t="s">
        <v>471</v>
      </c>
      <c r="D858" s="48">
        <v>44832</v>
      </c>
      <c r="E858" s="19" t="s">
        <v>4706</v>
      </c>
      <c r="F858" s="6" t="s">
        <v>4707</v>
      </c>
      <c r="G858" s="6" t="s">
        <v>3409</v>
      </c>
      <c r="H858" s="6" t="s">
        <v>3288</v>
      </c>
    </row>
    <row r="859" spans="1:8" ht="12.75">
      <c r="A859" s="18">
        <v>2022</v>
      </c>
      <c r="B859" s="18">
        <v>153</v>
      </c>
      <c r="C859" s="87" t="s">
        <v>471</v>
      </c>
      <c r="D859" s="48">
        <v>44832</v>
      </c>
      <c r="E859" s="19" t="s">
        <v>4708</v>
      </c>
      <c r="F859" s="6" t="s">
        <v>4709</v>
      </c>
      <c r="G859" s="6" t="s">
        <v>3409</v>
      </c>
      <c r="H859" s="6" t="s">
        <v>3288</v>
      </c>
    </row>
    <row r="860" spans="1:8" ht="12.75">
      <c r="A860" s="18">
        <v>2022</v>
      </c>
      <c r="B860" s="18">
        <v>156</v>
      </c>
      <c r="C860" s="87" t="s">
        <v>39</v>
      </c>
      <c r="D860" s="48">
        <v>44838</v>
      </c>
      <c r="E860" s="19" t="s">
        <v>4430</v>
      </c>
      <c r="F860" s="6" t="s">
        <v>4431</v>
      </c>
      <c r="G860" s="6" t="s">
        <v>3291</v>
      </c>
      <c r="H860" s="6" t="s">
        <v>3292</v>
      </c>
    </row>
    <row r="861" spans="1:8" ht="12.75">
      <c r="A861" s="18">
        <v>2022</v>
      </c>
      <c r="B861" s="18">
        <v>156</v>
      </c>
      <c r="C861" s="87" t="s">
        <v>39</v>
      </c>
      <c r="D861" s="48">
        <v>44838</v>
      </c>
      <c r="E861" s="19" t="s">
        <v>4710</v>
      </c>
      <c r="F861" s="6" t="s">
        <v>4711</v>
      </c>
      <c r="G861" s="6" t="s">
        <v>3291</v>
      </c>
      <c r="H861" s="6" t="s">
        <v>3292</v>
      </c>
    </row>
    <row r="862" spans="1:8" ht="12.75">
      <c r="A862" s="18">
        <v>2022</v>
      </c>
      <c r="B862" s="18">
        <v>156</v>
      </c>
      <c r="C862" s="87" t="s">
        <v>39</v>
      </c>
      <c r="D862" s="48">
        <v>44838</v>
      </c>
      <c r="E862" s="19" t="s">
        <v>4712</v>
      </c>
      <c r="F862" s="6" t="s">
        <v>4713</v>
      </c>
      <c r="G862" s="6" t="s">
        <v>3291</v>
      </c>
      <c r="H862" s="6" t="s">
        <v>3292</v>
      </c>
    </row>
    <row r="863" spans="1:8" ht="12.75">
      <c r="A863" s="18">
        <v>2022</v>
      </c>
      <c r="B863" s="18">
        <v>156</v>
      </c>
      <c r="C863" s="87" t="s">
        <v>39</v>
      </c>
      <c r="D863" s="48">
        <v>44838</v>
      </c>
      <c r="E863" s="19" t="s">
        <v>4628</v>
      </c>
      <c r="F863" s="6" t="s">
        <v>4629</v>
      </c>
      <c r="G863" s="6" t="s">
        <v>3291</v>
      </c>
      <c r="H863" s="6" t="s">
        <v>3292</v>
      </c>
    </row>
    <row r="864" spans="1:8" ht="12.75">
      <c r="A864" s="18">
        <v>2022</v>
      </c>
      <c r="B864" s="18">
        <v>156</v>
      </c>
      <c r="C864" s="87" t="s">
        <v>39</v>
      </c>
      <c r="D864" s="48">
        <v>44838</v>
      </c>
      <c r="E864" s="19" t="s">
        <v>4714</v>
      </c>
      <c r="F864" s="6" t="s">
        <v>4715</v>
      </c>
      <c r="G864" s="6" t="s">
        <v>3291</v>
      </c>
      <c r="H864" s="6" t="s">
        <v>3292</v>
      </c>
    </row>
    <row r="865" spans="1:8" ht="12.75">
      <c r="A865" s="18">
        <v>2022</v>
      </c>
      <c r="B865" s="18">
        <v>156</v>
      </c>
      <c r="C865" s="87" t="s">
        <v>39</v>
      </c>
      <c r="D865" s="48">
        <v>44838</v>
      </c>
      <c r="E865" s="19" t="s">
        <v>4630</v>
      </c>
      <c r="F865" s="6" t="s">
        <v>4631</v>
      </c>
      <c r="G865" s="6" t="s">
        <v>3291</v>
      </c>
      <c r="H865" s="6" t="s">
        <v>3292</v>
      </c>
    </row>
    <row r="866" spans="1:8" ht="12.75">
      <c r="A866" s="18">
        <v>2022</v>
      </c>
      <c r="B866" s="18">
        <v>156</v>
      </c>
      <c r="C866" s="87" t="s">
        <v>39</v>
      </c>
      <c r="D866" s="48">
        <v>44838</v>
      </c>
      <c r="E866" s="19" t="s">
        <v>4716</v>
      </c>
      <c r="F866" s="6" t="s">
        <v>4717</v>
      </c>
      <c r="G866" s="6" t="s">
        <v>3291</v>
      </c>
      <c r="H866" s="6" t="s">
        <v>3292</v>
      </c>
    </row>
    <row r="867" spans="1:8" ht="12.75">
      <c r="A867" s="18">
        <v>2022</v>
      </c>
      <c r="B867" s="18">
        <v>157</v>
      </c>
      <c r="C867" s="87" t="s">
        <v>2676</v>
      </c>
      <c r="D867" s="48">
        <v>44839</v>
      </c>
      <c r="E867" s="19" t="s">
        <v>3758</v>
      </c>
      <c r="F867" s="6" t="s">
        <v>4718</v>
      </c>
      <c r="G867" s="6" t="s">
        <v>3409</v>
      </c>
      <c r="H867" s="6" t="s">
        <v>3288</v>
      </c>
    </row>
    <row r="868" spans="1:8" ht="12.75">
      <c r="A868" s="18">
        <v>2022</v>
      </c>
      <c r="B868" s="18">
        <v>157</v>
      </c>
      <c r="C868" s="87" t="s">
        <v>2676</v>
      </c>
      <c r="D868" s="48">
        <v>44839</v>
      </c>
      <c r="E868" s="19" t="s">
        <v>4719</v>
      </c>
      <c r="F868" s="6" t="s">
        <v>4720</v>
      </c>
      <c r="G868" s="6" t="s">
        <v>3409</v>
      </c>
      <c r="H868" s="6" t="s">
        <v>3288</v>
      </c>
    </row>
    <row r="869" spans="1:8" ht="12.75">
      <c r="A869" s="18">
        <v>2022</v>
      </c>
      <c r="B869" s="18">
        <v>157</v>
      </c>
      <c r="C869" s="87" t="s">
        <v>2676</v>
      </c>
      <c r="D869" s="48">
        <v>44839</v>
      </c>
      <c r="E869" s="19" t="s">
        <v>4721</v>
      </c>
      <c r="F869" s="6" t="s">
        <v>4722</v>
      </c>
      <c r="G869" s="6" t="s">
        <v>3409</v>
      </c>
      <c r="H869" s="6" t="s">
        <v>3288</v>
      </c>
    </row>
    <row r="870" spans="1:8" ht="12.75">
      <c r="A870" s="18">
        <v>2022</v>
      </c>
      <c r="B870" s="18">
        <v>157</v>
      </c>
      <c r="C870" s="87" t="s">
        <v>2676</v>
      </c>
      <c r="D870" s="48">
        <v>44839</v>
      </c>
      <c r="E870" s="19" t="s">
        <v>4723</v>
      </c>
      <c r="F870" s="6" t="s">
        <v>4724</v>
      </c>
      <c r="G870" s="6" t="s">
        <v>3409</v>
      </c>
      <c r="H870" s="6" t="s">
        <v>3288</v>
      </c>
    </row>
    <row r="871" spans="1:8" ht="12.75">
      <c r="A871" s="18">
        <v>2022</v>
      </c>
      <c r="B871" s="18">
        <v>157</v>
      </c>
      <c r="C871" s="87" t="s">
        <v>2676</v>
      </c>
      <c r="D871" s="48">
        <v>44839</v>
      </c>
      <c r="E871" s="19" t="s">
        <v>4725</v>
      </c>
      <c r="F871" s="6" t="s">
        <v>4726</v>
      </c>
      <c r="G871" s="6" t="s">
        <v>3409</v>
      </c>
      <c r="H871" s="6" t="s">
        <v>3288</v>
      </c>
    </row>
    <row r="872" spans="1:8" ht="12.75">
      <c r="A872" s="18">
        <v>2022</v>
      </c>
      <c r="B872" s="18">
        <v>157</v>
      </c>
      <c r="C872" s="87" t="s">
        <v>2676</v>
      </c>
      <c r="D872" s="48">
        <v>44839</v>
      </c>
      <c r="E872" s="19" t="s">
        <v>4727</v>
      </c>
      <c r="F872" s="6" t="s">
        <v>4728</v>
      </c>
      <c r="G872" s="6" t="s">
        <v>3409</v>
      </c>
      <c r="H872" s="6" t="s">
        <v>3288</v>
      </c>
    </row>
    <row r="873" spans="1:8" ht="12.75">
      <c r="A873" s="18">
        <v>2022</v>
      </c>
      <c r="B873" s="18">
        <v>157</v>
      </c>
      <c r="C873" s="87" t="s">
        <v>2676</v>
      </c>
      <c r="D873" s="48">
        <v>44839</v>
      </c>
      <c r="E873" s="19" t="s">
        <v>4729</v>
      </c>
      <c r="F873" s="6" t="s">
        <v>4730</v>
      </c>
      <c r="G873" s="6" t="s">
        <v>3409</v>
      </c>
      <c r="H873" s="6" t="s">
        <v>3288</v>
      </c>
    </row>
    <row r="874" spans="1:8" ht="12.75">
      <c r="A874" s="18">
        <v>2022</v>
      </c>
      <c r="B874" s="18">
        <v>158</v>
      </c>
      <c r="C874" s="87" t="s">
        <v>2681</v>
      </c>
      <c r="D874" s="48">
        <v>44840</v>
      </c>
      <c r="E874" s="19" t="s">
        <v>4731</v>
      </c>
      <c r="F874" s="6" t="s">
        <v>4732</v>
      </c>
      <c r="G874" s="6" t="s">
        <v>4692</v>
      </c>
      <c r="H874" s="6" t="s">
        <v>3513</v>
      </c>
    </row>
    <row r="875" spans="1:8" ht="12.75">
      <c r="A875" s="18">
        <v>2022</v>
      </c>
      <c r="B875" s="18">
        <v>159</v>
      </c>
      <c r="C875" s="87" t="s">
        <v>148</v>
      </c>
      <c r="D875" s="48">
        <v>44840</v>
      </c>
      <c r="E875" s="19" t="s">
        <v>3994</v>
      </c>
      <c r="F875" s="6" t="s">
        <v>4733</v>
      </c>
      <c r="G875" s="6" t="s">
        <v>3309</v>
      </c>
      <c r="H875" s="6" t="s">
        <v>3292</v>
      </c>
    </row>
    <row r="876" spans="1:8" ht="12.75">
      <c r="A876" s="18">
        <v>2022</v>
      </c>
      <c r="B876" s="18">
        <v>159</v>
      </c>
      <c r="C876" s="87" t="s">
        <v>148</v>
      </c>
      <c r="D876" s="48">
        <v>44840</v>
      </c>
      <c r="E876" s="19" t="s">
        <v>3998</v>
      </c>
      <c r="F876" s="6" t="s">
        <v>4734</v>
      </c>
      <c r="G876" s="6" t="s">
        <v>3309</v>
      </c>
      <c r="H876" s="6" t="s">
        <v>3292</v>
      </c>
    </row>
    <row r="877" spans="1:8" ht="12.75">
      <c r="A877" s="18">
        <v>2022</v>
      </c>
      <c r="B877" s="18">
        <v>159</v>
      </c>
      <c r="C877" s="87" t="s">
        <v>148</v>
      </c>
      <c r="D877" s="48">
        <v>44840</v>
      </c>
      <c r="E877" s="19" t="s">
        <v>4735</v>
      </c>
      <c r="F877" s="6" t="s">
        <v>4736</v>
      </c>
      <c r="G877" s="6" t="s">
        <v>3309</v>
      </c>
      <c r="H877" s="6" t="s">
        <v>3292</v>
      </c>
    </row>
    <row r="878" spans="1:8" ht="12.75">
      <c r="A878" s="18">
        <v>2022</v>
      </c>
      <c r="B878" s="18">
        <v>159</v>
      </c>
      <c r="C878" s="87" t="s">
        <v>148</v>
      </c>
      <c r="D878" s="48">
        <v>44840</v>
      </c>
      <c r="E878" s="19" t="s">
        <v>4737</v>
      </c>
      <c r="F878" s="6" t="s">
        <v>4738</v>
      </c>
      <c r="G878" s="6" t="s">
        <v>3309</v>
      </c>
      <c r="H878" s="6" t="s">
        <v>3292</v>
      </c>
    </row>
    <row r="879" spans="1:8" ht="12.75">
      <c r="A879" s="18">
        <v>2022</v>
      </c>
      <c r="B879" s="18">
        <v>160</v>
      </c>
      <c r="C879" s="87" t="s">
        <v>47</v>
      </c>
      <c r="D879" s="59">
        <v>44845</v>
      </c>
      <c r="E879" s="19" t="s">
        <v>4739</v>
      </c>
      <c r="F879" s="6" t="s">
        <v>4740</v>
      </c>
      <c r="G879" s="6" t="s">
        <v>4502</v>
      </c>
      <c r="H879" s="6" t="s">
        <v>3567</v>
      </c>
    </row>
    <row r="880" spans="1:8" ht="12.75">
      <c r="A880" s="18">
        <v>2022</v>
      </c>
      <c r="B880" s="18">
        <v>164</v>
      </c>
      <c r="C880" s="87" t="s">
        <v>37</v>
      </c>
      <c r="D880" s="59">
        <v>44847</v>
      </c>
      <c r="E880" s="19" t="s">
        <v>4741</v>
      </c>
      <c r="F880" s="6" t="s">
        <v>4742</v>
      </c>
      <c r="G880" s="6" t="s">
        <v>3409</v>
      </c>
      <c r="H880" s="6" t="s">
        <v>3288</v>
      </c>
    </row>
    <row r="881" spans="1:8" ht="12.75">
      <c r="A881" s="18">
        <v>2022</v>
      </c>
      <c r="B881" s="18">
        <v>164</v>
      </c>
      <c r="C881" s="87" t="s">
        <v>37</v>
      </c>
      <c r="D881" s="59">
        <v>44847</v>
      </c>
      <c r="E881" s="19" t="s">
        <v>4743</v>
      </c>
      <c r="F881" s="6" t="s">
        <v>4744</v>
      </c>
      <c r="G881" s="6" t="s">
        <v>3409</v>
      </c>
      <c r="H881" s="6" t="s">
        <v>3288</v>
      </c>
    </row>
    <row r="882" spans="1:8" ht="12.75">
      <c r="A882" s="18">
        <v>2022</v>
      </c>
      <c r="B882" s="18">
        <v>164</v>
      </c>
      <c r="C882" s="87" t="s">
        <v>37</v>
      </c>
      <c r="D882" s="59">
        <v>44847</v>
      </c>
      <c r="E882" s="19" t="s">
        <v>4745</v>
      </c>
      <c r="F882" s="6" t="s">
        <v>4746</v>
      </c>
      <c r="G882" s="6" t="s">
        <v>3409</v>
      </c>
      <c r="H882" s="6" t="s">
        <v>3288</v>
      </c>
    </row>
    <row r="883" spans="1:8" ht="12.75">
      <c r="A883" s="18">
        <v>2022</v>
      </c>
      <c r="B883" s="18">
        <v>164</v>
      </c>
      <c r="C883" s="87" t="s">
        <v>37</v>
      </c>
      <c r="D883" s="59">
        <v>44847</v>
      </c>
      <c r="E883" s="19" t="s">
        <v>4747</v>
      </c>
      <c r="F883" s="6" t="s">
        <v>4748</v>
      </c>
      <c r="G883" s="6" t="s">
        <v>3409</v>
      </c>
      <c r="H883" s="6" t="s">
        <v>3288</v>
      </c>
    </row>
    <row r="884" spans="1:8" ht="12.75">
      <c r="A884" s="18">
        <v>2022</v>
      </c>
      <c r="B884" s="18">
        <v>164</v>
      </c>
      <c r="C884" s="87" t="s">
        <v>37</v>
      </c>
      <c r="D884" s="59">
        <v>44847</v>
      </c>
      <c r="E884" s="19" t="s">
        <v>4749</v>
      </c>
      <c r="F884" s="6" t="s">
        <v>4750</v>
      </c>
      <c r="G884" s="6" t="s">
        <v>3409</v>
      </c>
      <c r="H884" s="6" t="s">
        <v>3288</v>
      </c>
    </row>
    <row r="885" spans="1:8" ht="12.75">
      <c r="A885" s="18">
        <v>2022</v>
      </c>
      <c r="B885" s="18">
        <v>164</v>
      </c>
      <c r="C885" s="87" t="s">
        <v>37</v>
      </c>
      <c r="D885" s="59">
        <v>44847</v>
      </c>
      <c r="E885" s="19" t="s">
        <v>4751</v>
      </c>
      <c r="F885" s="6" t="s">
        <v>4752</v>
      </c>
      <c r="G885" s="6" t="s">
        <v>3409</v>
      </c>
      <c r="H885" s="6" t="s">
        <v>3288</v>
      </c>
    </row>
    <row r="886" spans="1:8" ht="12.75">
      <c r="A886" s="18">
        <v>2022</v>
      </c>
      <c r="B886" s="18">
        <v>165</v>
      </c>
      <c r="C886" s="87" t="s">
        <v>2676</v>
      </c>
      <c r="D886" s="59">
        <v>44847</v>
      </c>
      <c r="E886" s="19" t="s">
        <v>4753</v>
      </c>
      <c r="F886" s="6" t="s">
        <v>3704</v>
      </c>
      <c r="G886" s="6" t="s">
        <v>3325</v>
      </c>
      <c r="H886" s="6" t="s">
        <v>3292</v>
      </c>
    </row>
    <row r="887" spans="1:8" ht="12.75">
      <c r="A887" s="18">
        <v>2022</v>
      </c>
      <c r="B887" s="18">
        <v>168</v>
      </c>
      <c r="C887" s="87" t="s">
        <v>148</v>
      </c>
      <c r="D887" s="59">
        <v>44854</v>
      </c>
      <c r="E887" s="19" t="s">
        <v>4754</v>
      </c>
      <c r="F887" s="6" t="s">
        <v>4755</v>
      </c>
      <c r="G887" s="6" t="s">
        <v>3309</v>
      </c>
      <c r="H887" s="6" t="s">
        <v>3292</v>
      </c>
    </row>
    <row r="888" spans="1:8" ht="12.75">
      <c r="A888" s="18">
        <v>2022</v>
      </c>
      <c r="B888" s="18">
        <v>169</v>
      </c>
      <c r="C888" s="87" t="s">
        <v>47</v>
      </c>
      <c r="D888" s="59">
        <v>44859</v>
      </c>
      <c r="E888" s="19" t="s">
        <v>4756</v>
      </c>
      <c r="F888" s="6" t="s">
        <v>4757</v>
      </c>
      <c r="G888" s="6" t="s">
        <v>4502</v>
      </c>
      <c r="H888" s="6" t="s">
        <v>3567</v>
      </c>
    </row>
    <row r="889" spans="1:8" ht="12.75">
      <c r="A889" s="18">
        <v>2022</v>
      </c>
      <c r="B889" s="18">
        <v>171</v>
      </c>
      <c r="C889" s="87" t="s">
        <v>39</v>
      </c>
      <c r="D889" s="59">
        <v>44859</v>
      </c>
      <c r="E889" s="19" t="s">
        <v>4758</v>
      </c>
      <c r="F889" s="6" t="s">
        <v>4759</v>
      </c>
      <c r="G889" s="6" t="s">
        <v>3291</v>
      </c>
      <c r="H889" s="6" t="s">
        <v>3292</v>
      </c>
    </row>
    <row r="890" spans="1:8" ht="12.75">
      <c r="A890" s="18">
        <v>2022</v>
      </c>
      <c r="B890" s="18">
        <v>171</v>
      </c>
      <c r="C890" s="87" t="s">
        <v>39</v>
      </c>
      <c r="D890" s="59">
        <v>44859</v>
      </c>
      <c r="E890" s="19" t="s">
        <v>4760</v>
      </c>
      <c r="F890" s="6" t="s">
        <v>4761</v>
      </c>
      <c r="G890" s="6" t="s">
        <v>3291</v>
      </c>
      <c r="H890" s="6" t="s">
        <v>3292</v>
      </c>
    </row>
    <row r="891" spans="1:8" ht="12.75">
      <c r="A891" s="18">
        <v>2022</v>
      </c>
      <c r="B891" s="18">
        <v>171</v>
      </c>
      <c r="C891" s="87" t="s">
        <v>39</v>
      </c>
      <c r="D891" s="59">
        <v>44859</v>
      </c>
      <c r="E891" s="19" t="s">
        <v>4762</v>
      </c>
      <c r="F891" s="6" t="s">
        <v>4763</v>
      </c>
      <c r="G891" s="6" t="s">
        <v>3291</v>
      </c>
      <c r="H891" s="6" t="s">
        <v>3292</v>
      </c>
    </row>
    <row r="892" spans="1:8" ht="12.75">
      <c r="A892" s="18">
        <v>2022</v>
      </c>
      <c r="B892" s="18">
        <v>176</v>
      </c>
      <c r="C892" s="87" t="s">
        <v>51</v>
      </c>
      <c r="D892" s="59">
        <v>44861</v>
      </c>
      <c r="E892" s="19" t="s">
        <v>4764</v>
      </c>
      <c r="F892" s="6" t="s">
        <v>4765</v>
      </c>
      <c r="G892" s="6" t="s">
        <v>3446</v>
      </c>
      <c r="H892" s="6" t="s">
        <v>3288</v>
      </c>
    </row>
    <row r="893" spans="1:8" ht="12.75">
      <c r="A893" s="18">
        <v>2022</v>
      </c>
      <c r="B893" s="18">
        <v>176</v>
      </c>
      <c r="C893" s="87" t="s">
        <v>51</v>
      </c>
      <c r="D893" s="59">
        <v>44861</v>
      </c>
      <c r="E893" s="19" t="s">
        <v>4766</v>
      </c>
      <c r="F893" s="6" t="s">
        <v>4767</v>
      </c>
      <c r="G893" s="6" t="s">
        <v>4565</v>
      </c>
      <c r="H893" s="6" t="s">
        <v>3288</v>
      </c>
    </row>
    <row r="894" spans="1:8" ht="12.75">
      <c r="A894" s="18">
        <v>2022</v>
      </c>
      <c r="B894" s="18">
        <v>176</v>
      </c>
      <c r="C894" s="87" t="s">
        <v>51</v>
      </c>
      <c r="D894" s="59">
        <v>44861</v>
      </c>
      <c r="E894" s="19" t="s">
        <v>4768</v>
      </c>
      <c r="F894" s="6" t="s">
        <v>4769</v>
      </c>
      <c r="G894" s="6" t="s">
        <v>3439</v>
      </c>
      <c r="H894" s="6" t="s">
        <v>3288</v>
      </c>
    </row>
    <row r="895" spans="1:8" ht="12.75">
      <c r="A895" s="18">
        <v>2022</v>
      </c>
      <c r="B895" s="18">
        <v>177</v>
      </c>
      <c r="C895" s="87" t="s">
        <v>37</v>
      </c>
      <c r="D895" s="48">
        <v>44866</v>
      </c>
      <c r="E895" s="19" t="s">
        <v>3978</v>
      </c>
      <c r="F895" s="6" t="s">
        <v>4770</v>
      </c>
      <c r="G895" s="6" t="s">
        <v>3439</v>
      </c>
      <c r="H895" s="6" t="s">
        <v>3288</v>
      </c>
    </row>
    <row r="896" spans="1:8" ht="12.75">
      <c r="A896" s="18">
        <v>2022</v>
      </c>
      <c r="B896" s="18">
        <v>177</v>
      </c>
      <c r="C896" s="87" t="s">
        <v>37</v>
      </c>
      <c r="D896" s="48">
        <v>44866</v>
      </c>
      <c r="E896" s="19" t="s">
        <v>4771</v>
      </c>
      <c r="F896" s="6" t="s">
        <v>4772</v>
      </c>
      <c r="G896" s="6" t="s">
        <v>3389</v>
      </c>
      <c r="H896" s="6" t="s">
        <v>3288</v>
      </c>
    </row>
    <row r="897" spans="1:8" ht="12.75">
      <c r="A897" s="18">
        <v>2022</v>
      </c>
      <c r="B897" s="18">
        <v>177</v>
      </c>
      <c r="C897" s="87" t="s">
        <v>37</v>
      </c>
      <c r="D897" s="48">
        <v>44866</v>
      </c>
      <c r="E897" s="19" t="s">
        <v>4773</v>
      </c>
      <c r="F897" s="6" t="s">
        <v>4774</v>
      </c>
      <c r="G897" s="6" t="s">
        <v>4565</v>
      </c>
      <c r="H897" s="6" t="s">
        <v>3288</v>
      </c>
    </row>
    <row r="898" spans="1:8" ht="12.75">
      <c r="A898" s="18">
        <v>2022</v>
      </c>
      <c r="B898" s="18">
        <v>177</v>
      </c>
      <c r="C898" s="87" t="s">
        <v>37</v>
      </c>
      <c r="D898" s="48">
        <v>44866</v>
      </c>
      <c r="E898" s="19" t="s">
        <v>4775</v>
      </c>
      <c r="F898" s="6" t="s">
        <v>4776</v>
      </c>
      <c r="G898" s="6" t="s">
        <v>3389</v>
      </c>
      <c r="H898" s="6" t="s">
        <v>3288</v>
      </c>
    </row>
    <row r="899" spans="1:8" ht="12.75">
      <c r="A899" s="18">
        <v>2022</v>
      </c>
      <c r="B899" s="18">
        <v>177</v>
      </c>
      <c r="C899" s="87" t="s">
        <v>37</v>
      </c>
      <c r="D899" s="48">
        <v>44866</v>
      </c>
      <c r="E899" s="19" t="s">
        <v>4777</v>
      </c>
      <c r="F899" s="6" t="s">
        <v>4778</v>
      </c>
      <c r="G899" s="6" t="s">
        <v>3469</v>
      </c>
      <c r="H899" s="6" t="s">
        <v>3288</v>
      </c>
    </row>
    <row r="900" spans="1:8" ht="12.75">
      <c r="A900" s="18">
        <v>2022</v>
      </c>
      <c r="B900" s="18">
        <v>177</v>
      </c>
      <c r="C900" s="87" t="s">
        <v>37</v>
      </c>
      <c r="D900" s="48">
        <v>44866</v>
      </c>
      <c r="E900" s="19" t="s">
        <v>4779</v>
      </c>
      <c r="F900" s="6" t="s">
        <v>4780</v>
      </c>
      <c r="G900" s="6" t="s">
        <v>3469</v>
      </c>
      <c r="H900" s="6" t="s">
        <v>3288</v>
      </c>
    </row>
    <row r="901" spans="1:8" ht="12.75">
      <c r="A901" s="18">
        <v>2022</v>
      </c>
      <c r="B901" s="18">
        <v>178</v>
      </c>
      <c r="C901" s="87" t="s">
        <v>55</v>
      </c>
      <c r="D901" s="48">
        <v>44866</v>
      </c>
      <c r="E901" s="19" t="s">
        <v>4781</v>
      </c>
      <c r="F901" s="6" t="s">
        <v>4782</v>
      </c>
      <c r="G901" s="6" t="s">
        <v>3409</v>
      </c>
      <c r="H901" s="6" t="s">
        <v>3288</v>
      </c>
    </row>
    <row r="902" spans="1:8" ht="12.75">
      <c r="A902" s="18">
        <v>2022</v>
      </c>
      <c r="B902" s="18">
        <v>179</v>
      </c>
      <c r="C902" s="87" t="s">
        <v>47</v>
      </c>
      <c r="D902" s="48">
        <v>44866</v>
      </c>
      <c r="E902" s="19" t="s">
        <v>4783</v>
      </c>
      <c r="F902" s="6" t="s">
        <v>4784</v>
      </c>
      <c r="G902" s="6" t="s">
        <v>4502</v>
      </c>
      <c r="H902" s="6" t="s">
        <v>3567</v>
      </c>
    </row>
    <row r="903" spans="1:8" ht="12.75">
      <c r="A903" s="18">
        <v>2022</v>
      </c>
      <c r="B903" s="18">
        <v>185</v>
      </c>
      <c r="C903" s="87" t="s">
        <v>28</v>
      </c>
      <c r="D903" s="59">
        <v>44875</v>
      </c>
      <c r="E903" s="19" t="s">
        <v>4785</v>
      </c>
      <c r="F903" s="6" t="s">
        <v>4786</v>
      </c>
      <c r="G903" s="6" t="s">
        <v>3432</v>
      </c>
      <c r="H903" s="6" t="s">
        <v>3292</v>
      </c>
    </row>
    <row r="904" spans="1:8" ht="12.75">
      <c r="A904" s="18">
        <v>2022</v>
      </c>
      <c r="B904" s="18">
        <v>185</v>
      </c>
      <c r="C904" s="87" t="s">
        <v>28</v>
      </c>
      <c r="D904" s="59">
        <v>44875</v>
      </c>
      <c r="E904" s="19" t="s">
        <v>4382</v>
      </c>
      <c r="F904" s="6" t="s">
        <v>4787</v>
      </c>
      <c r="G904" s="6" t="s">
        <v>3432</v>
      </c>
      <c r="H904" s="6" t="s">
        <v>3292</v>
      </c>
    </row>
    <row r="905" spans="1:8" ht="12.75">
      <c r="A905" s="18">
        <v>2022</v>
      </c>
      <c r="B905" s="18">
        <v>186</v>
      </c>
      <c r="C905" s="87" t="s">
        <v>47</v>
      </c>
      <c r="D905" s="59">
        <v>44875</v>
      </c>
      <c r="E905" s="19" t="s">
        <v>4788</v>
      </c>
      <c r="F905" s="6" t="s">
        <v>4789</v>
      </c>
      <c r="G905" s="6" t="s">
        <v>4502</v>
      </c>
      <c r="H905" s="6" t="s">
        <v>3567</v>
      </c>
    </row>
    <row r="906" spans="1:8" ht="12.75">
      <c r="A906" s="18">
        <v>2022</v>
      </c>
      <c r="B906" s="18">
        <v>187</v>
      </c>
      <c r="C906" s="87" t="s">
        <v>148</v>
      </c>
      <c r="D906" s="59">
        <v>44875</v>
      </c>
      <c r="E906" s="19" t="s">
        <v>4143</v>
      </c>
      <c r="F906" s="6" t="s">
        <v>4144</v>
      </c>
      <c r="G906" s="6" t="s">
        <v>3309</v>
      </c>
      <c r="H906" s="6" t="s">
        <v>3292</v>
      </c>
    </row>
    <row r="907" spans="1:8" ht="12.75">
      <c r="A907" s="18">
        <v>2022</v>
      </c>
      <c r="B907" s="18">
        <v>187</v>
      </c>
      <c r="C907" s="87" t="s">
        <v>148</v>
      </c>
      <c r="D907" s="59">
        <v>44875</v>
      </c>
      <c r="E907" s="19" t="s">
        <v>4145</v>
      </c>
      <c r="F907" s="6" t="s">
        <v>4146</v>
      </c>
      <c r="G907" s="6" t="s">
        <v>3309</v>
      </c>
      <c r="H907" s="6" t="s">
        <v>3292</v>
      </c>
    </row>
    <row r="908" spans="1:8" ht="12.75">
      <c r="A908" s="18">
        <v>2022</v>
      </c>
      <c r="B908" s="18">
        <v>187</v>
      </c>
      <c r="C908" s="87" t="s">
        <v>148</v>
      </c>
      <c r="D908" s="59">
        <v>44875</v>
      </c>
      <c r="E908" s="19" t="s">
        <v>4147</v>
      </c>
      <c r="F908" s="6" t="s">
        <v>4790</v>
      </c>
      <c r="G908" s="6" t="s">
        <v>3309</v>
      </c>
      <c r="H908" s="6" t="s">
        <v>3292</v>
      </c>
    </row>
    <row r="909" spans="1:8" ht="12.75">
      <c r="A909" s="18">
        <v>2022</v>
      </c>
      <c r="B909" s="18">
        <v>187</v>
      </c>
      <c r="C909" s="87" t="s">
        <v>148</v>
      </c>
      <c r="D909" s="59">
        <v>44875</v>
      </c>
      <c r="E909" s="19" t="s">
        <v>4149</v>
      </c>
      <c r="F909" s="6" t="s">
        <v>4791</v>
      </c>
      <c r="G909" s="6" t="s">
        <v>3309</v>
      </c>
      <c r="H909" s="6" t="s">
        <v>3292</v>
      </c>
    </row>
    <row r="910" spans="1:8" ht="12.75">
      <c r="A910" s="18">
        <v>2022</v>
      </c>
      <c r="B910" s="18">
        <v>187</v>
      </c>
      <c r="C910" s="87" t="s">
        <v>148</v>
      </c>
      <c r="D910" s="59">
        <v>44875</v>
      </c>
      <c r="E910" s="19" t="s">
        <v>4792</v>
      </c>
      <c r="F910" s="6" t="s">
        <v>4793</v>
      </c>
      <c r="G910" s="6" t="s">
        <v>3309</v>
      </c>
      <c r="H910" s="6" t="s">
        <v>3292</v>
      </c>
    </row>
    <row r="911" spans="1:8" ht="12.75">
      <c r="A911" s="18">
        <v>2022</v>
      </c>
      <c r="B911" s="18">
        <v>187</v>
      </c>
      <c r="C911" s="87" t="s">
        <v>148</v>
      </c>
      <c r="D911" s="59">
        <v>44875</v>
      </c>
      <c r="E911" s="19" t="s">
        <v>4794</v>
      </c>
      <c r="F911" s="6" t="s">
        <v>4795</v>
      </c>
      <c r="G911" s="6" t="s">
        <v>3309</v>
      </c>
      <c r="H911" s="6" t="s">
        <v>3292</v>
      </c>
    </row>
    <row r="912" spans="1:8" ht="12.75">
      <c r="A912" s="18">
        <v>2022</v>
      </c>
      <c r="B912" s="18">
        <v>187</v>
      </c>
      <c r="C912" s="87" t="s">
        <v>148</v>
      </c>
      <c r="D912" s="59">
        <v>44875</v>
      </c>
      <c r="E912" s="19" t="s">
        <v>4796</v>
      </c>
      <c r="F912" s="6" t="s">
        <v>4797</v>
      </c>
      <c r="G912" s="6" t="s">
        <v>3309</v>
      </c>
      <c r="H912" s="6" t="s">
        <v>3292</v>
      </c>
    </row>
    <row r="913" spans="1:8" ht="12.75">
      <c r="A913" s="18">
        <v>2022</v>
      </c>
      <c r="B913" s="18">
        <v>187</v>
      </c>
      <c r="C913" s="87" t="s">
        <v>148</v>
      </c>
      <c r="D913" s="59">
        <v>44875</v>
      </c>
      <c r="E913" s="19" t="s">
        <v>4798</v>
      </c>
      <c r="F913" s="6" t="s">
        <v>4799</v>
      </c>
      <c r="G913" s="6" t="s">
        <v>3309</v>
      </c>
      <c r="H913" s="6" t="s">
        <v>3292</v>
      </c>
    </row>
    <row r="914" spans="1:8" ht="12.75">
      <c r="A914" s="18">
        <v>2022</v>
      </c>
      <c r="B914" s="18">
        <v>187</v>
      </c>
      <c r="C914" s="87" t="s">
        <v>148</v>
      </c>
      <c r="D914" s="59">
        <v>44875</v>
      </c>
      <c r="E914" s="19" t="s">
        <v>4800</v>
      </c>
      <c r="F914" s="6" t="s">
        <v>4801</v>
      </c>
      <c r="G914" s="6" t="s">
        <v>3309</v>
      </c>
      <c r="H914" s="6" t="s">
        <v>3292</v>
      </c>
    </row>
    <row r="915" spans="1:8" ht="12.75">
      <c r="A915" s="18">
        <v>2022</v>
      </c>
      <c r="B915" s="18">
        <v>187</v>
      </c>
      <c r="C915" s="87" t="s">
        <v>148</v>
      </c>
      <c r="D915" s="59">
        <v>44875</v>
      </c>
      <c r="E915" s="19" t="s">
        <v>4802</v>
      </c>
      <c r="F915" s="6" t="s">
        <v>4803</v>
      </c>
      <c r="G915" s="6" t="s">
        <v>3309</v>
      </c>
      <c r="H915" s="6" t="s">
        <v>3292</v>
      </c>
    </row>
    <row r="916" spans="1:8" ht="12.75">
      <c r="A916" s="18">
        <v>2022</v>
      </c>
      <c r="B916" s="18">
        <v>187</v>
      </c>
      <c r="C916" s="87" t="s">
        <v>148</v>
      </c>
      <c r="D916" s="59">
        <v>44875</v>
      </c>
      <c r="E916" s="19" t="s">
        <v>4804</v>
      </c>
      <c r="F916" s="6" t="s">
        <v>4805</v>
      </c>
      <c r="G916" s="6" t="s">
        <v>3309</v>
      </c>
      <c r="H916" s="6" t="s">
        <v>3292</v>
      </c>
    </row>
    <row r="917" spans="1:8" ht="12.75">
      <c r="A917" s="18">
        <v>2022</v>
      </c>
      <c r="B917" s="18">
        <v>188</v>
      </c>
      <c r="C917" s="87" t="s">
        <v>2011</v>
      </c>
      <c r="D917" s="59">
        <v>44880</v>
      </c>
      <c r="E917" s="19" t="s">
        <v>4806</v>
      </c>
      <c r="F917" s="6" t="s">
        <v>3345</v>
      </c>
      <c r="G917" s="6" t="s">
        <v>3311</v>
      </c>
      <c r="H917" s="6" t="s">
        <v>3292</v>
      </c>
    </row>
    <row r="918" spans="1:8" ht="12.75">
      <c r="A918" s="18">
        <v>2022</v>
      </c>
      <c r="B918" s="18">
        <v>188</v>
      </c>
      <c r="C918" s="87" t="s">
        <v>2011</v>
      </c>
      <c r="D918" s="59">
        <v>44880</v>
      </c>
      <c r="E918" s="19" t="s">
        <v>3780</v>
      </c>
      <c r="F918" s="6" t="s">
        <v>3781</v>
      </c>
      <c r="G918" s="6" t="s">
        <v>3311</v>
      </c>
      <c r="H918" s="6" t="s">
        <v>3292</v>
      </c>
    </row>
    <row r="919" spans="1:8" ht="12.75">
      <c r="A919" s="18">
        <v>2022</v>
      </c>
      <c r="B919" s="18">
        <v>188</v>
      </c>
      <c r="C919" s="87" t="s">
        <v>2011</v>
      </c>
      <c r="D919" s="59">
        <v>44880</v>
      </c>
      <c r="E919" s="19" t="s">
        <v>4648</v>
      </c>
      <c r="F919" s="6" t="s">
        <v>4807</v>
      </c>
      <c r="G919" s="6" t="s">
        <v>3311</v>
      </c>
      <c r="H919" s="6" t="s">
        <v>3292</v>
      </c>
    </row>
    <row r="920" spans="1:8" ht="12.75">
      <c r="A920" s="18">
        <v>2022</v>
      </c>
      <c r="B920" s="18">
        <v>188</v>
      </c>
      <c r="C920" s="87" t="s">
        <v>2011</v>
      </c>
      <c r="D920" s="59">
        <v>44880</v>
      </c>
      <c r="E920" s="19" t="s">
        <v>4808</v>
      </c>
      <c r="F920" s="6" t="s">
        <v>4809</v>
      </c>
      <c r="G920" s="6" t="s">
        <v>3311</v>
      </c>
      <c r="H920" s="6" t="s">
        <v>3292</v>
      </c>
    </row>
    <row r="921" spans="1:8" ht="12.75">
      <c r="A921" s="18">
        <v>2022</v>
      </c>
      <c r="B921" s="18">
        <v>188</v>
      </c>
      <c r="C921" s="87" t="s">
        <v>2011</v>
      </c>
      <c r="D921" s="59">
        <v>44880</v>
      </c>
      <c r="E921" s="19" t="s">
        <v>4646</v>
      </c>
      <c r="F921" s="6" t="s">
        <v>4810</v>
      </c>
      <c r="G921" s="6" t="s">
        <v>3311</v>
      </c>
      <c r="H921" s="6" t="s">
        <v>3292</v>
      </c>
    </row>
    <row r="922" spans="1:8" ht="12.75">
      <c r="A922" s="18">
        <v>2022</v>
      </c>
      <c r="B922" s="18">
        <v>188</v>
      </c>
      <c r="C922" s="87" t="s">
        <v>2011</v>
      </c>
      <c r="D922" s="59">
        <v>44880</v>
      </c>
      <c r="E922" s="19" t="s">
        <v>4811</v>
      </c>
      <c r="F922" s="6" t="s">
        <v>4645</v>
      </c>
      <c r="G922" s="6" t="s">
        <v>3311</v>
      </c>
      <c r="H922" s="6" t="s">
        <v>3292</v>
      </c>
    </row>
    <row r="923" spans="1:8" ht="12.75">
      <c r="A923" s="18">
        <v>2022</v>
      </c>
      <c r="B923" s="18">
        <v>188</v>
      </c>
      <c r="C923" s="87" t="s">
        <v>2011</v>
      </c>
      <c r="D923" s="59">
        <v>44880</v>
      </c>
      <c r="E923" s="19" t="s">
        <v>4812</v>
      </c>
      <c r="F923" s="6" t="s">
        <v>4813</v>
      </c>
      <c r="G923" s="6" t="s">
        <v>3311</v>
      </c>
      <c r="H923" s="6" t="s">
        <v>3292</v>
      </c>
    </row>
    <row r="924" spans="1:8" ht="12.75">
      <c r="A924" s="18">
        <v>2022</v>
      </c>
      <c r="B924" s="18">
        <v>188</v>
      </c>
      <c r="C924" s="87" t="s">
        <v>2011</v>
      </c>
      <c r="D924" s="59">
        <v>44880</v>
      </c>
      <c r="E924" s="19" t="s">
        <v>4814</v>
      </c>
      <c r="F924" s="6" t="s">
        <v>4815</v>
      </c>
      <c r="G924" s="6" t="s">
        <v>3311</v>
      </c>
      <c r="H924" s="6" t="s">
        <v>3292</v>
      </c>
    </row>
    <row r="925" spans="1:8" ht="12.75">
      <c r="A925" s="18">
        <v>2022</v>
      </c>
      <c r="B925" s="18">
        <v>189</v>
      </c>
      <c r="C925" s="87" t="s">
        <v>39</v>
      </c>
      <c r="D925" s="59">
        <v>44880</v>
      </c>
      <c r="E925" s="19" t="s">
        <v>4574</v>
      </c>
      <c r="F925" s="6" t="s">
        <v>4666</v>
      </c>
      <c r="G925" s="6" t="s">
        <v>3291</v>
      </c>
      <c r="H925" s="6" t="s">
        <v>3292</v>
      </c>
    </row>
    <row r="926" spans="1:8" ht="12.75">
      <c r="A926" s="18">
        <v>2022</v>
      </c>
      <c r="B926" s="18">
        <v>189</v>
      </c>
      <c r="C926" s="87" t="s">
        <v>39</v>
      </c>
      <c r="D926" s="59">
        <v>44880</v>
      </c>
      <c r="E926" s="19" t="s">
        <v>4816</v>
      </c>
      <c r="F926" s="6" t="s">
        <v>4817</v>
      </c>
      <c r="G926" s="6" t="s">
        <v>3291</v>
      </c>
      <c r="H926" s="6" t="s">
        <v>3292</v>
      </c>
    </row>
    <row r="927" spans="1:8" ht="12.75">
      <c r="A927" s="18">
        <v>2022</v>
      </c>
      <c r="B927" s="18">
        <v>189</v>
      </c>
      <c r="C927" s="87" t="s">
        <v>39</v>
      </c>
      <c r="D927" s="59">
        <v>44880</v>
      </c>
      <c r="E927" s="19" t="s">
        <v>3664</v>
      </c>
      <c r="F927" s="6" t="s">
        <v>4818</v>
      </c>
      <c r="G927" s="6" t="s">
        <v>3291</v>
      </c>
      <c r="H927" s="6" t="s">
        <v>3292</v>
      </c>
    </row>
    <row r="928" spans="1:8" ht="12.75">
      <c r="A928" s="18">
        <v>2022</v>
      </c>
      <c r="B928" s="18">
        <v>189</v>
      </c>
      <c r="C928" s="87" t="s">
        <v>39</v>
      </c>
      <c r="D928" s="59">
        <v>44880</v>
      </c>
      <c r="E928" s="19" t="s">
        <v>4578</v>
      </c>
      <c r="F928" s="6" t="s">
        <v>4819</v>
      </c>
      <c r="G928" s="6" t="s">
        <v>3291</v>
      </c>
      <c r="H928" s="6" t="s">
        <v>3292</v>
      </c>
    </row>
    <row r="929" spans="1:8" ht="12.75">
      <c r="A929" s="18">
        <v>2022</v>
      </c>
      <c r="B929" s="18">
        <v>189</v>
      </c>
      <c r="C929" s="87" t="s">
        <v>39</v>
      </c>
      <c r="D929" s="59">
        <v>44880</v>
      </c>
      <c r="E929" s="19" t="s">
        <v>4580</v>
      </c>
      <c r="F929" s="6" t="s">
        <v>4579</v>
      </c>
      <c r="G929" s="6" t="s">
        <v>3291</v>
      </c>
      <c r="H929" s="6" t="s">
        <v>3292</v>
      </c>
    </row>
    <row r="930" spans="1:8" ht="12.75">
      <c r="A930" s="18">
        <v>2022</v>
      </c>
      <c r="B930" s="18">
        <v>189</v>
      </c>
      <c r="C930" s="87" t="s">
        <v>39</v>
      </c>
      <c r="D930" s="59">
        <v>44880</v>
      </c>
      <c r="E930" s="19" t="s">
        <v>3666</v>
      </c>
      <c r="F930" s="6" t="s">
        <v>4667</v>
      </c>
      <c r="G930" s="6" t="s">
        <v>3291</v>
      </c>
      <c r="H930" s="6" t="s">
        <v>3292</v>
      </c>
    </row>
    <row r="931" spans="1:8" ht="12.75">
      <c r="A931" s="18">
        <v>2022</v>
      </c>
      <c r="B931" s="18">
        <v>190</v>
      </c>
      <c r="C931" s="87" t="s">
        <v>2011</v>
      </c>
      <c r="D931" s="59">
        <v>44881</v>
      </c>
      <c r="E931" s="19" t="s">
        <v>3989</v>
      </c>
      <c r="F931" s="6" t="s">
        <v>4820</v>
      </c>
      <c r="G931" s="6" t="s">
        <v>3306</v>
      </c>
      <c r="H931" s="6" t="s">
        <v>3292</v>
      </c>
    </row>
    <row r="932" spans="1:8" ht="12.75">
      <c r="A932" s="18">
        <v>2022</v>
      </c>
      <c r="B932" s="18">
        <v>190</v>
      </c>
      <c r="C932" s="87" t="s">
        <v>2011</v>
      </c>
      <c r="D932" s="59">
        <v>44881</v>
      </c>
      <c r="E932" s="19" t="s">
        <v>4821</v>
      </c>
      <c r="F932" s="6" t="s">
        <v>3990</v>
      </c>
      <c r="G932" s="6" t="s">
        <v>3306</v>
      </c>
      <c r="H932" s="6" t="s">
        <v>3292</v>
      </c>
    </row>
    <row r="933" spans="1:8" ht="12.75">
      <c r="A933" s="18">
        <v>2022</v>
      </c>
      <c r="B933" s="18">
        <v>190</v>
      </c>
      <c r="C933" s="87" t="s">
        <v>2011</v>
      </c>
      <c r="D933" s="59">
        <v>44881</v>
      </c>
      <c r="E933" s="19" t="s">
        <v>4822</v>
      </c>
      <c r="F933" s="6" t="s">
        <v>4823</v>
      </c>
      <c r="G933" s="6" t="s">
        <v>3993</v>
      </c>
      <c r="H933" s="6" t="s">
        <v>3513</v>
      </c>
    </row>
    <row r="934" spans="1:8" ht="12.75">
      <c r="A934" s="18">
        <v>2022</v>
      </c>
      <c r="B934" s="18">
        <v>190</v>
      </c>
      <c r="C934" s="87" t="s">
        <v>2011</v>
      </c>
      <c r="D934" s="59">
        <v>44881</v>
      </c>
      <c r="E934" s="19" t="s">
        <v>4521</v>
      </c>
      <c r="F934" s="6" t="s">
        <v>3381</v>
      </c>
      <c r="G934" s="6" t="s">
        <v>3306</v>
      </c>
      <c r="H934" s="6" t="s">
        <v>3292</v>
      </c>
    </row>
    <row r="935" spans="1:8" ht="12.75">
      <c r="A935" s="18">
        <v>2022</v>
      </c>
      <c r="B935" s="18">
        <v>191</v>
      </c>
      <c r="C935" s="87" t="s">
        <v>2011</v>
      </c>
      <c r="D935" s="59">
        <v>44882</v>
      </c>
      <c r="E935" s="19" t="s">
        <v>3312</v>
      </c>
      <c r="F935" s="6" t="s">
        <v>3302</v>
      </c>
      <c r="G935" s="6" t="s">
        <v>3313</v>
      </c>
      <c r="H935" s="6" t="s">
        <v>3292</v>
      </c>
    </row>
    <row r="936" spans="1:8" ht="12.75">
      <c r="A936" s="18">
        <v>2022</v>
      </c>
      <c r="B936" s="18">
        <v>191</v>
      </c>
      <c r="C936" s="87" t="s">
        <v>2011</v>
      </c>
      <c r="D936" s="59">
        <v>44882</v>
      </c>
      <c r="E936" s="19" t="s">
        <v>3844</v>
      </c>
      <c r="F936" s="6" t="s">
        <v>4449</v>
      </c>
      <c r="G936" s="6" t="s">
        <v>3313</v>
      </c>
      <c r="H936" s="6" t="s">
        <v>3292</v>
      </c>
    </row>
    <row r="937" spans="1:8" ht="12.75">
      <c r="A937" s="18">
        <v>2022</v>
      </c>
      <c r="B937" s="18">
        <v>191</v>
      </c>
      <c r="C937" s="87" t="s">
        <v>2011</v>
      </c>
      <c r="D937" s="59">
        <v>44882</v>
      </c>
      <c r="E937" s="19" t="s">
        <v>3846</v>
      </c>
      <c r="F937" s="6" t="s">
        <v>3355</v>
      </c>
      <c r="G937" s="6" t="s">
        <v>3313</v>
      </c>
      <c r="H937" s="6" t="s">
        <v>3292</v>
      </c>
    </row>
    <row r="938" spans="1:8" ht="12.75">
      <c r="A938" s="18">
        <v>2022</v>
      </c>
      <c r="B938" s="18">
        <v>191</v>
      </c>
      <c r="C938" s="87" t="s">
        <v>2011</v>
      </c>
      <c r="D938" s="59">
        <v>44882</v>
      </c>
      <c r="E938" s="19" t="s">
        <v>4824</v>
      </c>
      <c r="F938" s="6" t="s">
        <v>3957</v>
      </c>
      <c r="G938" s="6" t="s">
        <v>3313</v>
      </c>
      <c r="H938" s="6" t="s">
        <v>3292</v>
      </c>
    </row>
    <row r="939" spans="1:8" ht="12.75">
      <c r="A939" s="18">
        <v>2022</v>
      </c>
      <c r="B939" s="18">
        <v>191</v>
      </c>
      <c r="C939" s="87" t="s">
        <v>2011</v>
      </c>
      <c r="D939" s="59">
        <v>44882</v>
      </c>
      <c r="E939" s="19" t="s">
        <v>4825</v>
      </c>
      <c r="F939" s="6" t="s">
        <v>4826</v>
      </c>
      <c r="G939" s="6" t="s">
        <v>3313</v>
      </c>
      <c r="H939" s="6" t="s">
        <v>3292</v>
      </c>
    </row>
    <row r="940" spans="1:8" ht="12.75">
      <c r="A940" s="18">
        <v>2022</v>
      </c>
      <c r="B940" s="18">
        <v>191</v>
      </c>
      <c r="C940" s="87" t="s">
        <v>2011</v>
      </c>
      <c r="D940" s="59">
        <v>44882</v>
      </c>
      <c r="E940" s="19" t="s">
        <v>4452</v>
      </c>
      <c r="F940" s="6" t="s">
        <v>3843</v>
      </c>
      <c r="G940" s="6" t="s">
        <v>3313</v>
      </c>
      <c r="H940" s="6" t="s">
        <v>3292</v>
      </c>
    </row>
    <row r="941" spans="1:8" ht="12.75">
      <c r="A941" s="18">
        <v>2022</v>
      </c>
      <c r="B941" s="18">
        <v>194</v>
      </c>
      <c r="C941" s="87" t="s">
        <v>2838</v>
      </c>
      <c r="D941" s="59">
        <v>44887</v>
      </c>
      <c r="E941" s="19" t="s">
        <v>4825</v>
      </c>
      <c r="F941" s="6" t="s">
        <v>4826</v>
      </c>
      <c r="G941" s="6" t="s">
        <v>3313</v>
      </c>
      <c r="H941" s="6" t="s">
        <v>3292</v>
      </c>
    </row>
    <row r="942" spans="1:8" ht="12.75">
      <c r="A942" s="18">
        <v>2022</v>
      </c>
      <c r="B942" s="18">
        <v>194</v>
      </c>
      <c r="C942" s="87" t="s">
        <v>2838</v>
      </c>
      <c r="D942" s="59">
        <v>44887</v>
      </c>
      <c r="E942" s="19" t="s">
        <v>3846</v>
      </c>
      <c r="F942" s="6" t="s">
        <v>3355</v>
      </c>
      <c r="G942" s="6" t="s">
        <v>3313</v>
      </c>
      <c r="H942" s="6" t="s">
        <v>3292</v>
      </c>
    </row>
    <row r="943" spans="1:8" ht="12.75">
      <c r="A943" s="18">
        <v>2022</v>
      </c>
      <c r="B943" s="18">
        <v>196</v>
      </c>
      <c r="C943" s="87" t="s">
        <v>2011</v>
      </c>
      <c r="D943" s="59">
        <v>44889</v>
      </c>
      <c r="E943" s="19" t="s">
        <v>4827</v>
      </c>
      <c r="F943" s="6" t="s">
        <v>3302</v>
      </c>
      <c r="G943" s="6" t="s">
        <v>3309</v>
      </c>
      <c r="H943" s="6" t="s">
        <v>3292</v>
      </c>
    </row>
    <row r="944" spans="1:8" ht="12.75">
      <c r="A944" s="18">
        <v>2022</v>
      </c>
      <c r="B944" s="18">
        <v>196</v>
      </c>
      <c r="C944" s="87" t="s">
        <v>2011</v>
      </c>
      <c r="D944" s="59">
        <v>44889</v>
      </c>
      <c r="E944" s="19" t="s">
        <v>4828</v>
      </c>
      <c r="F944" s="6" t="s">
        <v>4829</v>
      </c>
      <c r="G944" s="6" t="s">
        <v>3309</v>
      </c>
      <c r="H944" s="6" t="s">
        <v>3292</v>
      </c>
    </row>
    <row r="945" spans="1:8" ht="12.75">
      <c r="A945" s="18">
        <v>2022</v>
      </c>
      <c r="B945" s="18">
        <v>196</v>
      </c>
      <c r="C945" s="87" t="s">
        <v>2011</v>
      </c>
      <c r="D945" s="59">
        <v>44889</v>
      </c>
      <c r="E945" s="19" t="s">
        <v>4830</v>
      </c>
      <c r="F945" s="6" t="s">
        <v>4831</v>
      </c>
      <c r="G945" s="6" t="s">
        <v>3309</v>
      </c>
      <c r="H945" s="6" t="s">
        <v>3292</v>
      </c>
    </row>
    <row r="946" spans="1:8" ht="12.75">
      <c r="A946" s="18">
        <v>2022</v>
      </c>
      <c r="B946" s="18">
        <v>196</v>
      </c>
      <c r="C946" s="87" t="s">
        <v>2011</v>
      </c>
      <c r="D946" s="59">
        <v>44889</v>
      </c>
      <c r="E946" s="19" t="s">
        <v>4832</v>
      </c>
      <c r="F946" s="6" t="s">
        <v>4833</v>
      </c>
      <c r="G946" s="6" t="s">
        <v>3309</v>
      </c>
      <c r="H946" s="6" t="s">
        <v>3292</v>
      </c>
    </row>
    <row r="947" spans="1:8" ht="12.75">
      <c r="A947" s="18">
        <v>2022</v>
      </c>
      <c r="B947" s="18">
        <v>196</v>
      </c>
      <c r="C947" s="87" t="s">
        <v>2011</v>
      </c>
      <c r="D947" s="59">
        <v>44889</v>
      </c>
      <c r="E947" s="19" t="s">
        <v>4735</v>
      </c>
      <c r="F947" s="6" t="s">
        <v>3854</v>
      </c>
      <c r="G947" s="6" t="s">
        <v>3309</v>
      </c>
      <c r="H947" s="6" t="s">
        <v>3292</v>
      </c>
    </row>
    <row r="948" spans="1:8" ht="12.75">
      <c r="A948" s="18">
        <v>2022</v>
      </c>
      <c r="B948" s="18">
        <v>196</v>
      </c>
      <c r="C948" s="87" t="s">
        <v>2011</v>
      </c>
      <c r="D948" s="59">
        <v>44889</v>
      </c>
      <c r="E948" s="19" t="s">
        <v>4834</v>
      </c>
      <c r="F948" s="6" t="s">
        <v>4835</v>
      </c>
      <c r="G948" s="6" t="s">
        <v>3309</v>
      </c>
      <c r="H948" s="6" t="s">
        <v>3292</v>
      </c>
    </row>
    <row r="949" spans="1:8" ht="12.75">
      <c r="A949" s="18">
        <v>2022</v>
      </c>
      <c r="B949" s="18">
        <v>196</v>
      </c>
      <c r="C949" s="87" t="s">
        <v>2011</v>
      </c>
      <c r="D949" s="59">
        <v>44889</v>
      </c>
      <c r="E949" s="19" t="s">
        <v>4003</v>
      </c>
      <c r="F949" s="6" t="s">
        <v>4004</v>
      </c>
      <c r="G949" s="6" t="s">
        <v>3309</v>
      </c>
      <c r="H949" s="6" t="s">
        <v>3292</v>
      </c>
    </row>
    <row r="950" spans="1:8" ht="12.75">
      <c r="A950" s="18">
        <v>2022</v>
      </c>
      <c r="B950" s="18">
        <v>196</v>
      </c>
      <c r="C950" s="87" t="s">
        <v>2011</v>
      </c>
      <c r="D950" s="59">
        <v>44889</v>
      </c>
      <c r="E950" s="19" t="s">
        <v>4836</v>
      </c>
      <c r="F950" s="6" t="s">
        <v>4837</v>
      </c>
      <c r="G950" s="6" t="s">
        <v>3309</v>
      </c>
      <c r="H950" s="6" t="s">
        <v>3292</v>
      </c>
    </row>
    <row r="951" spans="1:8" ht="12.75">
      <c r="A951" s="18">
        <v>2022</v>
      </c>
      <c r="B951" s="18">
        <v>196</v>
      </c>
      <c r="C951" s="87" t="s">
        <v>2011</v>
      </c>
      <c r="D951" s="59">
        <v>44889</v>
      </c>
      <c r="E951" s="19" t="s">
        <v>4754</v>
      </c>
      <c r="F951" s="6" t="s">
        <v>4755</v>
      </c>
      <c r="G951" s="6" t="s">
        <v>3309</v>
      </c>
      <c r="H951" s="6" t="s">
        <v>3292</v>
      </c>
    </row>
    <row r="952" spans="1:8" ht="12.75">
      <c r="A952" s="18">
        <v>2022</v>
      </c>
      <c r="B952" s="18">
        <v>196</v>
      </c>
      <c r="C952" s="87" t="s">
        <v>2011</v>
      </c>
      <c r="D952" s="59">
        <v>44889</v>
      </c>
      <c r="E952" s="19" t="s">
        <v>4838</v>
      </c>
      <c r="F952" s="6" t="s">
        <v>4839</v>
      </c>
      <c r="G952" s="6" t="s">
        <v>3309</v>
      </c>
      <c r="H952" s="6" t="s">
        <v>3292</v>
      </c>
    </row>
    <row r="953" spans="1:8" ht="12.75">
      <c r="A953" s="18">
        <v>2022</v>
      </c>
      <c r="B953" s="18">
        <v>196</v>
      </c>
      <c r="C953" s="87" t="s">
        <v>2011</v>
      </c>
      <c r="D953" s="59">
        <v>44889</v>
      </c>
      <c r="E953" s="19" t="s">
        <v>4840</v>
      </c>
      <c r="F953" s="6" t="s">
        <v>4841</v>
      </c>
      <c r="G953" s="6" t="s">
        <v>3309</v>
      </c>
      <c r="H953" s="6" t="s">
        <v>3292</v>
      </c>
    </row>
    <row r="954" spans="1:8" ht="12.75">
      <c r="A954" s="18">
        <v>2022</v>
      </c>
      <c r="B954" s="18">
        <v>196</v>
      </c>
      <c r="C954" s="87" t="s">
        <v>2011</v>
      </c>
      <c r="D954" s="59">
        <v>44889</v>
      </c>
      <c r="E954" s="19" t="s">
        <v>3998</v>
      </c>
      <c r="F954" s="6" t="s">
        <v>3999</v>
      </c>
      <c r="G954" s="6" t="s">
        <v>3309</v>
      </c>
      <c r="H954" s="6" t="s">
        <v>3292</v>
      </c>
    </row>
    <row r="955" spans="1:8" ht="12.75">
      <c r="A955" s="18">
        <v>2022</v>
      </c>
      <c r="B955" s="18">
        <v>196</v>
      </c>
      <c r="C955" s="87" t="s">
        <v>2011</v>
      </c>
      <c r="D955" s="59">
        <v>44889</v>
      </c>
      <c r="E955" s="19" t="s">
        <v>4842</v>
      </c>
      <c r="F955" s="6" t="s">
        <v>4843</v>
      </c>
      <c r="G955" s="6" t="s">
        <v>3309</v>
      </c>
      <c r="H955" s="6" t="s">
        <v>3292</v>
      </c>
    </row>
    <row r="956" spans="1:8" ht="12.75">
      <c r="A956" s="18">
        <v>2022</v>
      </c>
      <c r="B956" s="18">
        <v>196</v>
      </c>
      <c r="C956" s="87" t="s">
        <v>2011</v>
      </c>
      <c r="D956" s="59">
        <v>44889</v>
      </c>
      <c r="E956" s="19" t="s">
        <v>4844</v>
      </c>
      <c r="F956" s="6" t="s">
        <v>4845</v>
      </c>
      <c r="G956" s="6" t="s">
        <v>3309</v>
      </c>
      <c r="H956" s="6" t="s">
        <v>3292</v>
      </c>
    </row>
    <row r="957" spans="1:8" ht="12.75">
      <c r="A957" s="18">
        <v>2022</v>
      </c>
      <c r="B957" s="18">
        <v>196</v>
      </c>
      <c r="C957" s="87" t="s">
        <v>2011</v>
      </c>
      <c r="D957" s="59">
        <v>44889</v>
      </c>
      <c r="E957" s="19" t="s">
        <v>4143</v>
      </c>
      <c r="F957" s="6" t="s">
        <v>4144</v>
      </c>
      <c r="G957" s="6" t="s">
        <v>3309</v>
      </c>
      <c r="H957" s="6" t="s">
        <v>3292</v>
      </c>
    </row>
    <row r="958" spans="1:8" ht="12.75">
      <c r="A958" s="18">
        <v>2022</v>
      </c>
      <c r="B958" s="18">
        <v>196</v>
      </c>
      <c r="C958" s="87" t="s">
        <v>2011</v>
      </c>
      <c r="D958" s="59">
        <v>44889</v>
      </c>
      <c r="E958" s="19" t="s">
        <v>4145</v>
      </c>
      <c r="F958" s="6" t="s">
        <v>4146</v>
      </c>
      <c r="G958" s="6" t="s">
        <v>3309</v>
      </c>
      <c r="H958" s="6" t="s">
        <v>3292</v>
      </c>
    </row>
    <row r="959" spans="1:8" ht="12.75">
      <c r="A959" s="18">
        <v>2022</v>
      </c>
      <c r="B959" s="18">
        <v>196</v>
      </c>
      <c r="C959" s="87" t="s">
        <v>2011</v>
      </c>
      <c r="D959" s="59">
        <v>44889</v>
      </c>
      <c r="E959" s="19" t="s">
        <v>4846</v>
      </c>
      <c r="F959" s="6" t="s">
        <v>4847</v>
      </c>
      <c r="G959" s="6" t="s">
        <v>3309</v>
      </c>
      <c r="H959" s="6" t="s">
        <v>3292</v>
      </c>
    </row>
    <row r="960" spans="1:8" ht="12.75">
      <c r="A960" s="18">
        <v>2022</v>
      </c>
      <c r="B960" s="18">
        <v>196</v>
      </c>
      <c r="C960" s="87" t="s">
        <v>2011</v>
      </c>
      <c r="D960" s="59">
        <v>44889</v>
      </c>
      <c r="E960" s="19" t="s">
        <v>4848</v>
      </c>
      <c r="F960" s="6" t="s">
        <v>4849</v>
      </c>
      <c r="G960" s="6" t="s">
        <v>3309</v>
      </c>
      <c r="H960" s="6" t="s">
        <v>3292</v>
      </c>
    </row>
    <row r="961" spans="1:8" ht="12.75">
      <c r="A961" s="18">
        <v>2022</v>
      </c>
      <c r="B961" s="18">
        <v>196</v>
      </c>
      <c r="C961" s="87" t="s">
        <v>2011</v>
      </c>
      <c r="D961" s="59">
        <v>44889</v>
      </c>
      <c r="E961" s="19" t="s">
        <v>3332</v>
      </c>
      <c r="F961" s="6" t="s">
        <v>4850</v>
      </c>
      <c r="G961" s="6" t="s">
        <v>3309</v>
      </c>
      <c r="H961" s="6" t="s">
        <v>3292</v>
      </c>
    </row>
    <row r="962" spans="1:8" ht="12.75">
      <c r="A962" s="18">
        <v>2022</v>
      </c>
      <c r="B962" s="18">
        <v>196</v>
      </c>
      <c r="C962" s="87" t="s">
        <v>2011</v>
      </c>
      <c r="D962" s="59">
        <v>44889</v>
      </c>
      <c r="E962" s="19" t="s">
        <v>4851</v>
      </c>
      <c r="F962" s="6" t="s">
        <v>4852</v>
      </c>
      <c r="G962" s="6" t="s">
        <v>3309</v>
      </c>
      <c r="H962" s="6" t="s">
        <v>3292</v>
      </c>
    </row>
    <row r="963" spans="1:8" ht="12.75">
      <c r="A963" s="18">
        <v>2022</v>
      </c>
      <c r="B963" s="18">
        <v>196</v>
      </c>
      <c r="C963" s="87" t="s">
        <v>2011</v>
      </c>
      <c r="D963" s="59">
        <v>44889</v>
      </c>
      <c r="E963" s="19" t="s">
        <v>4853</v>
      </c>
      <c r="F963" s="6" t="s">
        <v>4854</v>
      </c>
      <c r="G963" s="6" t="s">
        <v>3309</v>
      </c>
      <c r="H963" s="6" t="s">
        <v>3292</v>
      </c>
    </row>
    <row r="964" spans="1:8" ht="12.75">
      <c r="A964" s="18">
        <v>2022</v>
      </c>
      <c r="B964" s="18">
        <v>196</v>
      </c>
      <c r="C964" s="87" t="s">
        <v>2011</v>
      </c>
      <c r="D964" s="59">
        <v>44889</v>
      </c>
      <c r="E964" s="19" t="s">
        <v>3324</v>
      </c>
      <c r="F964" s="6" t="s">
        <v>3302</v>
      </c>
      <c r="G964" s="6" t="s">
        <v>3325</v>
      </c>
      <c r="H964" s="6" t="s">
        <v>3292</v>
      </c>
    </row>
    <row r="965" spans="1:8" ht="12.75">
      <c r="A965" s="18">
        <v>2022</v>
      </c>
      <c r="B965" s="18">
        <v>196</v>
      </c>
      <c r="C965" s="87" t="s">
        <v>2011</v>
      </c>
      <c r="D965" s="59">
        <v>44889</v>
      </c>
      <c r="E965" s="19" t="s">
        <v>3703</v>
      </c>
      <c r="F965" s="6" t="s">
        <v>3704</v>
      </c>
      <c r="G965" s="6" t="s">
        <v>3325</v>
      </c>
      <c r="H965" s="6" t="s">
        <v>3292</v>
      </c>
    </row>
    <row r="966" spans="1:8" ht="12.75">
      <c r="A966" s="18">
        <v>2022</v>
      </c>
      <c r="B966" s="18">
        <v>196</v>
      </c>
      <c r="C966" s="87" t="s">
        <v>2011</v>
      </c>
      <c r="D966" s="59">
        <v>44889</v>
      </c>
      <c r="E966" s="19" t="s">
        <v>4855</v>
      </c>
      <c r="F966" s="6" t="s">
        <v>4856</v>
      </c>
      <c r="G966" s="6" t="s">
        <v>3325</v>
      </c>
      <c r="H966" s="6" t="s">
        <v>3292</v>
      </c>
    </row>
    <row r="967" spans="1:8" ht="12.75">
      <c r="A967" s="18">
        <v>2022</v>
      </c>
      <c r="B967" s="18">
        <v>196</v>
      </c>
      <c r="C967" s="87" t="s">
        <v>2011</v>
      </c>
      <c r="D967" s="59">
        <v>44889</v>
      </c>
      <c r="E967" s="19" t="s">
        <v>4857</v>
      </c>
      <c r="F967" s="6" t="s">
        <v>4858</v>
      </c>
      <c r="G967" s="6" t="s">
        <v>3325</v>
      </c>
      <c r="H967" s="6" t="s">
        <v>3292</v>
      </c>
    </row>
    <row r="968" spans="1:8" ht="12.75">
      <c r="A968" s="18">
        <v>2022</v>
      </c>
      <c r="B968" s="18">
        <v>196</v>
      </c>
      <c r="C968" s="87" t="s">
        <v>2011</v>
      </c>
      <c r="D968" s="59">
        <v>44889</v>
      </c>
      <c r="E968" s="19" t="s">
        <v>4288</v>
      </c>
      <c r="F968" s="6" t="s">
        <v>4289</v>
      </c>
      <c r="G968" s="6" t="s">
        <v>3325</v>
      </c>
      <c r="H968" s="6" t="s">
        <v>3292</v>
      </c>
    </row>
    <row r="969" spans="1:8" ht="12.75">
      <c r="A969" s="18">
        <v>2022</v>
      </c>
      <c r="B969" s="18">
        <v>196</v>
      </c>
      <c r="C969" s="87" t="s">
        <v>2011</v>
      </c>
      <c r="D969" s="59">
        <v>44889</v>
      </c>
      <c r="E969" s="19" t="s">
        <v>4859</v>
      </c>
      <c r="F969" s="6" t="s">
        <v>3554</v>
      </c>
      <c r="G969" s="6" t="s">
        <v>3325</v>
      </c>
      <c r="H969" s="6" t="s">
        <v>3292</v>
      </c>
    </row>
    <row r="970" spans="1:8" ht="12.75">
      <c r="A970" s="18">
        <v>2022</v>
      </c>
      <c r="B970" s="18">
        <v>196</v>
      </c>
      <c r="C970" s="87" t="s">
        <v>2011</v>
      </c>
      <c r="D970" s="59">
        <v>44889</v>
      </c>
      <c r="E970" s="19" t="s">
        <v>4860</v>
      </c>
      <c r="F970" s="6" t="s">
        <v>4861</v>
      </c>
      <c r="G970" s="6" t="s">
        <v>3325</v>
      </c>
      <c r="H970" s="6" t="s">
        <v>3292</v>
      </c>
    </row>
    <row r="971" spans="1:8" ht="12.75">
      <c r="A971" s="18">
        <v>2022</v>
      </c>
      <c r="B971" s="18">
        <v>196</v>
      </c>
      <c r="C971" s="87" t="s">
        <v>2011</v>
      </c>
      <c r="D971" s="59">
        <v>44889</v>
      </c>
      <c r="E971" s="19" t="s">
        <v>4862</v>
      </c>
      <c r="F971" s="6" t="s">
        <v>4659</v>
      </c>
      <c r="G971" s="6" t="s">
        <v>3325</v>
      </c>
      <c r="H971" s="6" t="s">
        <v>3292</v>
      </c>
    </row>
    <row r="972" spans="1:8" ht="12.75">
      <c r="A972" s="18">
        <v>2022</v>
      </c>
      <c r="B972" s="18">
        <v>196</v>
      </c>
      <c r="C972" s="87" t="s">
        <v>2011</v>
      </c>
      <c r="D972" s="59">
        <v>44889</v>
      </c>
      <c r="E972" s="19" t="s">
        <v>4863</v>
      </c>
      <c r="F972" s="6" t="s">
        <v>4864</v>
      </c>
      <c r="G972" s="6" t="s">
        <v>3325</v>
      </c>
      <c r="H972" s="6" t="s">
        <v>3292</v>
      </c>
    </row>
    <row r="973" spans="1:8" ht="12.75">
      <c r="A973" s="18">
        <v>2022</v>
      </c>
      <c r="B973" s="18">
        <v>196</v>
      </c>
      <c r="C973" s="87" t="s">
        <v>2011</v>
      </c>
      <c r="D973" s="59">
        <v>44889</v>
      </c>
      <c r="E973" s="19" t="s">
        <v>4865</v>
      </c>
      <c r="F973" s="6" t="s">
        <v>3302</v>
      </c>
      <c r="G973" s="6" t="s">
        <v>3353</v>
      </c>
      <c r="H973" s="6" t="s">
        <v>3292</v>
      </c>
    </row>
    <row r="974" spans="1:8" ht="12.75">
      <c r="A974" s="18">
        <v>2022</v>
      </c>
      <c r="B974" s="18">
        <v>196</v>
      </c>
      <c r="C974" s="87" t="s">
        <v>2011</v>
      </c>
      <c r="D974" s="59">
        <v>44889</v>
      </c>
      <c r="E974" s="19" t="s">
        <v>4866</v>
      </c>
      <c r="F974" s="6" t="s">
        <v>4867</v>
      </c>
      <c r="G974" s="6" t="s">
        <v>3353</v>
      </c>
      <c r="H974" s="6" t="s">
        <v>3292</v>
      </c>
    </row>
    <row r="975" spans="1:8" ht="12.75">
      <c r="A975" s="18">
        <v>2022</v>
      </c>
      <c r="B975" s="18">
        <v>196</v>
      </c>
      <c r="C975" s="87" t="s">
        <v>2011</v>
      </c>
      <c r="D975" s="59">
        <v>44889</v>
      </c>
      <c r="E975" s="19" t="s">
        <v>4868</v>
      </c>
      <c r="F975" s="6" t="s">
        <v>4869</v>
      </c>
      <c r="G975" s="6" t="s">
        <v>3353</v>
      </c>
      <c r="H975" s="6" t="s">
        <v>3292</v>
      </c>
    </row>
    <row r="976" spans="1:8" ht="12.75">
      <c r="A976" s="18">
        <v>2022</v>
      </c>
      <c r="B976" s="18">
        <v>198</v>
      </c>
      <c r="C976" s="87" t="s">
        <v>2011</v>
      </c>
      <c r="D976" s="59">
        <v>44894</v>
      </c>
      <c r="E976" s="19" t="s">
        <v>4389</v>
      </c>
      <c r="F976" s="6" t="s">
        <v>3302</v>
      </c>
      <c r="G976" s="6" t="s">
        <v>3432</v>
      </c>
      <c r="H976" s="6" t="s">
        <v>3292</v>
      </c>
    </row>
    <row r="977" spans="1:8" ht="12.75">
      <c r="A977" s="18">
        <v>2022</v>
      </c>
      <c r="B977" s="18">
        <v>198</v>
      </c>
      <c r="C977" s="87" t="s">
        <v>2011</v>
      </c>
      <c r="D977" s="59">
        <v>44894</v>
      </c>
      <c r="E977" s="19" t="s">
        <v>4870</v>
      </c>
      <c r="F977" s="6" t="s">
        <v>4871</v>
      </c>
      <c r="G977" s="6" t="s">
        <v>3432</v>
      </c>
      <c r="H977" s="6" t="s">
        <v>3292</v>
      </c>
    </row>
    <row r="978" spans="1:8" ht="12.75">
      <c r="A978" s="18">
        <v>2022</v>
      </c>
      <c r="B978" s="18">
        <v>198</v>
      </c>
      <c r="C978" s="87" t="s">
        <v>2011</v>
      </c>
      <c r="D978" s="59">
        <v>44894</v>
      </c>
      <c r="E978" s="19" t="s">
        <v>4785</v>
      </c>
      <c r="F978" s="6" t="s">
        <v>4786</v>
      </c>
      <c r="G978" s="6" t="s">
        <v>3309</v>
      </c>
      <c r="H978" s="6" t="s">
        <v>3292</v>
      </c>
    </row>
    <row r="979" spans="1:8" ht="12.75">
      <c r="A979" s="18">
        <v>2022</v>
      </c>
      <c r="B979" s="18">
        <v>198</v>
      </c>
      <c r="C979" s="87" t="s">
        <v>2011</v>
      </c>
      <c r="D979" s="59">
        <v>44894</v>
      </c>
      <c r="E979" s="19" t="s">
        <v>4872</v>
      </c>
      <c r="F979" s="6" t="s">
        <v>4873</v>
      </c>
      <c r="G979" s="6" t="s">
        <v>3432</v>
      </c>
      <c r="H979" s="6" t="s">
        <v>3292</v>
      </c>
    </row>
    <row r="980" spans="1:8" ht="12.75">
      <c r="A980" s="18">
        <v>2022</v>
      </c>
      <c r="B980" s="18">
        <v>198</v>
      </c>
      <c r="C980" s="87" t="s">
        <v>2011</v>
      </c>
      <c r="D980" s="59">
        <v>44894</v>
      </c>
      <c r="E980" s="19" t="s">
        <v>3430</v>
      </c>
      <c r="F980" s="6" t="s">
        <v>3431</v>
      </c>
      <c r="G980" s="6" t="s">
        <v>3432</v>
      </c>
      <c r="H980" s="6" t="s">
        <v>3292</v>
      </c>
    </row>
    <row r="981" spans="1:8" ht="12.75">
      <c r="A981" s="18">
        <v>2022</v>
      </c>
      <c r="B981" s="18">
        <v>198</v>
      </c>
      <c r="C981" s="87" t="s">
        <v>2011</v>
      </c>
      <c r="D981" s="59">
        <v>44894</v>
      </c>
      <c r="E981" s="19" t="s">
        <v>3735</v>
      </c>
      <c r="F981" s="6" t="s">
        <v>3302</v>
      </c>
      <c r="G981" s="6" t="s">
        <v>3720</v>
      </c>
      <c r="H981" s="6" t="s">
        <v>3292</v>
      </c>
    </row>
    <row r="982" spans="1:8" ht="12.75">
      <c r="A982" s="18">
        <v>2022</v>
      </c>
      <c r="B982" s="18">
        <v>198</v>
      </c>
      <c r="C982" s="87" t="s">
        <v>2011</v>
      </c>
      <c r="D982" s="59">
        <v>44894</v>
      </c>
      <c r="E982" s="19" t="s">
        <v>4325</v>
      </c>
      <c r="F982" s="6" t="s">
        <v>4461</v>
      </c>
      <c r="G982" s="6" t="s">
        <v>3720</v>
      </c>
      <c r="H982" s="6" t="s">
        <v>3292</v>
      </c>
    </row>
    <row r="983" spans="1:8" ht="12.75">
      <c r="A983" s="18">
        <v>2022</v>
      </c>
      <c r="B983" s="18">
        <v>198</v>
      </c>
      <c r="C983" s="87" t="s">
        <v>2011</v>
      </c>
      <c r="D983" s="59">
        <v>44894</v>
      </c>
      <c r="E983" s="19" t="s">
        <v>4874</v>
      </c>
      <c r="F983" s="6" t="s">
        <v>4460</v>
      </c>
      <c r="G983" s="6" t="s">
        <v>3720</v>
      </c>
      <c r="H983" s="6" t="s">
        <v>3292</v>
      </c>
    </row>
    <row r="984" spans="1:8" ht="12.75">
      <c r="A984" s="18">
        <v>2022</v>
      </c>
      <c r="B984" s="18">
        <v>198</v>
      </c>
      <c r="C984" s="87" t="s">
        <v>2011</v>
      </c>
      <c r="D984" s="59">
        <v>44894</v>
      </c>
      <c r="E984" s="19" t="s">
        <v>4457</v>
      </c>
      <c r="F984" s="6" t="s">
        <v>4458</v>
      </c>
      <c r="G984" s="6" t="s">
        <v>3720</v>
      </c>
      <c r="H984" s="6" t="s">
        <v>3292</v>
      </c>
    </row>
    <row r="985" spans="1:8" ht="12.75">
      <c r="A985" s="18">
        <v>2022</v>
      </c>
      <c r="B985" s="18">
        <v>198</v>
      </c>
      <c r="C985" s="87" t="s">
        <v>2011</v>
      </c>
      <c r="D985" s="59">
        <v>44894</v>
      </c>
      <c r="E985" s="19" t="s">
        <v>4875</v>
      </c>
      <c r="F985" s="6" t="s">
        <v>4876</v>
      </c>
      <c r="G985" s="6" t="s">
        <v>3720</v>
      </c>
      <c r="H985" s="6" t="s">
        <v>3292</v>
      </c>
    </row>
    <row r="986" spans="1:8" ht="12.75">
      <c r="A986" s="18">
        <v>2022</v>
      </c>
      <c r="B986" s="18">
        <v>198</v>
      </c>
      <c r="C986" s="87" t="s">
        <v>2011</v>
      </c>
      <c r="D986" s="59">
        <v>44894</v>
      </c>
      <c r="E986" s="19" t="s">
        <v>4877</v>
      </c>
      <c r="F986" s="6" t="s">
        <v>4878</v>
      </c>
      <c r="G986" s="6" t="s">
        <v>3720</v>
      </c>
      <c r="H986" s="6" t="s">
        <v>3292</v>
      </c>
    </row>
    <row r="987" spans="1:8" ht="12.75">
      <c r="A987" s="18">
        <v>2022</v>
      </c>
      <c r="B987" s="18">
        <v>198</v>
      </c>
      <c r="C987" s="87" t="s">
        <v>2011</v>
      </c>
      <c r="D987" s="59">
        <v>44894</v>
      </c>
      <c r="E987" s="19" t="s">
        <v>4879</v>
      </c>
      <c r="F987" s="6" t="s">
        <v>4880</v>
      </c>
      <c r="G987" s="6" t="s">
        <v>3720</v>
      </c>
      <c r="H987" s="6" t="s">
        <v>3292</v>
      </c>
    </row>
    <row r="988" spans="1:8" ht="12.75">
      <c r="A988" s="18">
        <v>2022</v>
      </c>
      <c r="B988" s="18">
        <v>198</v>
      </c>
      <c r="C988" s="87" t="s">
        <v>2011</v>
      </c>
      <c r="D988" s="59">
        <v>44894</v>
      </c>
      <c r="E988" s="19" t="s">
        <v>4881</v>
      </c>
      <c r="F988" s="6" t="s">
        <v>4882</v>
      </c>
      <c r="G988" s="6" t="s">
        <v>3720</v>
      </c>
      <c r="H988" s="6" t="s">
        <v>3292</v>
      </c>
    </row>
    <row r="989" spans="1:8" ht="12.75">
      <c r="A989" s="18">
        <v>2022</v>
      </c>
      <c r="B989" s="18">
        <v>198</v>
      </c>
      <c r="C989" s="87" t="s">
        <v>2011</v>
      </c>
      <c r="D989" s="59">
        <v>44894</v>
      </c>
      <c r="E989" s="19" t="s">
        <v>4883</v>
      </c>
      <c r="F989" s="6" t="s">
        <v>4884</v>
      </c>
      <c r="G989" s="6" t="s">
        <v>3720</v>
      </c>
      <c r="H989" s="6" t="s">
        <v>3292</v>
      </c>
    </row>
    <row r="990" spans="1:8" ht="12.75">
      <c r="A990" s="18">
        <v>2022</v>
      </c>
      <c r="B990" s="18">
        <v>198</v>
      </c>
      <c r="C990" s="87" t="s">
        <v>2011</v>
      </c>
      <c r="D990" s="59">
        <v>44894</v>
      </c>
      <c r="E990" s="19" t="s">
        <v>4327</v>
      </c>
      <c r="F990" s="6" t="s">
        <v>4885</v>
      </c>
      <c r="G990" s="6" t="s">
        <v>3720</v>
      </c>
      <c r="H990" s="6" t="s">
        <v>3292</v>
      </c>
    </row>
    <row r="991" spans="1:8" ht="12.75">
      <c r="A991" s="18">
        <v>2022</v>
      </c>
      <c r="B991" s="18">
        <v>203</v>
      </c>
      <c r="C991" s="87" t="s">
        <v>47</v>
      </c>
      <c r="D991" s="48">
        <v>44901</v>
      </c>
      <c r="E991" s="19" t="s">
        <v>4886</v>
      </c>
      <c r="F991" s="6" t="s">
        <v>4887</v>
      </c>
      <c r="G991" s="6" t="s">
        <v>4502</v>
      </c>
      <c r="H991" s="6" t="s">
        <v>3567</v>
      </c>
    </row>
    <row r="992" spans="1:8" ht="12.75">
      <c r="A992" s="18">
        <v>2022</v>
      </c>
      <c r="B992" s="18">
        <v>203</v>
      </c>
      <c r="C992" s="87" t="s">
        <v>47</v>
      </c>
      <c r="D992" s="48">
        <v>44901</v>
      </c>
      <c r="E992" s="19" t="s">
        <v>4888</v>
      </c>
      <c r="F992" s="6" t="s">
        <v>4889</v>
      </c>
      <c r="G992" s="6" t="s">
        <v>4502</v>
      </c>
      <c r="H992" s="6" t="s">
        <v>3567</v>
      </c>
    </row>
    <row r="993" spans="1:8" ht="12.75">
      <c r="A993" s="18">
        <v>2022</v>
      </c>
      <c r="B993" s="18">
        <v>204</v>
      </c>
      <c r="C993" s="87" t="s">
        <v>2074</v>
      </c>
      <c r="D993" s="48">
        <v>44902</v>
      </c>
      <c r="E993" s="19" t="s">
        <v>4890</v>
      </c>
      <c r="F993" s="6" t="s">
        <v>4820</v>
      </c>
      <c r="G993" s="6" t="s">
        <v>3306</v>
      </c>
      <c r="H993" s="6" t="s">
        <v>3292</v>
      </c>
    </row>
    <row r="994" spans="1:8" ht="12.75">
      <c r="A994" s="18">
        <v>2022</v>
      </c>
      <c r="B994" s="18">
        <v>3</v>
      </c>
      <c r="C994" s="87" t="s">
        <v>1980</v>
      </c>
      <c r="D994" s="48">
        <v>44602</v>
      </c>
      <c r="E994" s="19" t="s">
        <v>3544</v>
      </c>
      <c r="F994" s="6" t="s">
        <v>4420</v>
      </c>
      <c r="G994" s="6" t="s">
        <v>3546</v>
      </c>
      <c r="H994" s="6" t="s">
        <v>3292</v>
      </c>
    </row>
    <row r="995" spans="1:8" ht="12.75">
      <c r="A995" s="18">
        <v>2022</v>
      </c>
      <c r="B995" s="18">
        <v>3</v>
      </c>
      <c r="C995" s="87" t="s">
        <v>1980</v>
      </c>
      <c r="D995" s="48">
        <v>44602</v>
      </c>
      <c r="E995" s="19" t="s">
        <v>4421</v>
      </c>
      <c r="F995" s="6" t="s">
        <v>3548</v>
      </c>
      <c r="G995" s="6" t="s">
        <v>3546</v>
      </c>
      <c r="H995" s="6" t="s">
        <v>3292</v>
      </c>
    </row>
    <row r="996" spans="1:8" ht="12.75">
      <c r="A996" s="18">
        <v>2022</v>
      </c>
      <c r="B996" s="18">
        <v>17</v>
      </c>
      <c r="C996" s="87" t="s">
        <v>39</v>
      </c>
      <c r="D996" s="48">
        <v>44628</v>
      </c>
      <c r="E996" s="19" t="s">
        <v>3684</v>
      </c>
      <c r="F996" s="6" t="s">
        <v>3302</v>
      </c>
      <c r="G996" s="6" t="s">
        <v>3291</v>
      </c>
      <c r="H996" s="6" t="s">
        <v>3292</v>
      </c>
    </row>
    <row r="997" spans="1:8" ht="12.75">
      <c r="A997" s="18">
        <v>2022</v>
      </c>
      <c r="B997" s="18">
        <v>17</v>
      </c>
      <c r="C997" s="87" t="s">
        <v>39</v>
      </c>
      <c r="D997" s="48">
        <v>44628</v>
      </c>
      <c r="E997" s="19" t="s">
        <v>4422</v>
      </c>
      <c r="F997" s="6" t="s">
        <v>4423</v>
      </c>
      <c r="G997" s="6" t="s">
        <v>3291</v>
      </c>
      <c r="H997" s="6" t="s">
        <v>3292</v>
      </c>
    </row>
    <row r="998" spans="1:8" ht="12.75">
      <c r="A998" s="18">
        <v>2022</v>
      </c>
      <c r="B998" s="18">
        <v>17</v>
      </c>
      <c r="C998" s="87" t="s">
        <v>39</v>
      </c>
      <c r="D998" s="48">
        <v>44628</v>
      </c>
      <c r="E998" s="19" t="s">
        <v>4424</v>
      </c>
      <c r="F998" s="6" t="s">
        <v>4425</v>
      </c>
      <c r="G998" s="6" t="s">
        <v>3291</v>
      </c>
      <c r="H998" s="6" t="s">
        <v>3292</v>
      </c>
    </row>
    <row r="999" spans="1:8" ht="12.75">
      <c r="A999" s="18">
        <v>2022</v>
      </c>
      <c r="B999" s="18">
        <v>17</v>
      </c>
      <c r="C999" s="87" t="s">
        <v>39</v>
      </c>
      <c r="D999" s="48">
        <v>44628</v>
      </c>
      <c r="E999" s="19" t="s">
        <v>3952</v>
      </c>
      <c r="F999" s="6" t="s">
        <v>4426</v>
      </c>
      <c r="G999" s="6" t="s">
        <v>3291</v>
      </c>
      <c r="H999" s="6" t="s">
        <v>3292</v>
      </c>
    </row>
    <row r="1000" spans="1:8" ht="12.75">
      <c r="A1000" s="18">
        <v>2022</v>
      </c>
      <c r="B1000" s="18">
        <v>17</v>
      </c>
      <c r="C1000" s="87" t="s">
        <v>39</v>
      </c>
      <c r="D1000" s="48">
        <v>44628</v>
      </c>
      <c r="E1000" s="19" t="s">
        <v>4427</v>
      </c>
      <c r="F1000" s="6" t="s">
        <v>4428</v>
      </c>
      <c r="G1000" s="6" t="s">
        <v>3291</v>
      </c>
      <c r="H1000" s="6" t="s">
        <v>3292</v>
      </c>
    </row>
    <row r="1001" spans="1:8" ht="12.75">
      <c r="A1001" s="18">
        <v>2022</v>
      </c>
      <c r="B1001" s="18">
        <v>17</v>
      </c>
      <c r="C1001" s="87" t="s">
        <v>39</v>
      </c>
      <c r="D1001" s="48">
        <v>44628</v>
      </c>
      <c r="E1001" s="19" t="s">
        <v>3954</v>
      </c>
      <c r="F1001" s="6" t="s">
        <v>4429</v>
      </c>
      <c r="G1001" s="6" t="s">
        <v>3291</v>
      </c>
      <c r="H1001" s="6" t="s">
        <v>3292</v>
      </c>
    </row>
    <row r="1002" spans="1:8" ht="12.75">
      <c r="A1002" s="18">
        <v>2022</v>
      </c>
      <c r="B1002" s="18">
        <v>17</v>
      </c>
      <c r="C1002" s="87" t="s">
        <v>39</v>
      </c>
      <c r="D1002" s="48">
        <v>44628</v>
      </c>
      <c r="E1002" s="19" t="s">
        <v>4430</v>
      </c>
      <c r="F1002" s="6" t="s">
        <v>4431</v>
      </c>
      <c r="G1002" s="6" t="s">
        <v>3291</v>
      </c>
      <c r="H1002" s="6" t="s">
        <v>3292</v>
      </c>
    </row>
    <row r="1003" spans="1:8" ht="12.75">
      <c r="A1003" s="18">
        <v>2022</v>
      </c>
      <c r="B1003" s="18">
        <v>17</v>
      </c>
      <c r="C1003" s="87" t="s">
        <v>39</v>
      </c>
      <c r="D1003" s="48">
        <v>44628</v>
      </c>
      <c r="E1003" s="19" t="s">
        <v>3289</v>
      </c>
      <c r="F1003" s="6" t="s">
        <v>3290</v>
      </c>
      <c r="G1003" s="6" t="s">
        <v>3291</v>
      </c>
      <c r="H1003" s="6" t="s">
        <v>3292</v>
      </c>
    </row>
    <row r="1004" spans="1:8" ht="12.75">
      <c r="A1004" s="18">
        <v>2022</v>
      </c>
      <c r="B1004" s="18">
        <v>17</v>
      </c>
      <c r="C1004" s="87" t="s">
        <v>39</v>
      </c>
      <c r="D1004" s="48">
        <v>44628</v>
      </c>
      <c r="E1004" s="19" t="s">
        <v>4432</v>
      </c>
      <c r="F1004" s="6" t="s">
        <v>4433</v>
      </c>
      <c r="G1004" s="6" t="s">
        <v>3291</v>
      </c>
      <c r="H1004" s="6" t="s">
        <v>3292</v>
      </c>
    </row>
    <row r="1005" spans="1:8" ht="12.75">
      <c r="A1005" s="18">
        <v>2022</v>
      </c>
      <c r="B1005" s="18">
        <v>17</v>
      </c>
      <c r="C1005" s="87" t="s">
        <v>39</v>
      </c>
      <c r="D1005" s="48">
        <v>44628</v>
      </c>
      <c r="E1005" s="19" t="s">
        <v>4434</v>
      </c>
      <c r="F1005" s="6" t="s">
        <v>4435</v>
      </c>
      <c r="G1005" s="6" t="s">
        <v>3291</v>
      </c>
      <c r="H1005" s="6" t="s">
        <v>3292</v>
      </c>
    </row>
    <row r="1006" spans="1:8" ht="12.75">
      <c r="A1006" s="18">
        <v>2022</v>
      </c>
      <c r="B1006" s="18">
        <v>17</v>
      </c>
      <c r="C1006" s="87" t="s">
        <v>39</v>
      </c>
      <c r="D1006" s="48">
        <v>44628</v>
      </c>
      <c r="E1006" s="19" t="s">
        <v>4436</v>
      </c>
      <c r="F1006" s="6" t="s">
        <v>4437</v>
      </c>
      <c r="G1006" s="6" t="s">
        <v>3291</v>
      </c>
      <c r="H1006" s="6" t="s">
        <v>3292</v>
      </c>
    </row>
    <row r="1007" spans="1:8" ht="12.75">
      <c r="A1007" s="18">
        <v>2022</v>
      </c>
      <c r="B1007" s="18">
        <v>17</v>
      </c>
      <c r="C1007" s="87" t="s">
        <v>39</v>
      </c>
      <c r="D1007" s="48">
        <v>44628</v>
      </c>
      <c r="E1007" s="19" t="s">
        <v>3399</v>
      </c>
      <c r="F1007" s="6" t="s">
        <v>4438</v>
      </c>
      <c r="G1007" s="6" t="s">
        <v>3291</v>
      </c>
      <c r="H1007" s="6" t="s">
        <v>3292</v>
      </c>
    </row>
    <row r="1008" spans="1:8" ht="12.75">
      <c r="A1008" s="18">
        <v>2022</v>
      </c>
      <c r="B1008" s="18">
        <v>17</v>
      </c>
      <c r="C1008" s="87" t="s">
        <v>39</v>
      </c>
      <c r="D1008" s="48">
        <v>44628</v>
      </c>
      <c r="E1008" s="19" t="s">
        <v>4439</v>
      </c>
      <c r="F1008" s="6" t="s">
        <v>4440</v>
      </c>
      <c r="G1008" s="6" t="s">
        <v>3291</v>
      </c>
      <c r="H1008" s="6" t="s">
        <v>3292</v>
      </c>
    </row>
    <row r="1009" spans="1:8" ht="12.75">
      <c r="A1009" s="18">
        <v>2022</v>
      </c>
      <c r="B1009" s="18">
        <v>17</v>
      </c>
      <c r="C1009" s="87" t="s">
        <v>39</v>
      </c>
      <c r="D1009" s="48">
        <v>44628</v>
      </c>
      <c r="E1009" s="19" t="s">
        <v>4441</v>
      </c>
      <c r="F1009" s="6" t="s">
        <v>4442</v>
      </c>
      <c r="G1009" s="6" t="s">
        <v>3291</v>
      </c>
      <c r="H1009" s="6" t="s">
        <v>3292</v>
      </c>
    </row>
    <row r="1010" spans="1:8" ht="12.75">
      <c r="A1010" s="18">
        <v>2022</v>
      </c>
      <c r="B1010" s="18">
        <v>17</v>
      </c>
      <c r="C1010" s="87" t="s">
        <v>39</v>
      </c>
      <c r="D1010" s="48">
        <v>44628</v>
      </c>
      <c r="E1010" s="19" t="s">
        <v>4443</v>
      </c>
      <c r="F1010" s="6" t="s">
        <v>4444</v>
      </c>
      <c r="G1010" s="6" t="s">
        <v>3291</v>
      </c>
      <c r="H1010" s="6" t="s">
        <v>3292</v>
      </c>
    </row>
    <row r="1011" spans="1:8" ht="12.75">
      <c r="A1011" s="18">
        <v>2022</v>
      </c>
      <c r="B1011" s="18">
        <v>17</v>
      </c>
      <c r="C1011" s="87" t="s">
        <v>39</v>
      </c>
      <c r="D1011" s="48">
        <v>44628</v>
      </c>
      <c r="E1011" s="19" t="s">
        <v>4445</v>
      </c>
      <c r="F1011" s="6" t="s">
        <v>4446</v>
      </c>
      <c r="G1011" s="6" t="s">
        <v>3291</v>
      </c>
      <c r="H1011" s="6" t="s">
        <v>3292</v>
      </c>
    </row>
    <row r="1012" spans="1:8" ht="12.75">
      <c r="A1012" s="18">
        <v>2022</v>
      </c>
      <c r="B1012" s="18">
        <v>17</v>
      </c>
      <c r="C1012" s="87" t="s">
        <v>39</v>
      </c>
      <c r="D1012" s="48">
        <v>44628</v>
      </c>
      <c r="E1012" s="19" t="s">
        <v>4447</v>
      </c>
      <c r="F1012" s="6" t="s">
        <v>4152</v>
      </c>
      <c r="G1012" s="6" t="s">
        <v>3291</v>
      </c>
      <c r="H1012" s="6" t="s">
        <v>3292</v>
      </c>
    </row>
    <row r="1013" spans="1:8" ht="12.75">
      <c r="A1013" s="18">
        <v>2022</v>
      </c>
      <c r="B1013" s="18">
        <v>17</v>
      </c>
      <c r="C1013" s="87" t="s">
        <v>39</v>
      </c>
      <c r="D1013" s="48">
        <v>44628</v>
      </c>
      <c r="E1013" s="19" t="s">
        <v>3361</v>
      </c>
      <c r="F1013" s="6" t="s">
        <v>4448</v>
      </c>
      <c r="G1013" s="6" t="s">
        <v>3291</v>
      </c>
      <c r="H1013" s="6" t="s">
        <v>3292</v>
      </c>
    </row>
    <row r="1014" spans="1:8" ht="12.75">
      <c r="A1014" s="18">
        <v>2022</v>
      </c>
      <c r="B1014" s="18">
        <v>21</v>
      </c>
      <c r="C1014" s="87" t="s">
        <v>51</v>
      </c>
      <c r="D1014" s="48">
        <v>44630</v>
      </c>
      <c r="E1014" s="19" t="s">
        <v>3312</v>
      </c>
      <c r="F1014" s="6" t="s">
        <v>3302</v>
      </c>
      <c r="G1014" s="6" t="s">
        <v>3313</v>
      </c>
      <c r="H1014" s="6" t="s">
        <v>3292</v>
      </c>
    </row>
    <row r="1015" spans="1:8" ht="12.75">
      <c r="A1015" s="18">
        <v>2022</v>
      </c>
      <c r="B1015" s="18">
        <v>21</v>
      </c>
      <c r="C1015" s="87" t="s">
        <v>51</v>
      </c>
      <c r="D1015" s="48">
        <v>44630</v>
      </c>
      <c r="E1015" s="19" t="s">
        <v>3844</v>
      </c>
      <c r="F1015" s="6" t="s">
        <v>3845</v>
      </c>
      <c r="G1015" s="6" t="s">
        <v>3313</v>
      </c>
      <c r="H1015" s="6" t="s">
        <v>3292</v>
      </c>
    </row>
    <row r="1016" spans="1:8" ht="12.75">
      <c r="A1016" s="18">
        <v>2022</v>
      </c>
      <c r="B1016" s="18">
        <v>21</v>
      </c>
      <c r="C1016" s="87" t="s">
        <v>51</v>
      </c>
      <c r="D1016" s="48">
        <v>44630</v>
      </c>
      <c r="E1016" s="19" t="s">
        <v>3846</v>
      </c>
      <c r="F1016" s="6" t="s">
        <v>3355</v>
      </c>
      <c r="G1016" s="6" t="s">
        <v>3313</v>
      </c>
      <c r="H1016" s="6" t="s">
        <v>3292</v>
      </c>
    </row>
    <row r="1017" spans="1:8" ht="12.75">
      <c r="A1017" s="18">
        <v>2022</v>
      </c>
      <c r="B1017" s="18">
        <v>21</v>
      </c>
      <c r="C1017" s="87" t="s">
        <v>51</v>
      </c>
      <c r="D1017" s="48">
        <v>44630</v>
      </c>
      <c r="E1017" s="19" t="s">
        <v>4450</v>
      </c>
      <c r="F1017" s="6" t="s">
        <v>4451</v>
      </c>
      <c r="G1017" s="6" t="s">
        <v>3313</v>
      </c>
      <c r="H1017" s="6" t="s">
        <v>3292</v>
      </c>
    </row>
    <row r="1018" spans="1:8" ht="12.75">
      <c r="A1018" s="18">
        <v>2022</v>
      </c>
      <c r="B1018" s="18">
        <v>21</v>
      </c>
      <c r="C1018" s="87" t="s">
        <v>51</v>
      </c>
      <c r="D1018" s="48">
        <v>44630</v>
      </c>
      <c r="E1018" s="19" t="s">
        <v>4452</v>
      </c>
      <c r="F1018" s="6" t="s">
        <v>4453</v>
      </c>
      <c r="G1018" s="6" t="s">
        <v>3313</v>
      </c>
      <c r="H1018" s="6" t="s">
        <v>3292</v>
      </c>
    </row>
    <row r="1019" spans="1:8" ht="12.75">
      <c r="A1019" s="18">
        <v>2022</v>
      </c>
      <c r="B1019" s="18">
        <v>22</v>
      </c>
      <c r="C1019" s="87" t="s">
        <v>2064</v>
      </c>
      <c r="D1019" s="48">
        <v>44630</v>
      </c>
      <c r="E1019" s="19" t="s">
        <v>3361</v>
      </c>
      <c r="F1019" s="6" t="s">
        <v>4448</v>
      </c>
      <c r="G1019" s="6" t="s">
        <v>3291</v>
      </c>
      <c r="H1019" s="6" t="s">
        <v>3292</v>
      </c>
    </row>
    <row r="1020" spans="1:8" ht="12.75">
      <c r="A1020" s="18">
        <v>2022</v>
      </c>
      <c r="B1020" s="18">
        <v>24</v>
      </c>
      <c r="C1020" s="87" t="s">
        <v>2074</v>
      </c>
      <c r="D1020" s="48">
        <v>44635</v>
      </c>
      <c r="E1020" s="19" t="s">
        <v>4454</v>
      </c>
      <c r="F1020" s="6" t="s">
        <v>4455</v>
      </c>
      <c r="G1020" s="6" t="s">
        <v>3328</v>
      </c>
      <c r="H1020" s="6" t="s">
        <v>3292</v>
      </c>
    </row>
    <row r="1021" spans="1:8" ht="12.75">
      <c r="A1021" s="18">
        <v>2022</v>
      </c>
      <c r="B1021" s="18">
        <v>28</v>
      </c>
      <c r="C1021" s="87" t="s">
        <v>3644</v>
      </c>
      <c r="D1021" s="48">
        <v>44637</v>
      </c>
      <c r="E1021" s="19" t="s">
        <v>4456</v>
      </c>
      <c r="F1021" s="6" t="s">
        <v>3302</v>
      </c>
      <c r="G1021" s="6" t="s">
        <v>3720</v>
      </c>
      <c r="H1021" s="6" t="s">
        <v>3292</v>
      </c>
    </row>
    <row r="1022" spans="1:8" ht="12.75">
      <c r="A1022" s="18">
        <v>2022</v>
      </c>
      <c r="B1022" s="18">
        <v>28</v>
      </c>
      <c r="C1022" s="87" t="s">
        <v>3644</v>
      </c>
      <c r="D1022" s="48">
        <v>44637</v>
      </c>
      <c r="E1022" s="19" t="s">
        <v>4457</v>
      </c>
      <c r="F1022" s="6" t="s">
        <v>4458</v>
      </c>
      <c r="G1022" s="6" t="s">
        <v>3720</v>
      </c>
      <c r="H1022" s="6" t="s">
        <v>3292</v>
      </c>
    </row>
    <row r="1023" spans="1:8" ht="12.75">
      <c r="A1023" s="18">
        <v>2022</v>
      </c>
      <c r="B1023" s="18">
        <v>28</v>
      </c>
      <c r="C1023" s="87" t="s">
        <v>3644</v>
      </c>
      <c r="D1023" s="48">
        <v>44637</v>
      </c>
      <c r="E1023" s="19" t="s">
        <v>4459</v>
      </c>
      <c r="F1023" s="6" t="s">
        <v>4460</v>
      </c>
      <c r="G1023" s="6" t="s">
        <v>3720</v>
      </c>
      <c r="H1023" s="6" t="s">
        <v>3292</v>
      </c>
    </row>
    <row r="1024" spans="1:8" ht="12.75">
      <c r="A1024" s="18">
        <v>2022</v>
      </c>
      <c r="B1024" s="18">
        <v>28</v>
      </c>
      <c r="C1024" s="87" t="s">
        <v>3644</v>
      </c>
      <c r="D1024" s="48">
        <v>44637</v>
      </c>
      <c r="E1024" s="19" t="s">
        <v>4325</v>
      </c>
      <c r="F1024" s="6" t="s">
        <v>4461</v>
      </c>
      <c r="G1024" s="6" t="s">
        <v>3720</v>
      </c>
      <c r="H1024" s="6" t="s">
        <v>3292</v>
      </c>
    </row>
    <row r="1025" spans="1:8" ht="12.75">
      <c r="A1025" s="18">
        <v>2022</v>
      </c>
      <c r="B1025" s="18">
        <v>30</v>
      </c>
      <c r="C1025" s="87" t="s">
        <v>73</v>
      </c>
      <c r="D1025" s="48">
        <v>44637</v>
      </c>
      <c r="E1025" s="19" t="s">
        <v>4462</v>
      </c>
      <c r="F1025" s="6" t="s">
        <v>3305</v>
      </c>
      <c r="G1025" s="6" t="s">
        <v>3306</v>
      </c>
      <c r="H1025" s="6" t="s">
        <v>3292</v>
      </c>
    </row>
    <row r="1026" spans="1:8" ht="12.75">
      <c r="A1026" s="18">
        <v>2022</v>
      </c>
      <c r="B1026" s="18">
        <v>36</v>
      </c>
      <c r="C1026" s="87" t="s">
        <v>148</v>
      </c>
      <c r="D1026" s="48">
        <v>44651</v>
      </c>
      <c r="E1026" s="19" t="s">
        <v>3329</v>
      </c>
      <c r="F1026" s="6" t="s">
        <v>4463</v>
      </c>
      <c r="G1026" s="6" t="s">
        <v>3309</v>
      </c>
      <c r="H1026" s="6" t="s">
        <v>3292</v>
      </c>
    </row>
    <row r="1027" spans="1:8" ht="12.75">
      <c r="A1027" s="18">
        <v>2022</v>
      </c>
      <c r="B1027" s="18">
        <v>37</v>
      </c>
      <c r="C1027" s="87" t="s">
        <v>73</v>
      </c>
      <c r="D1027" s="48">
        <v>44651</v>
      </c>
      <c r="E1027" s="19" t="s">
        <v>3544</v>
      </c>
      <c r="F1027" s="6" t="s">
        <v>4420</v>
      </c>
      <c r="G1027" s="6" t="s">
        <v>3546</v>
      </c>
      <c r="H1027" s="6" t="s">
        <v>3292</v>
      </c>
    </row>
    <row r="1028" spans="1:8" ht="12.75">
      <c r="A1028" s="18">
        <v>2022</v>
      </c>
      <c r="B1028" s="18">
        <v>37</v>
      </c>
      <c r="C1028" s="87" t="s">
        <v>73</v>
      </c>
      <c r="D1028" s="48">
        <v>44651</v>
      </c>
      <c r="E1028" s="19" t="s">
        <v>4421</v>
      </c>
      <c r="F1028" s="6" t="s">
        <v>3548</v>
      </c>
      <c r="G1028" s="6" t="s">
        <v>3546</v>
      </c>
      <c r="H1028" s="6" t="s">
        <v>3292</v>
      </c>
    </row>
    <row r="1029" spans="1:8" ht="12.75">
      <c r="A1029" s="18">
        <v>2022</v>
      </c>
      <c r="B1029" s="18">
        <v>38</v>
      </c>
      <c r="C1029" s="87" t="s">
        <v>51</v>
      </c>
      <c r="D1029" s="48">
        <v>44651</v>
      </c>
      <c r="E1029" s="19" t="s">
        <v>4464</v>
      </c>
      <c r="F1029" s="6" t="s">
        <v>4465</v>
      </c>
      <c r="G1029" s="6" t="s">
        <v>4095</v>
      </c>
      <c r="H1029" s="6" t="s">
        <v>3292</v>
      </c>
    </row>
    <row r="1030" spans="1:8" ht="12.75">
      <c r="A1030" s="18">
        <v>2022</v>
      </c>
      <c r="B1030" s="18">
        <v>40</v>
      </c>
      <c r="C1030" s="87" t="s">
        <v>39</v>
      </c>
      <c r="D1030" s="48">
        <v>44656</v>
      </c>
      <c r="E1030" s="19" t="s">
        <v>3483</v>
      </c>
      <c r="F1030" s="6" t="s">
        <v>4466</v>
      </c>
      <c r="G1030" s="6" t="s">
        <v>3291</v>
      </c>
      <c r="H1030" s="6" t="s">
        <v>3292</v>
      </c>
    </row>
    <row r="1031" spans="1:8" ht="12.75">
      <c r="A1031" s="18">
        <v>2022</v>
      </c>
      <c r="B1031" s="18">
        <v>40</v>
      </c>
      <c r="C1031" s="87" t="s">
        <v>39</v>
      </c>
      <c r="D1031" s="48">
        <v>44656</v>
      </c>
      <c r="E1031" s="19" t="s">
        <v>4467</v>
      </c>
      <c r="F1031" s="6" t="s">
        <v>4468</v>
      </c>
      <c r="G1031" s="6" t="s">
        <v>3291</v>
      </c>
      <c r="H1031" s="6" t="s">
        <v>3292</v>
      </c>
    </row>
    <row r="1032" spans="1:8" ht="12.75">
      <c r="A1032" s="18">
        <v>2022</v>
      </c>
      <c r="B1032" s="18">
        <v>40</v>
      </c>
      <c r="C1032" s="87" t="s">
        <v>39</v>
      </c>
      <c r="D1032" s="48">
        <v>44656</v>
      </c>
      <c r="E1032" s="19" t="s">
        <v>4469</v>
      </c>
      <c r="F1032" s="6" t="s">
        <v>4470</v>
      </c>
      <c r="G1032" s="6" t="s">
        <v>3291</v>
      </c>
      <c r="H1032" s="6" t="s">
        <v>3292</v>
      </c>
    </row>
    <row r="1033" spans="1:8" ht="12.75">
      <c r="A1033" s="18">
        <v>2022</v>
      </c>
      <c r="B1033" s="18">
        <v>40</v>
      </c>
      <c r="C1033" s="87" t="s">
        <v>39</v>
      </c>
      <c r="D1033" s="48">
        <v>44656</v>
      </c>
      <c r="E1033" s="19" t="s">
        <v>4471</v>
      </c>
      <c r="F1033" s="6" t="s">
        <v>4472</v>
      </c>
      <c r="G1033" s="6" t="s">
        <v>3291</v>
      </c>
      <c r="H1033" s="6" t="s">
        <v>3292</v>
      </c>
    </row>
    <row r="1034" spans="1:8" ht="12.75">
      <c r="A1034" s="18">
        <v>2022</v>
      </c>
      <c r="B1034" s="18">
        <v>40</v>
      </c>
      <c r="C1034" s="87" t="s">
        <v>39</v>
      </c>
      <c r="D1034" s="48">
        <v>44656</v>
      </c>
      <c r="E1034" s="19" t="s">
        <v>4473</v>
      </c>
      <c r="F1034" s="6" t="s">
        <v>4474</v>
      </c>
      <c r="G1034" s="6" t="s">
        <v>3291</v>
      </c>
      <c r="H1034" s="6" t="s">
        <v>3292</v>
      </c>
    </row>
    <row r="1035" spans="1:8" ht="12.75">
      <c r="A1035" s="18">
        <v>2022</v>
      </c>
      <c r="B1035" s="18">
        <v>43</v>
      </c>
      <c r="C1035" s="87" t="s">
        <v>370</v>
      </c>
      <c r="D1035" s="48">
        <v>44658</v>
      </c>
      <c r="E1035" s="19" t="s">
        <v>3307</v>
      </c>
      <c r="F1035" s="6" t="s">
        <v>3308</v>
      </c>
      <c r="G1035" s="6" t="s">
        <v>3876</v>
      </c>
      <c r="H1035" s="6" t="s">
        <v>3292</v>
      </c>
    </row>
    <row r="1036" spans="1:8" ht="12.75">
      <c r="A1036" s="18">
        <v>2022</v>
      </c>
      <c r="B1036" s="18">
        <v>43</v>
      </c>
      <c r="C1036" s="87" t="s">
        <v>370</v>
      </c>
      <c r="D1036" s="48">
        <v>44658</v>
      </c>
      <c r="E1036" s="19" t="s">
        <v>3342</v>
      </c>
      <c r="F1036" s="6" t="s">
        <v>4096</v>
      </c>
      <c r="G1036" s="6" t="s">
        <v>3876</v>
      </c>
      <c r="H1036" s="6" t="s">
        <v>3292</v>
      </c>
    </row>
    <row r="1037" spans="1:8" ht="12.75">
      <c r="A1037" s="18">
        <v>2022</v>
      </c>
      <c r="B1037" s="18">
        <v>43</v>
      </c>
      <c r="C1037" s="87" t="s">
        <v>370</v>
      </c>
      <c r="D1037" s="48">
        <v>44658</v>
      </c>
      <c r="E1037" s="19" t="s">
        <v>4475</v>
      </c>
      <c r="F1037" s="6" t="s">
        <v>4476</v>
      </c>
      <c r="G1037" s="6" t="s">
        <v>3876</v>
      </c>
      <c r="H1037" s="6" t="s">
        <v>3292</v>
      </c>
    </row>
    <row r="1038" spans="1:8" ht="12.75">
      <c r="A1038" s="18">
        <v>2022</v>
      </c>
      <c r="B1038" s="18">
        <v>43</v>
      </c>
      <c r="C1038" s="87" t="s">
        <v>370</v>
      </c>
      <c r="D1038" s="48">
        <v>44658</v>
      </c>
      <c r="E1038" s="19" t="s">
        <v>4477</v>
      </c>
      <c r="F1038" s="6" t="s">
        <v>4478</v>
      </c>
      <c r="G1038" s="6" t="s">
        <v>3876</v>
      </c>
      <c r="H1038" s="6" t="s">
        <v>3292</v>
      </c>
    </row>
    <row r="1039" spans="1:8" ht="12.75">
      <c r="A1039" s="18">
        <v>2022</v>
      </c>
      <c r="B1039" s="18">
        <v>43</v>
      </c>
      <c r="C1039" s="87" t="s">
        <v>370</v>
      </c>
      <c r="D1039" s="48">
        <v>44658</v>
      </c>
      <c r="E1039" s="19" t="s">
        <v>4479</v>
      </c>
      <c r="F1039" s="6" t="s">
        <v>4478</v>
      </c>
      <c r="G1039" s="6" t="s">
        <v>3876</v>
      </c>
      <c r="H1039" s="6" t="s">
        <v>3292</v>
      </c>
    </row>
    <row r="1040" spans="1:8" ht="12.75">
      <c r="A1040" s="18">
        <v>2022</v>
      </c>
      <c r="B1040" s="18">
        <v>46</v>
      </c>
      <c r="C1040" s="87" t="s">
        <v>51</v>
      </c>
      <c r="D1040" s="48">
        <v>44663</v>
      </c>
      <c r="E1040" s="19" t="s">
        <v>4480</v>
      </c>
      <c r="F1040" s="6" t="s">
        <v>4481</v>
      </c>
      <c r="G1040" s="6" t="s">
        <v>3313</v>
      </c>
      <c r="H1040" s="6" t="s">
        <v>3292</v>
      </c>
    </row>
    <row r="1041" spans="1:8" ht="12.75">
      <c r="A1041" s="18">
        <v>2022</v>
      </c>
      <c r="B1041" s="18">
        <v>48</v>
      </c>
      <c r="C1041" s="87" t="s">
        <v>1591</v>
      </c>
      <c r="D1041" s="48">
        <v>44670</v>
      </c>
      <c r="E1041" s="19" t="s">
        <v>4482</v>
      </c>
      <c r="F1041" s="6" t="s">
        <v>4483</v>
      </c>
      <c r="G1041" s="6" t="s">
        <v>3439</v>
      </c>
      <c r="H1041" s="6" t="s">
        <v>3288</v>
      </c>
    </row>
    <row r="1042" spans="1:8" ht="12.75">
      <c r="A1042" s="18">
        <v>2022</v>
      </c>
      <c r="B1042" s="18">
        <v>48</v>
      </c>
      <c r="C1042" s="87" t="s">
        <v>1591</v>
      </c>
      <c r="D1042" s="48">
        <v>44670</v>
      </c>
      <c r="E1042" s="19" t="s">
        <v>4484</v>
      </c>
      <c r="F1042" s="6" t="s">
        <v>4485</v>
      </c>
      <c r="G1042" s="6" t="s">
        <v>1319</v>
      </c>
      <c r="H1042" s="6" t="s">
        <v>3288</v>
      </c>
    </row>
    <row r="1043" spans="1:8" ht="12.75">
      <c r="A1043" s="18">
        <v>2022</v>
      </c>
      <c r="B1043" s="18">
        <v>48</v>
      </c>
      <c r="C1043" s="87" t="s">
        <v>1591</v>
      </c>
      <c r="D1043" s="48">
        <v>44670</v>
      </c>
      <c r="E1043" s="19" t="s">
        <v>4486</v>
      </c>
      <c r="F1043" s="6" t="s">
        <v>4487</v>
      </c>
      <c r="G1043" s="6" t="s">
        <v>1319</v>
      </c>
      <c r="H1043" s="6" t="s">
        <v>3288</v>
      </c>
    </row>
    <row r="1044" spans="1:8" ht="12.75">
      <c r="A1044" s="18">
        <v>2022</v>
      </c>
      <c r="B1044" s="18">
        <v>50</v>
      </c>
      <c r="C1044" s="87" t="s">
        <v>2192</v>
      </c>
      <c r="D1044" s="48">
        <v>44671</v>
      </c>
      <c r="E1044" s="19" t="s">
        <v>4488</v>
      </c>
      <c r="F1044" s="6" t="s">
        <v>4489</v>
      </c>
      <c r="G1044" s="6" t="s">
        <v>1319</v>
      </c>
      <c r="H1044" s="6" t="s">
        <v>3288</v>
      </c>
    </row>
    <row r="1045" spans="1:8" ht="12.75">
      <c r="A1045" s="18">
        <v>2022</v>
      </c>
      <c r="B1045" s="18">
        <v>50</v>
      </c>
      <c r="C1045" s="87" t="s">
        <v>2192</v>
      </c>
      <c r="D1045" s="48">
        <v>44671</v>
      </c>
      <c r="E1045" s="19" t="s">
        <v>4490</v>
      </c>
      <c r="F1045" s="6" t="s">
        <v>4491</v>
      </c>
      <c r="G1045" s="6" t="s">
        <v>3439</v>
      </c>
      <c r="H1045" s="6" t="s">
        <v>3288</v>
      </c>
    </row>
    <row r="1046" spans="1:8" ht="12.75">
      <c r="A1046" s="18">
        <v>2022</v>
      </c>
      <c r="B1046" s="18">
        <v>51</v>
      </c>
      <c r="C1046" s="87" t="s">
        <v>1980</v>
      </c>
      <c r="D1046" s="48">
        <v>44672</v>
      </c>
      <c r="E1046" s="19" t="s">
        <v>3544</v>
      </c>
      <c r="F1046" s="6" t="s">
        <v>4420</v>
      </c>
      <c r="G1046" s="6" t="s">
        <v>3546</v>
      </c>
      <c r="H1046" s="6" t="s">
        <v>3292</v>
      </c>
    </row>
    <row r="1047" spans="1:8" ht="12.75">
      <c r="A1047" s="18">
        <v>2022</v>
      </c>
      <c r="B1047" s="18">
        <v>51</v>
      </c>
      <c r="C1047" s="87" t="s">
        <v>1980</v>
      </c>
      <c r="D1047" s="48">
        <v>44672</v>
      </c>
      <c r="E1047" s="19" t="s">
        <v>4421</v>
      </c>
      <c r="F1047" s="6" t="s">
        <v>3548</v>
      </c>
      <c r="G1047" s="6" t="s">
        <v>3546</v>
      </c>
      <c r="H1047" s="6" t="s">
        <v>3292</v>
      </c>
    </row>
    <row r="1048" spans="1:8" ht="12.75">
      <c r="A1048" s="18">
        <v>2022</v>
      </c>
      <c r="B1048" s="18">
        <v>52</v>
      </c>
      <c r="C1048" s="87" t="s">
        <v>1591</v>
      </c>
      <c r="D1048" s="48">
        <v>44677</v>
      </c>
      <c r="E1048" s="19" t="s">
        <v>4492</v>
      </c>
      <c r="F1048" s="6" t="s">
        <v>4493</v>
      </c>
      <c r="G1048" s="6" t="s">
        <v>3389</v>
      </c>
      <c r="H1048" s="6" t="s">
        <v>3288</v>
      </c>
    </row>
    <row r="1049" spans="1:8" ht="12.75">
      <c r="A1049" s="18">
        <v>2022</v>
      </c>
      <c r="B1049" s="18">
        <v>52</v>
      </c>
      <c r="C1049" s="87" t="s">
        <v>1591</v>
      </c>
      <c r="D1049" s="48">
        <v>44677</v>
      </c>
      <c r="E1049" s="19" t="s">
        <v>4494</v>
      </c>
      <c r="F1049" s="6" t="s">
        <v>4495</v>
      </c>
      <c r="G1049" s="6" t="s">
        <v>3439</v>
      </c>
      <c r="H1049" s="6" t="s">
        <v>3288</v>
      </c>
    </row>
    <row r="1050" spans="1:8" ht="12.75">
      <c r="A1050" s="18">
        <v>2022</v>
      </c>
      <c r="B1050" s="18">
        <v>53</v>
      </c>
      <c r="C1050" s="87" t="s">
        <v>39</v>
      </c>
      <c r="D1050" s="48">
        <v>44677</v>
      </c>
      <c r="E1050" s="19" t="s">
        <v>3363</v>
      </c>
      <c r="F1050" s="6" t="s">
        <v>4496</v>
      </c>
      <c r="G1050" s="6" t="s">
        <v>3291</v>
      </c>
      <c r="H1050" s="6" t="s">
        <v>3292</v>
      </c>
    </row>
    <row r="1051" spans="1:8" ht="12.75">
      <c r="A1051" s="18">
        <v>2022</v>
      </c>
      <c r="B1051" s="18">
        <v>53</v>
      </c>
      <c r="C1051" s="87" t="s">
        <v>39</v>
      </c>
      <c r="D1051" s="48">
        <v>44677</v>
      </c>
      <c r="E1051" s="19" t="s">
        <v>3983</v>
      </c>
      <c r="F1051" s="6" t="s">
        <v>4497</v>
      </c>
      <c r="G1051" s="6" t="s">
        <v>3291</v>
      </c>
      <c r="H1051" s="6" t="s">
        <v>3292</v>
      </c>
    </row>
    <row r="1052" spans="1:8" ht="12.75">
      <c r="A1052" s="18">
        <v>2022</v>
      </c>
      <c r="B1052" s="18">
        <v>53</v>
      </c>
      <c r="C1052" s="87" t="s">
        <v>39</v>
      </c>
      <c r="D1052" s="48">
        <v>44677</v>
      </c>
      <c r="E1052" s="19" t="s">
        <v>4498</v>
      </c>
      <c r="F1052" s="6" t="s">
        <v>4499</v>
      </c>
      <c r="G1052" s="6" t="s">
        <v>3291</v>
      </c>
      <c r="H1052" s="6" t="s">
        <v>3292</v>
      </c>
    </row>
    <row r="1053" spans="1:8" ht="12.75">
      <c r="A1053" s="18">
        <v>2022</v>
      </c>
      <c r="B1053" s="18">
        <v>56</v>
      </c>
      <c r="C1053" s="87" t="s">
        <v>47</v>
      </c>
      <c r="D1053" s="48">
        <v>44679</v>
      </c>
      <c r="E1053" s="19" t="s">
        <v>4500</v>
      </c>
      <c r="F1053" s="6" t="s">
        <v>4501</v>
      </c>
      <c r="G1053" s="6" t="s">
        <v>4502</v>
      </c>
      <c r="H1053" s="6" t="s">
        <v>3567</v>
      </c>
    </row>
    <row r="1054" spans="1:8" ht="12.75">
      <c r="A1054" s="18">
        <v>2022</v>
      </c>
      <c r="B1054" s="18">
        <v>56</v>
      </c>
      <c r="C1054" s="87" t="s">
        <v>47</v>
      </c>
      <c r="D1054" s="48">
        <v>44679</v>
      </c>
      <c r="E1054" s="19" t="s">
        <v>4503</v>
      </c>
      <c r="F1054" s="6" t="s">
        <v>4504</v>
      </c>
      <c r="G1054" s="6" t="s">
        <v>4502</v>
      </c>
      <c r="H1054" s="6" t="s">
        <v>3567</v>
      </c>
    </row>
    <row r="1055" spans="1:8" ht="12.75">
      <c r="A1055" s="18">
        <v>2022</v>
      </c>
      <c r="B1055" s="18">
        <v>58</v>
      </c>
      <c r="C1055" s="87" t="s">
        <v>1591</v>
      </c>
      <c r="D1055" s="48">
        <v>44684</v>
      </c>
      <c r="E1055" s="19" t="s">
        <v>4505</v>
      </c>
      <c r="F1055" s="6" t="s">
        <v>4506</v>
      </c>
      <c r="G1055" s="6" t="s">
        <v>1319</v>
      </c>
      <c r="H1055" s="6" t="s">
        <v>3288</v>
      </c>
    </row>
    <row r="1056" spans="1:8" ht="12.75">
      <c r="A1056" s="18">
        <v>2022</v>
      </c>
      <c r="B1056" s="18">
        <v>58</v>
      </c>
      <c r="C1056" s="87" t="s">
        <v>1591</v>
      </c>
      <c r="D1056" s="48">
        <v>44684</v>
      </c>
      <c r="E1056" s="19" t="s">
        <v>4507</v>
      </c>
      <c r="F1056" s="6" t="s">
        <v>4508</v>
      </c>
      <c r="G1056" s="6" t="s">
        <v>1319</v>
      </c>
      <c r="H1056" s="6" t="s">
        <v>3288</v>
      </c>
    </row>
    <row r="1057" spans="1:8" ht="12.75">
      <c r="A1057" s="18">
        <v>2022</v>
      </c>
      <c r="B1057" s="18">
        <v>58</v>
      </c>
      <c r="C1057" s="87" t="s">
        <v>1591</v>
      </c>
      <c r="D1057" s="48">
        <v>44684</v>
      </c>
      <c r="E1057" s="19" t="s">
        <v>4509</v>
      </c>
      <c r="F1057" s="6" t="s">
        <v>4510</v>
      </c>
      <c r="G1057" s="6" t="s">
        <v>1319</v>
      </c>
      <c r="H1057" s="6" t="s">
        <v>3288</v>
      </c>
    </row>
    <row r="1058" spans="1:8" ht="12.75">
      <c r="A1058" s="18">
        <v>2022</v>
      </c>
      <c r="B1058" s="18">
        <v>59</v>
      </c>
      <c r="C1058" s="87" t="s">
        <v>190</v>
      </c>
      <c r="D1058" s="48">
        <v>44684</v>
      </c>
      <c r="E1058" s="19" t="s">
        <v>3481</v>
      </c>
      <c r="F1058" s="6" t="s">
        <v>4511</v>
      </c>
      <c r="G1058" s="6" t="s">
        <v>3306</v>
      </c>
      <c r="H1058" s="6" t="s">
        <v>3292</v>
      </c>
    </row>
    <row r="1059" spans="1:8" ht="12.75">
      <c r="A1059" s="18">
        <v>2022</v>
      </c>
      <c r="B1059" s="18">
        <v>60</v>
      </c>
      <c r="C1059" s="87" t="s">
        <v>2236</v>
      </c>
      <c r="D1059" s="48">
        <v>44684</v>
      </c>
      <c r="E1059" s="19" t="s">
        <v>3361</v>
      </c>
      <c r="F1059" s="6" t="s">
        <v>4448</v>
      </c>
      <c r="G1059" s="6" t="s">
        <v>3291</v>
      </c>
      <c r="H1059" s="6" t="s">
        <v>3292</v>
      </c>
    </row>
    <row r="1060" spans="1:8" ht="12.75">
      <c r="A1060" s="18">
        <v>2022</v>
      </c>
      <c r="B1060" s="18">
        <v>60</v>
      </c>
      <c r="C1060" s="87" t="s">
        <v>2236</v>
      </c>
      <c r="D1060" s="48">
        <v>44684</v>
      </c>
      <c r="E1060" s="19" t="s">
        <v>4512</v>
      </c>
      <c r="F1060" s="6" t="s">
        <v>4513</v>
      </c>
      <c r="G1060" s="6" t="s">
        <v>3876</v>
      </c>
      <c r="H1060" s="6" t="s">
        <v>3292</v>
      </c>
    </row>
    <row r="1061" spans="1:8" ht="12.75">
      <c r="A1061" s="18">
        <v>2022</v>
      </c>
      <c r="B1061" s="18">
        <v>62</v>
      </c>
      <c r="C1061" s="87" t="s">
        <v>73</v>
      </c>
      <c r="D1061" s="48">
        <v>44686</v>
      </c>
      <c r="E1061" s="19" t="s">
        <v>3321</v>
      </c>
      <c r="F1061" s="6" t="s">
        <v>4514</v>
      </c>
      <c r="G1061" s="6" t="s">
        <v>3876</v>
      </c>
      <c r="H1061" s="6" t="s">
        <v>3292</v>
      </c>
    </row>
    <row r="1062" spans="1:8" ht="12.75">
      <c r="A1062" s="18">
        <v>2022</v>
      </c>
      <c r="B1062" s="18">
        <v>64</v>
      </c>
      <c r="C1062" s="87" t="s">
        <v>45</v>
      </c>
      <c r="D1062" s="48">
        <v>44691</v>
      </c>
      <c r="E1062" s="19" t="s">
        <v>3324</v>
      </c>
      <c r="F1062" s="6" t="s">
        <v>3302</v>
      </c>
      <c r="G1062" s="6" t="s">
        <v>3325</v>
      </c>
      <c r="H1062" s="6" t="s">
        <v>3292</v>
      </c>
    </row>
    <row r="1063" spans="1:8" ht="12.75">
      <c r="A1063" s="18">
        <v>2022</v>
      </c>
      <c r="B1063" s="18">
        <v>67</v>
      </c>
      <c r="C1063" s="87" t="s">
        <v>39</v>
      </c>
      <c r="D1063" s="48">
        <v>44693</v>
      </c>
      <c r="E1063" s="19" t="s">
        <v>3289</v>
      </c>
      <c r="F1063" s="6" t="s">
        <v>3290</v>
      </c>
      <c r="G1063" s="6" t="s">
        <v>3291</v>
      </c>
      <c r="H1063" s="6" t="s">
        <v>3292</v>
      </c>
    </row>
    <row r="1064" spans="1:8" ht="12.75">
      <c r="A1064" s="18">
        <v>2022</v>
      </c>
      <c r="B1064" s="18">
        <v>67</v>
      </c>
      <c r="C1064" s="87" t="s">
        <v>39</v>
      </c>
      <c r="D1064" s="48">
        <v>44693</v>
      </c>
      <c r="E1064" s="19" t="s">
        <v>4515</v>
      </c>
      <c r="F1064" s="6" t="s">
        <v>4516</v>
      </c>
      <c r="G1064" s="6" t="s">
        <v>3291</v>
      </c>
      <c r="H1064" s="6" t="s">
        <v>3292</v>
      </c>
    </row>
    <row r="1065" spans="1:8" ht="12.75">
      <c r="A1065" s="18">
        <v>2022</v>
      </c>
      <c r="B1065" s="18">
        <v>68</v>
      </c>
      <c r="C1065" s="87" t="s">
        <v>471</v>
      </c>
      <c r="D1065" s="48">
        <v>44693</v>
      </c>
      <c r="E1065" s="19" t="s">
        <v>4517</v>
      </c>
      <c r="F1065" s="6" t="s">
        <v>4518</v>
      </c>
      <c r="G1065" s="6" t="s">
        <v>3973</v>
      </c>
      <c r="H1065" s="6" t="s">
        <v>3393</v>
      </c>
    </row>
    <row r="1066" spans="1:8" ht="12.75">
      <c r="A1066" s="18">
        <v>2022</v>
      </c>
      <c r="B1066" s="18">
        <v>69</v>
      </c>
      <c r="C1066" s="87" t="s">
        <v>2288</v>
      </c>
      <c r="D1066" s="48">
        <v>44698</v>
      </c>
      <c r="E1066" s="19" t="s">
        <v>4519</v>
      </c>
      <c r="F1066" s="6" t="s">
        <v>3302</v>
      </c>
      <c r="G1066" s="6" t="s">
        <v>3306</v>
      </c>
      <c r="H1066" s="6" t="s">
        <v>3292</v>
      </c>
    </row>
    <row r="1067" spans="1:8" ht="12.75">
      <c r="A1067" s="18">
        <v>2022</v>
      </c>
      <c r="B1067" s="18">
        <v>69</v>
      </c>
      <c r="C1067" s="87" t="s">
        <v>2288</v>
      </c>
      <c r="D1067" s="48">
        <v>44698</v>
      </c>
      <c r="E1067" s="19" t="s">
        <v>4134</v>
      </c>
      <c r="F1067" s="6" t="s">
        <v>4520</v>
      </c>
      <c r="G1067" s="6" t="s">
        <v>3306</v>
      </c>
      <c r="H1067" s="6" t="s">
        <v>3513</v>
      </c>
    </row>
    <row r="1068" spans="1:8" ht="12.75">
      <c r="A1068" s="18">
        <v>2022</v>
      </c>
      <c r="B1068" s="18">
        <v>69</v>
      </c>
      <c r="C1068" s="87" t="s">
        <v>2288</v>
      </c>
      <c r="D1068" s="48">
        <v>44698</v>
      </c>
      <c r="E1068" s="19" t="s">
        <v>4521</v>
      </c>
      <c r="F1068" s="6" t="s">
        <v>3381</v>
      </c>
      <c r="G1068" s="6" t="s">
        <v>3306</v>
      </c>
      <c r="H1068" s="6" t="s">
        <v>3292</v>
      </c>
    </row>
    <row r="1069" spans="1:8" ht="12.75">
      <c r="A1069" s="18">
        <v>2022</v>
      </c>
      <c r="B1069" s="18">
        <v>69</v>
      </c>
      <c r="C1069" s="87" t="s">
        <v>2288</v>
      </c>
      <c r="D1069" s="48">
        <v>44698</v>
      </c>
      <c r="E1069" s="19" t="s">
        <v>3989</v>
      </c>
      <c r="F1069" s="6" t="s">
        <v>3990</v>
      </c>
      <c r="G1069" s="6" t="s">
        <v>3306</v>
      </c>
      <c r="H1069" s="6" t="s">
        <v>3292</v>
      </c>
    </row>
    <row r="1070" spans="1:8" ht="12.75">
      <c r="A1070" s="18">
        <v>2022</v>
      </c>
      <c r="B1070" s="18">
        <v>70</v>
      </c>
      <c r="C1070" s="87" t="s">
        <v>2300</v>
      </c>
      <c r="D1070" s="48">
        <v>44700</v>
      </c>
      <c r="E1070" s="19" t="s">
        <v>4522</v>
      </c>
      <c r="F1070" s="6" t="s">
        <v>4523</v>
      </c>
      <c r="G1070" s="6" t="s">
        <v>3446</v>
      </c>
      <c r="H1070" s="6" t="s">
        <v>3288</v>
      </c>
    </row>
    <row r="1071" spans="1:8" ht="12.75">
      <c r="A1071" s="18">
        <v>2022</v>
      </c>
      <c r="B1071" s="18">
        <v>72</v>
      </c>
      <c r="C1071" s="87" t="s">
        <v>1980</v>
      </c>
      <c r="D1071" s="48">
        <v>44700</v>
      </c>
      <c r="E1071" s="19" t="s">
        <v>3544</v>
      </c>
      <c r="F1071" s="6" t="s">
        <v>4420</v>
      </c>
      <c r="G1071" s="6" t="s">
        <v>3546</v>
      </c>
      <c r="H1071" s="6" t="s">
        <v>3292</v>
      </c>
    </row>
    <row r="1072" spans="1:8" ht="12.75">
      <c r="A1072" s="18">
        <v>2022</v>
      </c>
      <c r="B1072" s="18">
        <v>72</v>
      </c>
      <c r="C1072" s="87" t="s">
        <v>1980</v>
      </c>
      <c r="D1072" s="48">
        <v>44700</v>
      </c>
      <c r="E1072" s="19" t="s">
        <v>4421</v>
      </c>
      <c r="F1072" s="6" t="s">
        <v>3548</v>
      </c>
      <c r="G1072" s="6" t="s">
        <v>3546</v>
      </c>
      <c r="H1072" s="6" t="s">
        <v>3292</v>
      </c>
    </row>
    <row r="1073" spans="1:8" ht="12.75">
      <c r="A1073" s="18">
        <v>2022</v>
      </c>
      <c r="B1073" s="18">
        <v>73</v>
      </c>
      <c r="C1073" s="87" t="s">
        <v>2314</v>
      </c>
      <c r="D1073" s="48">
        <v>44705</v>
      </c>
      <c r="E1073" s="19" t="s">
        <v>3289</v>
      </c>
      <c r="F1073" s="6" t="s">
        <v>3290</v>
      </c>
      <c r="G1073" s="6" t="s">
        <v>3291</v>
      </c>
      <c r="H1073" s="6" t="s">
        <v>3292</v>
      </c>
    </row>
    <row r="1074" spans="1:8" ht="12.75">
      <c r="A1074" s="18">
        <v>2022</v>
      </c>
      <c r="B1074" s="18">
        <v>76</v>
      </c>
      <c r="C1074" s="87" t="s">
        <v>2325</v>
      </c>
      <c r="D1074" s="48">
        <v>44707</v>
      </c>
      <c r="E1074" s="19" t="s">
        <v>4430</v>
      </c>
      <c r="F1074" s="6" t="s">
        <v>4431</v>
      </c>
      <c r="G1074" s="6" t="s">
        <v>3291</v>
      </c>
      <c r="H1074" s="6" t="s">
        <v>3292</v>
      </c>
    </row>
    <row r="1075" spans="1:8" ht="12.75">
      <c r="A1075" s="18">
        <v>2022</v>
      </c>
      <c r="B1075" s="18">
        <v>76</v>
      </c>
      <c r="C1075" s="87" t="s">
        <v>2325</v>
      </c>
      <c r="D1075" s="48">
        <v>44707</v>
      </c>
      <c r="E1075" s="19" t="s">
        <v>4524</v>
      </c>
      <c r="F1075" s="6" t="s">
        <v>4525</v>
      </c>
      <c r="G1075" s="6" t="s">
        <v>3291</v>
      </c>
      <c r="H1075" s="6" t="s">
        <v>3292</v>
      </c>
    </row>
    <row r="1076" spans="1:8" ht="12.75">
      <c r="A1076" s="18">
        <v>2022</v>
      </c>
      <c r="B1076" s="18">
        <v>76</v>
      </c>
      <c r="C1076" s="87" t="s">
        <v>2325</v>
      </c>
      <c r="D1076" s="48">
        <v>44707</v>
      </c>
      <c r="E1076" s="19" t="s">
        <v>4526</v>
      </c>
      <c r="F1076" s="6" t="s">
        <v>4527</v>
      </c>
      <c r="G1076" s="6" t="s">
        <v>3291</v>
      </c>
      <c r="H1076" s="6" t="s">
        <v>3292</v>
      </c>
    </row>
    <row r="1077" spans="1:8" ht="12.75">
      <c r="A1077" s="18">
        <v>2022</v>
      </c>
      <c r="B1077" s="18">
        <v>76</v>
      </c>
      <c r="C1077" s="87" t="s">
        <v>2325</v>
      </c>
      <c r="D1077" s="48">
        <v>44707</v>
      </c>
      <c r="E1077" s="19" t="s">
        <v>4528</v>
      </c>
      <c r="F1077" s="6" t="s">
        <v>4529</v>
      </c>
      <c r="G1077" s="6" t="s">
        <v>3291</v>
      </c>
      <c r="H1077" s="6" t="s">
        <v>3292</v>
      </c>
    </row>
    <row r="1078" spans="1:8" ht="12.75">
      <c r="A1078" s="18">
        <v>2022</v>
      </c>
      <c r="B1078" s="18">
        <v>83</v>
      </c>
      <c r="C1078" s="87" t="s">
        <v>3644</v>
      </c>
      <c r="D1078" s="48">
        <v>44719</v>
      </c>
      <c r="E1078" s="19" t="s">
        <v>4530</v>
      </c>
      <c r="F1078" s="6" t="s">
        <v>4531</v>
      </c>
      <c r="G1078" s="6" t="s">
        <v>3720</v>
      </c>
      <c r="H1078" s="6" t="s">
        <v>3292</v>
      </c>
    </row>
    <row r="1079" spans="1:8" ht="12.75">
      <c r="A1079" s="18">
        <v>2022</v>
      </c>
      <c r="B1079" s="18">
        <v>83</v>
      </c>
      <c r="C1079" s="87" t="s">
        <v>3644</v>
      </c>
      <c r="D1079" s="48">
        <v>44719</v>
      </c>
      <c r="E1079" s="19" t="s">
        <v>4354</v>
      </c>
      <c r="F1079" s="6" t="s">
        <v>4532</v>
      </c>
      <c r="G1079" s="6" t="s">
        <v>3720</v>
      </c>
      <c r="H1079" s="6" t="s">
        <v>3292</v>
      </c>
    </row>
    <row r="1080" spans="1:8" ht="12.75">
      <c r="A1080" s="18">
        <v>2022</v>
      </c>
      <c r="B1080" s="18">
        <v>84</v>
      </c>
      <c r="C1080" s="87" t="s">
        <v>2192</v>
      </c>
      <c r="D1080" s="48">
        <v>44720</v>
      </c>
      <c r="E1080" s="19" t="s">
        <v>4533</v>
      </c>
      <c r="F1080" s="6" t="s">
        <v>4534</v>
      </c>
      <c r="G1080" s="6" t="s">
        <v>1319</v>
      </c>
      <c r="H1080" s="6" t="s">
        <v>3288</v>
      </c>
    </row>
    <row r="1081" spans="1:8" ht="12.75">
      <c r="A1081" s="18">
        <v>2022</v>
      </c>
      <c r="B1081" s="18">
        <v>84</v>
      </c>
      <c r="C1081" s="87" t="s">
        <v>2192</v>
      </c>
      <c r="D1081" s="48">
        <v>44720</v>
      </c>
      <c r="E1081" s="19" t="s">
        <v>4535</v>
      </c>
      <c r="F1081" s="6" t="s">
        <v>4534</v>
      </c>
      <c r="G1081" s="6" t="s">
        <v>1319</v>
      </c>
      <c r="H1081" s="6" t="s">
        <v>3288</v>
      </c>
    </row>
    <row r="1082" spans="1:8" ht="12.75">
      <c r="A1082" s="18">
        <v>2022</v>
      </c>
      <c r="B1082" s="18">
        <v>84</v>
      </c>
      <c r="C1082" s="87" t="s">
        <v>2192</v>
      </c>
      <c r="D1082" s="48">
        <v>44720</v>
      </c>
      <c r="E1082" s="19" t="s">
        <v>4536</v>
      </c>
      <c r="F1082" s="6" t="s">
        <v>4537</v>
      </c>
      <c r="G1082" s="6" t="s">
        <v>1319</v>
      </c>
      <c r="H1082" s="6" t="s">
        <v>3288</v>
      </c>
    </row>
    <row r="1083" spans="1:8" ht="12.75">
      <c r="A1083" s="18">
        <v>2022</v>
      </c>
      <c r="B1083" s="18">
        <v>86</v>
      </c>
      <c r="C1083" s="87" t="s">
        <v>1980</v>
      </c>
      <c r="D1083" s="48">
        <v>44721</v>
      </c>
      <c r="E1083" s="19" t="s">
        <v>4538</v>
      </c>
      <c r="F1083" s="6" t="s">
        <v>4539</v>
      </c>
      <c r="G1083" s="6" t="s">
        <v>3546</v>
      </c>
      <c r="H1083" s="6" t="s">
        <v>3292</v>
      </c>
    </row>
    <row r="1084" spans="1:8" ht="12.75">
      <c r="A1084" s="18">
        <v>2022</v>
      </c>
      <c r="B1084" s="18">
        <v>86</v>
      </c>
      <c r="C1084" s="87" t="s">
        <v>1980</v>
      </c>
      <c r="D1084" s="48">
        <v>44721</v>
      </c>
      <c r="E1084" s="19" t="s">
        <v>4540</v>
      </c>
      <c r="F1084" s="6" t="s">
        <v>3548</v>
      </c>
      <c r="G1084" s="6" t="s">
        <v>3546</v>
      </c>
      <c r="H1084" s="6" t="s">
        <v>3292</v>
      </c>
    </row>
    <row r="1085" spans="1:8" ht="12.75">
      <c r="A1085" s="18">
        <v>2022</v>
      </c>
      <c r="B1085" s="18">
        <v>87</v>
      </c>
      <c r="C1085" s="87" t="s">
        <v>2373</v>
      </c>
      <c r="D1085" s="48">
        <v>44721</v>
      </c>
      <c r="E1085" s="19" t="s">
        <v>4541</v>
      </c>
      <c r="F1085" s="6" t="s">
        <v>4542</v>
      </c>
      <c r="G1085" s="6" t="s">
        <v>4502</v>
      </c>
      <c r="H1085" s="6" t="s">
        <v>3567</v>
      </c>
    </row>
    <row r="1086" spans="1:8" ht="12.75">
      <c r="A1086" s="18">
        <v>2022</v>
      </c>
      <c r="B1086" s="18">
        <v>87</v>
      </c>
      <c r="C1086" s="87" t="s">
        <v>2373</v>
      </c>
      <c r="D1086" s="48">
        <v>44721</v>
      </c>
      <c r="E1086" s="19" t="s">
        <v>3342</v>
      </c>
      <c r="F1086" s="6" t="s">
        <v>4096</v>
      </c>
      <c r="G1086" s="6" t="s">
        <v>4543</v>
      </c>
      <c r="H1086" s="6" t="s">
        <v>3292</v>
      </c>
    </row>
    <row r="1087" spans="1:8" ht="12.75">
      <c r="A1087" s="18">
        <v>2022</v>
      </c>
      <c r="B1087" s="18">
        <v>87</v>
      </c>
      <c r="C1087" s="87" t="s">
        <v>2373</v>
      </c>
      <c r="D1087" s="48">
        <v>44721</v>
      </c>
      <c r="E1087" s="19" t="s">
        <v>4544</v>
      </c>
      <c r="F1087" s="6" t="s">
        <v>4545</v>
      </c>
      <c r="G1087" s="6" t="s">
        <v>3469</v>
      </c>
      <c r="H1087" s="6" t="s">
        <v>3288</v>
      </c>
    </row>
    <row r="1088" spans="1:8" ht="12.75">
      <c r="A1088" s="18">
        <v>2022</v>
      </c>
      <c r="B1088" s="18">
        <v>87</v>
      </c>
      <c r="C1088" s="87" t="s">
        <v>2373</v>
      </c>
      <c r="D1088" s="48">
        <v>44721</v>
      </c>
      <c r="E1088" s="19" t="s">
        <v>4546</v>
      </c>
      <c r="F1088" s="6" t="s">
        <v>4547</v>
      </c>
      <c r="G1088" s="6" t="s">
        <v>3469</v>
      </c>
      <c r="H1088" s="6" t="s">
        <v>3288</v>
      </c>
    </row>
    <row r="1089" spans="1:8" ht="12.75">
      <c r="A1089" s="18">
        <v>2022</v>
      </c>
      <c r="B1089" s="18">
        <v>87</v>
      </c>
      <c r="C1089" s="87" t="s">
        <v>2373</v>
      </c>
      <c r="D1089" s="48">
        <v>44721</v>
      </c>
      <c r="E1089" s="19" t="s">
        <v>4548</v>
      </c>
      <c r="F1089" s="6" t="s">
        <v>4549</v>
      </c>
      <c r="G1089" s="6" t="s">
        <v>4502</v>
      </c>
      <c r="H1089" s="6" t="s">
        <v>3567</v>
      </c>
    </row>
    <row r="1090" spans="1:8" ht="12.75">
      <c r="A1090" s="18">
        <v>2022</v>
      </c>
      <c r="B1090" s="18">
        <v>87</v>
      </c>
      <c r="C1090" s="87" t="s">
        <v>2373</v>
      </c>
      <c r="D1090" s="48">
        <v>44721</v>
      </c>
      <c r="E1090" s="19" t="s">
        <v>4550</v>
      </c>
      <c r="F1090" s="6" t="s">
        <v>4551</v>
      </c>
      <c r="G1090" s="6" t="s">
        <v>3469</v>
      </c>
      <c r="H1090" s="6" t="s">
        <v>3288</v>
      </c>
    </row>
    <row r="1091" spans="1:8" ht="12.75">
      <c r="A1091" s="18">
        <v>2022</v>
      </c>
      <c r="B1091" s="18">
        <v>87</v>
      </c>
      <c r="C1091" s="87" t="s">
        <v>2373</v>
      </c>
      <c r="D1091" s="48">
        <v>44721</v>
      </c>
      <c r="E1091" s="19" t="s">
        <v>4103</v>
      </c>
      <c r="F1091" s="6" t="s">
        <v>4552</v>
      </c>
      <c r="G1091" s="6" t="s">
        <v>3469</v>
      </c>
      <c r="H1091" s="6" t="s">
        <v>3288</v>
      </c>
    </row>
    <row r="1092" spans="1:8" ht="12.75">
      <c r="A1092" s="18">
        <v>2022</v>
      </c>
      <c r="B1092" s="18">
        <v>87</v>
      </c>
      <c r="C1092" s="87" t="s">
        <v>2373</v>
      </c>
      <c r="D1092" s="48">
        <v>44721</v>
      </c>
      <c r="E1092" s="19" t="s">
        <v>4553</v>
      </c>
      <c r="F1092" s="6" t="s">
        <v>4554</v>
      </c>
      <c r="G1092" s="6" t="s">
        <v>3469</v>
      </c>
      <c r="H1092" s="6" t="s">
        <v>3288</v>
      </c>
    </row>
    <row r="1093" spans="1:8" ht="12.75">
      <c r="A1093" s="18">
        <v>2022</v>
      </c>
      <c r="B1093" s="18">
        <v>87</v>
      </c>
      <c r="C1093" s="87" t="s">
        <v>2373</v>
      </c>
      <c r="D1093" s="48">
        <v>44721</v>
      </c>
      <c r="E1093" s="19" t="s">
        <v>4555</v>
      </c>
      <c r="F1093" s="6" t="s">
        <v>4556</v>
      </c>
      <c r="G1093" s="6" t="s">
        <v>3469</v>
      </c>
      <c r="H1093" s="6" t="s">
        <v>3288</v>
      </c>
    </row>
    <row r="1094" spans="1:8" ht="12.75">
      <c r="A1094" s="18">
        <v>2022</v>
      </c>
      <c r="B1094" s="18">
        <v>87</v>
      </c>
      <c r="C1094" s="87" t="s">
        <v>2373</v>
      </c>
      <c r="D1094" s="48">
        <v>44721</v>
      </c>
      <c r="E1094" s="19" t="s">
        <v>4557</v>
      </c>
      <c r="F1094" s="6" t="s">
        <v>4558</v>
      </c>
      <c r="G1094" s="6" t="s">
        <v>3469</v>
      </c>
      <c r="H1094" s="6" t="s">
        <v>3288</v>
      </c>
    </row>
    <row r="1095" spans="1:8" ht="12.75">
      <c r="A1095" s="18">
        <v>2022</v>
      </c>
      <c r="B1095" s="18">
        <v>87</v>
      </c>
      <c r="C1095" s="87" t="s">
        <v>2373</v>
      </c>
      <c r="D1095" s="48">
        <v>44721</v>
      </c>
      <c r="E1095" s="19" t="s">
        <v>4559</v>
      </c>
      <c r="F1095" s="6" t="s">
        <v>4560</v>
      </c>
      <c r="G1095" s="6" t="s">
        <v>3469</v>
      </c>
      <c r="H1095" s="6" t="s">
        <v>3288</v>
      </c>
    </row>
    <row r="1096" spans="1:8" ht="12.75">
      <c r="A1096" s="18">
        <v>2022</v>
      </c>
      <c r="B1096" s="18">
        <v>88</v>
      </c>
      <c r="C1096" s="87" t="s">
        <v>53</v>
      </c>
      <c r="D1096" s="48">
        <v>44726</v>
      </c>
      <c r="E1096" s="19" t="s">
        <v>4561</v>
      </c>
      <c r="F1096" s="6" t="s">
        <v>4562</v>
      </c>
      <c r="G1096" s="6" t="s">
        <v>3328</v>
      </c>
      <c r="H1096" s="6" t="s">
        <v>3292</v>
      </c>
    </row>
    <row r="1097" spans="1:8" ht="12.75">
      <c r="A1097" s="18">
        <v>2022</v>
      </c>
      <c r="B1097" s="18">
        <v>88</v>
      </c>
      <c r="C1097" s="87" t="s">
        <v>53</v>
      </c>
      <c r="D1097" s="48">
        <v>44726</v>
      </c>
      <c r="E1097" s="19" t="s">
        <v>4563</v>
      </c>
      <c r="F1097" s="6" t="s">
        <v>4564</v>
      </c>
      <c r="G1097" s="6" t="s">
        <v>4565</v>
      </c>
      <c r="H1097" s="6" t="s">
        <v>3288</v>
      </c>
    </row>
    <row r="1098" spans="1:8" ht="12.75">
      <c r="A1098" s="18">
        <v>2022</v>
      </c>
      <c r="B1098" s="18">
        <v>88</v>
      </c>
      <c r="C1098" s="87" t="s">
        <v>53</v>
      </c>
      <c r="D1098" s="48">
        <v>44726</v>
      </c>
      <c r="E1098" s="19" t="s">
        <v>4566</v>
      </c>
      <c r="F1098" s="6" t="s">
        <v>4567</v>
      </c>
      <c r="G1098" s="6" t="s">
        <v>4565</v>
      </c>
      <c r="H1098" s="6" t="s">
        <v>3288</v>
      </c>
    </row>
    <row r="1099" spans="1:8" ht="12.75">
      <c r="A1099" s="18">
        <v>2022</v>
      </c>
      <c r="B1099" s="18">
        <v>88</v>
      </c>
      <c r="C1099" s="87" t="s">
        <v>53</v>
      </c>
      <c r="D1099" s="48">
        <v>44726</v>
      </c>
      <c r="E1099" s="19" t="s">
        <v>4568</v>
      </c>
      <c r="F1099" s="6" t="s">
        <v>4569</v>
      </c>
      <c r="G1099" s="6" t="s">
        <v>4565</v>
      </c>
      <c r="H1099" s="6" t="s">
        <v>3288</v>
      </c>
    </row>
    <row r="1100" spans="1:8" ht="12.75">
      <c r="A1100" s="18">
        <v>2022</v>
      </c>
      <c r="B1100" s="18">
        <v>88</v>
      </c>
      <c r="C1100" s="87" t="s">
        <v>53</v>
      </c>
      <c r="D1100" s="48">
        <v>44726</v>
      </c>
      <c r="E1100" s="19" t="s">
        <v>4570</v>
      </c>
      <c r="F1100" s="6" t="s">
        <v>4571</v>
      </c>
      <c r="G1100" s="6" t="s">
        <v>4565</v>
      </c>
      <c r="H1100" s="6" t="s">
        <v>3288</v>
      </c>
    </row>
    <row r="1101" spans="1:8" ht="12.75">
      <c r="A1101" s="18">
        <v>2022</v>
      </c>
      <c r="B1101" s="18">
        <v>88</v>
      </c>
      <c r="C1101" s="87" t="s">
        <v>53</v>
      </c>
      <c r="D1101" s="48">
        <v>44726</v>
      </c>
      <c r="E1101" s="19" t="s">
        <v>4572</v>
      </c>
      <c r="F1101" s="6" t="s">
        <v>4573</v>
      </c>
      <c r="G1101" s="6" t="s">
        <v>3328</v>
      </c>
      <c r="H1101" s="6" t="s">
        <v>3292</v>
      </c>
    </row>
    <row r="1102" spans="1:8" ht="12.75">
      <c r="A1102" s="18">
        <v>2022</v>
      </c>
      <c r="B1102" s="18">
        <v>89</v>
      </c>
      <c r="C1102" s="87" t="s">
        <v>2064</v>
      </c>
      <c r="D1102" s="48">
        <v>44726</v>
      </c>
      <c r="E1102" s="19" t="s">
        <v>4574</v>
      </c>
      <c r="F1102" s="6" t="s">
        <v>4575</v>
      </c>
      <c r="G1102" s="6" t="s">
        <v>3291</v>
      </c>
      <c r="H1102" s="6" t="s">
        <v>3292</v>
      </c>
    </row>
    <row r="1103" spans="1:8" ht="12.75">
      <c r="A1103" s="18">
        <v>2022</v>
      </c>
      <c r="B1103" s="18">
        <v>89</v>
      </c>
      <c r="C1103" s="87" t="s">
        <v>2064</v>
      </c>
      <c r="D1103" s="48">
        <v>44726</v>
      </c>
      <c r="E1103" s="19" t="s">
        <v>4576</v>
      </c>
      <c r="F1103" s="6" t="s">
        <v>4577</v>
      </c>
      <c r="G1103" s="6" t="s">
        <v>3291</v>
      </c>
      <c r="H1103" s="6" t="s">
        <v>3292</v>
      </c>
    </row>
    <row r="1104" spans="1:8" ht="12.75">
      <c r="A1104" s="18">
        <v>2022</v>
      </c>
      <c r="B1104" s="18">
        <v>89</v>
      </c>
      <c r="C1104" s="87" t="s">
        <v>2064</v>
      </c>
      <c r="D1104" s="48">
        <v>44726</v>
      </c>
      <c r="E1104" s="19" t="s">
        <v>4578</v>
      </c>
      <c r="F1104" s="6" t="s">
        <v>4579</v>
      </c>
      <c r="G1104" s="6" t="s">
        <v>3291</v>
      </c>
      <c r="H1104" s="6" t="s">
        <v>3292</v>
      </c>
    </row>
    <row r="1105" spans="1:8" ht="12.75">
      <c r="A1105" s="18">
        <v>2022</v>
      </c>
      <c r="B1105" s="18">
        <v>89</v>
      </c>
      <c r="C1105" s="87" t="s">
        <v>2064</v>
      </c>
      <c r="D1105" s="48">
        <v>44726</v>
      </c>
      <c r="E1105" s="19" t="s">
        <v>4580</v>
      </c>
      <c r="F1105" s="6" t="s">
        <v>4579</v>
      </c>
      <c r="G1105" s="6" t="s">
        <v>3291</v>
      </c>
      <c r="H1105" s="6" t="s">
        <v>3292</v>
      </c>
    </row>
    <row r="1106" spans="1:8" ht="12.75">
      <c r="A1106" s="18">
        <v>2022</v>
      </c>
      <c r="B1106" s="18">
        <v>89</v>
      </c>
      <c r="C1106" s="87" t="s">
        <v>2064</v>
      </c>
      <c r="D1106" s="48">
        <v>44726</v>
      </c>
      <c r="E1106" s="19" t="s">
        <v>4581</v>
      </c>
      <c r="F1106" s="6" t="s">
        <v>4582</v>
      </c>
      <c r="G1106" s="6" t="s">
        <v>3291</v>
      </c>
      <c r="H1106" s="6" t="s">
        <v>3292</v>
      </c>
    </row>
    <row r="1107" spans="1:8" ht="12.75">
      <c r="A1107" s="18">
        <v>2022</v>
      </c>
      <c r="B1107" s="18">
        <v>89</v>
      </c>
      <c r="C1107" s="87" t="s">
        <v>2064</v>
      </c>
      <c r="D1107" s="48">
        <v>44726</v>
      </c>
      <c r="E1107" s="19" t="s">
        <v>4133</v>
      </c>
      <c r="F1107" s="6" t="s">
        <v>3318</v>
      </c>
      <c r="G1107" s="6" t="s">
        <v>3291</v>
      </c>
      <c r="H1107" s="6" t="s">
        <v>3292</v>
      </c>
    </row>
    <row r="1108" spans="1:8" ht="12.75">
      <c r="A1108" s="18">
        <v>2022</v>
      </c>
      <c r="B1108" s="18">
        <v>91</v>
      </c>
      <c r="C1108" s="87" t="s">
        <v>37</v>
      </c>
      <c r="D1108" s="48">
        <v>44728</v>
      </c>
      <c r="E1108" s="19" t="s">
        <v>4583</v>
      </c>
      <c r="F1108" s="6" t="s">
        <v>4584</v>
      </c>
      <c r="G1108" s="6" t="s">
        <v>3446</v>
      </c>
      <c r="H1108" s="6" t="s">
        <v>3288</v>
      </c>
    </row>
    <row r="1109" spans="1:8" ht="12.75">
      <c r="A1109" s="18">
        <v>2022</v>
      </c>
      <c r="B1109" s="18">
        <v>91</v>
      </c>
      <c r="C1109" s="87" t="s">
        <v>37</v>
      </c>
      <c r="D1109" s="48">
        <v>44728</v>
      </c>
      <c r="E1109" s="19" t="s">
        <v>4585</v>
      </c>
      <c r="F1109" s="6" t="s">
        <v>4586</v>
      </c>
      <c r="G1109" s="6" t="s">
        <v>3446</v>
      </c>
      <c r="H1109" s="6" t="s">
        <v>3288</v>
      </c>
    </row>
    <row r="1110" spans="1:8" ht="12.75">
      <c r="A1110" s="18">
        <v>2022</v>
      </c>
      <c r="B1110" s="18">
        <v>91</v>
      </c>
      <c r="C1110" s="87" t="s">
        <v>37</v>
      </c>
      <c r="D1110" s="48">
        <v>44728</v>
      </c>
      <c r="E1110" s="19" t="s">
        <v>4587</v>
      </c>
      <c r="F1110" s="6" t="s">
        <v>4588</v>
      </c>
      <c r="G1110" s="6" t="s">
        <v>3446</v>
      </c>
      <c r="H1110" s="6" t="s">
        <v>3288</v>
      </c>
    </row>
    <row r="1111" spans="1:8" ht="12.75">
      <c r="A1111" s="18">
        <v>2022</v>
      </c>
      <c r="B1111" s="18">
        <v>93</v>
      </c>
      <c r="C1111" s="87" t="s">
        <v>2403</v>
      </c>
      <c r="D1111" s="48">
        <v>44733</v>
      </c>
      <c r="E1111" s="19" t="s">
        <v>4065</v>
      </c>
      <c r="F1111" s="6" t="s">
        <v>4066</v>
      </c>
      <c r="G1111" s="6" t="s">
        <v>4067</v>
      </c>
      <c r="H1111" s="6" t="s">
        <v>3292</v>
      </c>
    </row>
    <row r="1112" spans="1:8" ht="12.75">
      <c r="A1112" s="18">
        <v>2022</v>
      </c>
      <c r="B1112" s="18">
        <v>93</v>
      </c>
      <c r="C1112" s="87" t="s">
        <v>2403</v>
      </c>
      <c r="D1112" s="48">
        <v>44733</v>
      </c>
      <c r="E1112" s="19" t="s">
        <v>4589</v>
      </c>
      <c r="F1112" s="6" t="s">
        <v>4590</v>
      </c>
      <c r="G1112" s="6" t="s">
        <v>4502</v>
      </c>
      <c r="H1112" s="6" t="s">
        <v>3567</v>
      </c>
    </row>
    <row r="1113" spans="1:8" ht="12.75">
      <c r="A1113" s="18">
        <v>2022</v>
      </c>
      <c r="B1113" s="18">
        <v>93</v>
      </c>
      <c r="C1113" s="87" t="s">
        <v>2403</v>
      </c>
      <c r="D1113" s="48">
        <v>44733</v>
      </c>
      <c r="E1113" s="19" t="s">
        <v>4591</v>
      </c>
      <c r="F1113" s="6" t="s">
        <v>4592</v>
      </c>
      <c r="G1113" s="6" t="s">
        <v>4502</v>
      </c>
      <c r="H1113" s="6" t="s">
        <v>3567</v>
      </c>
    </row>
    <row r="1114" spans="1:8" ht="12.75">
      <c r="A1114" s="18">
        <v>2022</v>
      </c>
      <c r="B1114" s="18">
        <v>93</v>
      </c>
      <c r="C1114" s="87" t="s">
        <v>2403</v>
      </c>
      <c r="D1114" s="48">
        <v>44733</v>
      </c>
      <c r="E1114" s="19" t="s">
        <v>4593</v>
      </c>
      <c r="F1114" s="6" t="s">
        <v>4594</v>
      </c>
      <c r="G1114" s="6" t="s">
        <v>4502</v>
      </c>
      <c r="H1114" s="6" t="s">
        <v>3567</v>
      </c>
    </row>
    <row r="1115" spans="1:8" ht="12.75">
      <c r="A1115" s="18">
        <v>2022</v>
      </c>
      <c r="B1115" s="18">
        <v>93</v>
      </c>
      <c r="C1115" s="87" t="s">
        <v>2403</v>
      </c>
      <c r="D1115" s="48">
        <v>44733</v>
      </c>
      <c r="E1115" s="19" t="s">
        <v>4595</v>
      </c>
      <c r="F1115" s="6" t="s">
        <v>4596</v>
      </c>
      <c r="G1115" s="6" t="s">
        <v>4067</v>
      </c>
      <c r="H1115" s="6" t="s">
        <v>3292</v>
      </c>
    </row>
    <row r="1116" spans="1:8" ht="12.75">
      <c r="A1116" s="18">
        <v>2022</v>
      </c>
      <c r="B1116" s="18">
        <v>93</v>
      </c>
      <c r="C1116" s="87" t="s">
        <v>2403</v>
      </c>
      <c r="D1116" s="48">
        <v>44733</v>
      </c>
      <c r="E1116" s="19" t="s">
        <v>4597</v>
      </c>
      <c r="F1116" s="6" t="s">
        <v>4598</v>
      </c>
      <c r="G1116" s="6" t="s">
        <v>4502</v>
      </c>
      <c r="H1116" s="6" t="s">
        <v>3567</v>
      </c>
    </row>
    <row r="1117" spans="1:8" ht="12.75">
      <c r="A1117" s="18">
        <v>2022</v>
      </c>
      <c r="B1117" s="18">
        <v>96</v>
      </c>
      <c r="C1117" s="87" t="s">
        <v>73</v>
      </c>
      <c r="D1117" s="48">
        <v>44735</v>
      </c>
      <c r="E1117" s="19" t="s">
        <v>4599</v>
      </c>
      <c r="F1117" s="6" t="s">
        <v>4600</v>
      </c>
      <c r="G1117" s="6" t="s">
        <v>1319</v>
      </c>
      <c r="H1117" s="6" t="s">
        <v>3288</v>
      </c>
    </row>
    <row r="1118" spans="1:8" ht="12.75">
      <c r="A1118" s="18">
        <v>2022</v>
      </c>
      <c r="B1118" s="18">
        <v>98</v>
      </c>
      <c r="C1118" s="87" t="s">
        <v>26</v>
      </c>
      <c r="D1118" s="48">
        <v>44740</v>
      </c>
      <c r="E1118" s="19" t="s">
        <v>4601</v>
      </c>
      <c r="F1118" s="6" t="s">
        <v>4602</v>
      </c>
      <c r="G1118" s="6" t="s">
        <v>3389</v>
      </c>
      <c r="H1118" s="6" t="s">
        <v>3288</v>
      </c>
    </row>
    <row r="1119" spans="1:8" ht="12.75">
      <c r="A1119" s="18">
        <v>2022</v>
      </c>
      <c r="B1119" s="18">
        <v>98</v>
      </c>
      <c r="C1119" s="87" t="s">
        <v>26</v>
      </c>
      <c r="D1119" s="48">
        <v>44740</v>
      </c>
      <c r="E1119" s="19" t="s">
        <v>4603</v>
      </c>
      <c r="F1119" s="6" t="s">
        <v>4604</v>
      </c>
      <c r="G1119" s="6" t="s">
        <v>3389</v>
      </c>
      <c r="H1119" s="6" t="s">
        <v>3288</v>
      </c>
    </row>
    <row r="1120" spans="1:8" ht="12.75">
      <c r="A1120" s="18">
        <v>2022</v>
      </c>
      <c r="B1120" s="18">
        <v>98</v>
      </c>
      <c r="C1120" s="87" t="s">
        <v>26</v>
      </c>
      <c r="D1120" s="48">
        <v>44740</v>
      </c>
      <c r="E1120" s="19" t="s">
        <v>4605</v>
      </c>
      <c r="F1120" s="6" t="s">
        <v>4606</v>
      </c>
      <c r="G1120" s="6" t="s">
        <v>3389</v>
      </c>
      <c r="H1120" s="6" t="s">
        <v>3288</v>
      </c>
    </row>
    <row r="1121" spans="1:8" ht="12.75">
      <c r="A1121" s="18">
        <v>2022</v>
      </c>
      <c r="B1121" s="18">
        <v>100</v>
      </c>
      <c r="C1121" s="87" t="s">
        <v>190</v>
      </c>
      <c r="D1121" s="48">
        <v>44742</v>
      </c>
      <c r="E1121" s="19" t="s">
        <v>4607</v>
      </c>
      <c r="F1121" s="6" t="s">
        <v>4608</v>
      </c>
      <c r="G1121" s="6" t="s">
        <v>3512</v>
      </c>
      <c r="H1121" s="6" t="s">
        <v>3513</v>
      </c>
    </row>
    <row r="1122" spans="1:8" ht="12.75">
      <c r="A1122" s="18">
        <v>2022</v>
      </c>
      <c r="B1122" s="18">
        <v>100</v>
      </c>
      <c r="C1122" s="87" t="s">
        <v>190</v>
      </c>
      <c r="D1122" s="48">
        <v>44742</v>
      </c>
      <c r="E1122" s="19" t="s">
        <v>4609</v>
      </c>
      <c r="F1122" s="6" t="s">
        <v>4610</v>
      </c>
      <c r="G1122" s="6" t="s">
        <v>3512</v>
      </c>
      <c r="H1122" s="6" t="s">
        <v>3513</v>
      </c>
    </row>
    <row r="1123" spans="1:8" ht="12.75">
      <c r="A1123" s="18">
        <v>2022</v>
      </c>
      <c r="B1123" s="18">
        <v>100</v>
      </c>
      <c r="C1123" s="87" t="s">
        <v>190</v>
      </c>
      <c r="D1123" s="48">
        <v>44742</v>
      </c>
      <c r="E1123" s="19" t="s">
        <v>4611</v>
      </c>
      <c r="F1123" s="6" t="s">
        <v>4612</v>
      </c>
      <c r="G1123" s="6" t="s">
        <v>3512</v>
      </c>
      <c r="H1123" s="6" t="s">
        <v>3513</v>
      </c>
    </row>
    <row r="1124" spans="1:8" ht="12.75">
      <c r="A1124" s="18">
        <v>2022</v>
      </c>
      <c r="B1124" s="18">
        <v>104</v>
      </c>
      <c r="C1124" s="87" t="s">
        <v>2074</v>
      </c>
      <c r="D1124" s="48">
        <v>44768</v>
      </c>
      <c r="E1124" s="19" t="s">
        <v>4613</v>
      </c>
      <c r="F1124" s="6" t="s">
        <v>4614</v>
      </c>
      <c r="G1124" s="6" t="s">
        <v>3993</v>
      </c>
      <c r="H1124" s="6" t="s">
        <v>3513</v>
      </c>
    </row>
    <row r="1125" spans="1:8" ht="12.75">
      <c r="A1125" s="18">
        <v>2022</v>
      </c>
      <c r="B1125" s="18">
        <v>104</v>
      </c>
      <c r="C1125" s="87" t="s">
        <v>2074</v>
      </c>
      <c r="D1125" s="48">
        <v>44768</v>
      </c>
      <c r="E1125" s="19" t="s">
        <v>3989</v>
      </c>
      <c r="F1125" s="6" t="s">
        <v>3990</v>
      </c>
      <c r="G1125" s="6" t="s">
        <v>3306</v>
      </c>
      <c r="H1125" s="6" t="s">
        <v>3292</v>
      </c>
    </row>
    <row r="1126" spans="1:8" ht="12.75">
      <c r="A1126" s="18">
        <v>2022</v>
      </c>
      <c r="B1126" s="18">
        <v>107</v>
      </c>
      <c r="C1126" s="87" t="s">
        <v>2074</v>
      </c>
      <c r="D1126" s="48">
        <v>44775</v>
      </c>
      <c r="E1126" s="19" t="s">
        <v>4615</v>
      </c>
      <c r="F1126" s="6" t="s">
        <v>4616</v>
      </c>
      <c r="G1126" s="6" t="s">
        <v>3446</v>
      </c>
      <c r="H1126" s="6" t="s">
        <v>3288</v>
      </c>
    </row>
    <row r="1127" spans="1:8" ht="12.75">
      <c r="A1127" s="18">
        <v>2022</v>
      </c>
      <c r="B1127" s="18">
        <v>107</v>
      </c>
      <c r="C1127" s="87" t="s">
        <v>2074</v>
      </c>
      <c r="D1127" s="48">
        <v>44775</v>
      </c>
      <c r="E1127" s="19" t="s">
        <v>4617</v>
      </c>
      <c r="F1127" s="6" t="s">
        <v>4618</v>
      </c>
      <c r="G1127" s="6" t="s">
        <v>3446</v>
      </c>
      <c r="H1127" s="6" t="s">
        <v>3288</v>
      </c>
    </row>
    <row r="1128" spans="1:8" ht="12.75">
      <c r="A1128" s="18">
        <v>2022</v>
      </c>
      <c r="B1128" s="18">
        <v>107</v>
      </c>
      <c r="C1128" s="87" t="s">
        <v>2074</v>
      </c>
      <c r="D1128" s="48">
        <v>44775</v>
      </c>
      <c r="E1128" s="19" t="s">
        <v>4619</v>
      </c>
      <c r="F1128" s="6" t="s">
        <v>4620</v>
      </c>
      <c r="G1128" s="6" t="s">
        <v>3446</v>
      </c>
      <c r="H1128" s="6" t="s">
        <v>3288</v>
      </c>
    </row>
    <row r="1129" spans="1:8" ht="12.75">
      <c r="A1129" s="18">
        <v>2022</v>
      </c>
      <c r="B1129" s="18">
        <v>107</v>
      </c>
      <c r="C1129" s="87" t="s">
        <v>2074</v>
      </c>
      <c r="D1129" s="48">
        <v>44775</v>
      </c>
      <c r="E1129" s="19" t="s">
        <v>4621</v>
      </c>
      <c r="F1129" s="6" t="s">
        <v>4622</v>
      </c>
      <c r="G1129" s="6" t="s">
        <v>3446</v>
      </c>
      <c r="H1129" s="6" t="s">
        <v>3288</v>
      </c>
    </row>
    <row r="1130" spans="1:8" ht="12.75">
      <c r="A1130" s="18">
        <v>2022</v>
      </c>
      <c r="B1130" s="18">
        <v>107</v>
      </c>
      <c r="C1130" s="87" t="s">
        <v>2074</v>
      </c>
      <c r="D1130" s="48">
        <v>44775</v>
      </c>
      <c r="E1130" s="19" t="s">
        <v>4623</v>
      </c>
      <c r="F1130" s="6" t="s">
        <v>4624</v>
      </c>
      <c r="G1130" s="6" t="s">
        <v>3446</v>
      </c>
      <c r="H1130" s="6" t="s">
        <v>3288</v>
      </c>
    </row>
    <row r="1131" spans="1:8" ht="12.75">
      <c r="A1131" s="18">
        <v>2022</v>
      </c>
      <c r="B1131" s="18">
        <v>107</v>
      </c>
      <c r="C1131" s="87" t="s">
        <v>2074</v>
      </c>
      <c r="D1131" s="48">
        <v>44775</v>
      </c>
      <c r="E1131" s="19" t="s">
        <v>4625</v>
      </c>
      <c r="F1131" s="6" t="s">
        <v>4626</v>
      </c>
      <c r="G1131" s="6" t="s">
        <v>3446</v>
      </c>
      <c r="H1131" s="6" t="s">
        <v>3288</v>
      </c>
    </row>
    <row r="1132" spans="1:8" ht="12.75">
      <c r="A1132" s="18">
        <v>2022</v>
      </c>
      <c r="B1132" s="18">
        <v>109</v>
      </c>
      <c r="C1132" s="87" t="s">
        <v>2466</v>
      </c>
      <c r="D1132" s="48">
        <v>44775</v>
      </c>
      <c r="E1132" s="19" t="s">
        <v>4627</v>
      </c>
      <c r="F1132" s="6" t="s">
        <v>4431</v>
      </c>
      <c r="G1132" s="6" t="s">
        <v>3291</v>
      </c>
      <c r="H1132" s="6" t="s">
        <v>3292</v>
      </c>
    </row>
    <row r="1133" spans="1:8" ht="12.75">
      <c r="A1133" s="18">
        <v>2022</v>
      </c>
      <c r="B1133" s="18">
        <v>109</v>
      </c>
      <c r="C1133" s="87" t="s">
        <v>2466</v>
      </c>
      <c r="D1133" s="48">
        <v>44775</v>
      </c>
      <c r="E1133" s="19" t="s">
        <v>4628</v>
      </c>
      <c r="F1133" s="6" t="s">
        <v>4629</v>
      </c>
      <c r="G1133" s="6" t="s">
        <v>3291</v>
      </c>
      <c r="H1133" s="6" t="s">
        <v>3292</v>
      </c>
    </row>
    <row r="1134" spans="1:8" ht="12.75">
      <c r="A1134" s="18">
        <v>2022</v>
      </c>
      <c r="B1134" s="18">
        <v>109</v>
      </c>
      <c r="C1134" s="87" t="s">
        <v>2466</v>
      </c>
      <c r="D1134" s="48">
        <v>44775</v>
      </c>
      <c r="E1134" s="19" t="s">
        <v>4630</v>
      </c>
      <c r="F1134" s="6" t="s">
        <v>4631</v>
      </c>
      <c r="G1134" s="6" t="s">
        <v>3291</v>
      </c>
      <c r="H1134" s="6" t="s">
        <v>3292</v>
      </c>
    </row>
    <row r="1135" spans="1:8" ht="12.75">
      <c r="A1135" s="18">
        <v>2022</v>
      </c>
      <c r="B1135" s="18">
        <v>109</v>
      </c>
      <c r="C1135" s="87" t="s">
        <v>2466</v>
      </c>
      <c r="D1135" s="48">
        <v>44775</v>
      </c>
      <c r="E1135" s="19" t="s">
        <v>4632</v>
      </c>
      <c r="F1135" s="6" t="s">
        <v>4633</v>
      </c>
      <c r="G1135" s="6" t="s">
        <v>3291</v>
      </c>
      <c r="H1135" s="6" t="s">
        <v>3292</v>
      </c>
    </row>
    <row r="1136" spans="1:8" ht="12.75">
      <c r="A1136" s="18">
        <v>2022</v>
      </c>
      <c r="B1136" s="18">
        <v>109</v>
      </c>
      <c r="C1136" s="87" t="s">
        <v>2466</v>
      </c>
      <c r="D1136" s="48">
        <v>44775</v>
      </c>
      <c r="E1136" s="19" t="s">
        <v>4634</v>
      </c>
      <c r="F1136" s="6" t="s">
        <v>4635</v>
      </c>
      <c r="G1136" s="6" t="s">
        <v>3291</v>
      </c>
      <c r="H1136" s="6" t="s">
        <v>3292</v>
      </c>
    </row>
    <row r="1137" spans="1:8" ht="12.75">
      <c r="A1137" s="18">
        <v>2022</v>
      </c>
      <c r="B1137" s="18">
        <v>109</v>
      </c>
      <c r="C1137" s="87" t="s">
        <v>2466</v>
      </c>
      <c r="D1137" s="48">
        <v>44775</v>
      </c>
      <c r="E1137" s="19" t="s">
        <v>4636</v>
      </c>
      <c r="F1137" s="6" t="s">
        <v>4637</v>
      </c>
      <c r="G1137" s="6" t="s">
        <v>3351</v>
      </c>
      <c r="H1137" s="6" t="s">
        <v>3292</v>
      </c>
    </row>
    <row r="1138" spans="1:8" ht="12.75">
      <c r="A1138" s="18">
        <v>2022</v>
      </c>
      <c r="B1138" s="18">
        <v>109</v>
      </c>
      <c r="C1138" s="87" t="s">
        <v>2466</v>
      </c>
      <c r="D1138" s="48">
        <v>44775</v>
      </c>
      <c r="E1138" s="19" t="s">
        <v>4638</v>
      </c>
      <c r="F1138" s="6" t="s">
        <v>4639</v>
      </c>
      <c r="G1138" s="6" t="s">
        <v>3351</v>
      </c>
      <c r="H1138" s="6" t="s">
        <v>3292</v>
      </c>
    </row>
    <row r="1139" spans="1:8" ht="12.75">
      <c r="A1139" s="18">
        <v>2022</v>
      </c>
      <c r="B1139" s="18">
        <v>109</v>
      </c>
      <c r="C1139" s="87" t="s">
        <v>2466</v>
      </c>
      <c r="D1139" s="48">
        <v>44775</v>
      </c>
      <c r="E1139" s="19" t="s">
        <v>4640</v>
      </c>
      <c r="F1139" s="6" t="s">
        <v>4641</v>
      </c>
      <c r="G1139" s="6" t="s">
        <v>3291</v>
      </c>
      <c r="H1139" s="6" t="s">
        <v>3292</v>
      </c>
    </row>
    <row r="1140" spans="1:8" ht="12.75">
      <c r="A1140" s="18">
        <v>2022</v>
      </c>
      <c r="B1140" s="18">
        <v>111</v>
      </c>
      <c r="C1140" s="87" t="s">
        <v>55</v>
      </c>
      <c r="D1140" s="48">
        <v>44777</v>
      </c>
      <c r="E1140" s="19" t="s">
        <v>3344</v>
      </c>
      <c r="F1140" s="6" t="s">
        <v>3345</v>
      </c>
      <c r="G1140" s="6" t="s">
        <v>3311</v>
      </c>
      <c r="H1140" s="6" t="s">
        <v>3292</v>
      </c>
    </row>
    <row r="1141" spans="1:8" ht="12.75">
      <c r="A1141" s="18">
        <v>2022</v>
      </c>
      <c r="B1141" s="18">
        <v>111</v>
      </c>
      <c r="C1141" s="87" t="s">
        <v>55</v>
      </c>
      <c r="D1141" s="48">
        <v>44777</v>
      </c>
      <c r="E1141" s="19" t="s">
        <v>4642</v>
      </c>
      <c r="F1141" s="6" t="s">
        <v>4643</v>
      </c>
      <c r="G1141" s="6" t="s">
        <v>3311</v>
      </c>
      <c r="H1141" s="6" t="s">
        <v>3292</v>
      </c>
    </row>
    <row r="1142" spans="1:8" ht="12.75">
      <c r="A1142" s="18">
        <v>2022</v>
      </c>
      <c r="B1142" s="18">
        <v>111</v>
      </c>
      <c r="C1142" s="87" t="s">
        <v>55</v>
      </c>
      <c r="D1142" s="48">
        <v>44777</v>
      </c>
      <c r="E1142" s="19" t="s">
        <v>4644</v>
      </c>
      <c r="F1142" s="6" t="s">
        <v>4645</v>
      </c>
      <c r="G1142" s="6" t="s">
        <v>3311</v>
      </c>
      <c r="H1142" s="6" t="s">
        <v>3292</v>
      </c>
    </row>
    <row r="1143" spans="1:8" ht="12.75">
      <c r="A1143" s="18">
        <v>2022</v>
      </c>
      <c r="B1143" s="18">
        <v>111</v>
      </c>
      <c r="C1143" s="87" t="s">
        <v>55</v>
      </c>
      <c r="D1143" s="48">
        <v>44777</v>
      </c>
      <c r="E1143" s="19" t="s">
        <v>4646</v>
      </c>
      <c r="F1143" s="6" t="s">
        <v>4647</v>
      </c>
      <c r="G1143" s="6" t="s">
        <v>3311</v>
      </c>
      <c r="H1143" s="6" t="s">
        <v>3292</v>
      </c>
    </row>
    <row r="1144" spans="1:8" ht="12.75">
      <c r="A1144" s="18">
        <v>2022</v>
      </c>
      <c r="B1144" s="18">
        <v>111</v>
      </c>
      <c r="C1144" s="87" t="s">
        <v>55</v>
      </c>
      <c r="D1144" s="48">
        <v>44777</v>
      </c>
      <c r="E1144" s="19" t="s">
        <v>4648</v>
      </c>
      <c r="F1144" s="6" t="s">
        <v>4649</v>
      </c>
      <c r="G1144" s="6" t="s">
        <v>3311</v>
      </c>
      <c r="H1144" s="6" t="s">
        <v>3292</v>
      </c>
    </row>
    <row r="1145" spans="1:8" ht="12.75">
      <c r="A1145" s="18">
        <v>2022</v>
      </c>
      <c r="B1145" s="18">
        <v>111</v>
      </c>
      <c r="C1145" s="87" t="s">
        <v>55</v>
      </c>
      <c r="D1145" s="48">
        <v>44777</v>
      </c>
      <c r="E1145" s="19" t="s">
        <v>4650</v>
      </c>
      <c r="F1145" s="6" t="s">
        <v>4651</v>
      </c>
      <c r="G1145" s="6" t="s">
        <v>3311</v>
      </c>
      <c r="H1145" s="6" t="s">
        <v>3292</v>
      </c>
    </row>
    <row r="1146" spans="1:8" ht="12.75">
      <c r="A1146" s="18">
        <v>2022</v>
      </c>
      <c r="B1146" s="18">
        <v>111</v>
      </c>
      <c r="C1146" s="87" t="s">
        <v>55</v>
      </c>
      <c r="D1146" s="48">
        <v>44777</v>
      </c>
      <c r="E1146" s="19" t="s">
        <v>4652</v>
      </c>
      <c r="F1146" s="6" t="s">
        <v>4653</v>
      </c>
      <c r="G1146" s="6" t="s">
        <v>3311</v>
      </c>
      <c r="H1146" s="6" t="s">
        <v>3292</v>
      </c>
    </row>
    <row r="1147" spans="1:8" ht="12.75">
      <c r="A1147" s="18">
        <v>2022</v>
      </c>
      <c r="B1147" s="18">
        <v>111</v>
      </c>
      <c r="C1147" s="87" t="s">
        <v>55</v>
      </c>
      <c r="D1147" s="48">
        <v>44777</v>
      </c>
      <c r="E1147" s="19" t="s">
        <v>4654</v>
      </c>
      <c r="F1147" s="6" t="s">
        <v>4655</v>
      </c>
      <c r="G1147" s="6" t="s">
        <v>3311</v>
      </c>
      <c r="H1147" s="6" t="s">
        <v>3292</v>
      </c>
    </row>
    <row r="1148" spans="1:8" ht="12.75">
      <c r="A1148" s="18">
        <v>2022</v>
      </c>
      <c r="B1148" s="18">
        <v>114</v>
      </c>
      <c r="C1148" s="87" t="s">
        <v>2064</v>
      </c>
      <c r="D1148" s="48">
        <v>44782</v>
      </c>
      <c r="E1148" s="19" t="s">
        <v>4133</v>
      </c>
      <c r="F1148" s="6" t="s">
        <v>3318</v>
      </c>
      <c r="G1148" s="6" t="s">
        <v>3291</v>
      </c>
      <c r="H1148" s="6" t="s">
        <v>3292</v>
      </c>
    </row>
    <row r="1149" spans="1:8" ht="12.75">
      <c r="A1149" s="18">
        <v>2022</v>
      </c>
      <c r="B1149" s="18">
        <v>114</v>
      </c>
      <c r="C1149" s="87" t="s">
        <v>2064</v>
      </c>
      <c r="D1149" s="48">
        <v>44782</v>
      </c>
      <c r="E1149" s="19" t="s">
        <v>4656</v>
      </c>
      <c r="F1149" s="6" t="s">
        <v>4657</v>
      </c>
      <c r="G1149" s="6" t="s">
        <v>3291</v>
      </c>
      <c r="H1149" s="6" t="s">
        <v>3292</v>
      </c>
    </row>
    <row r="1150" spans="1:8" ht="12.75">
      <c r="A1150" s="18">
        <v>2022</v>
      </c>
      <c r="B1150" s="18">
        <v>116</v>
      </c>
      <c r="C1150" s="87" t="s">
        <v>45</v>
      </c>
      <c r="D1150" s="48">
        <v>44783</v>
      </c>
      <c r="E1150" s="19" t="s">
        <v>4658</v>
      </c>
      <c r="F1150" s="6" t="s">
        <v>4659</v>
      </c>
      <c r="G1150" s="6" t="s">
        <v>3325</v>
      </c>
      <c r="H1150" s="6" t="s">
        <v>3292</v>
      </c>
    </row>
    <row r="1151" spans="1:8" ht="12.75">
      <c r="A1151" s="18">
        <v>2022</v>
      </c>
      <c r="B1151" s="18">
        <v>118</v>
      </c>
      <c r="C1151" s="87" t="s">
        <v>370</v>
      </c>
      <c r="D1151" s="48">
        <v>44784</v>
      </c>
      <c r="E1151" s="19" t="s">
        <v>4236</v>
      </c>
      <c r="F1151" s="6" t="s">
        <v>4660</v>
      </c>
      <c r="G1151" s="6" t="s">
        <v>4543</v>
      </c>
      <c r="H1151" s="6" t="s">
        <v>3292</v>
      </c>
    </row>
    <row r="1152" spans="1:8" ht="12.75">
      <c r="A1152" s="18">
        <v>2022</v>
      </c>
      <c r="B1152" s="18">
        <v>118</v>
      </c>
      <c r="C1152" s="87" t="s">
        <v>370</v>
      </c>
      <c r="D1152" s="48">
        <v>44784</v>
      </c>
      <c r="E1152" s="19" t="s">
        <v>4661</v>
      </c>
      <c r="F1152" s="6" t="s">
        <v>4660</v>
      </c>
      <c r="G1152" s="6" t="s">
        <v>4543</v>
      </c>
      <c r="H1152" s="6" t="s">
        <v>3292</v>
      </c>
    </row>
    <row r="1153" spans="1:8" ht="12.75">
      <c r="A1153" s="18">
        <v>2022</v>
      </c>
      <c r="B1153" s="18">
        <v>127</v>
      </c>
      <c r="C1153" s="87" t="s">
        <v>28</v>
      </c>
      <c r="D1153" s="48">
        <v>44798</v>
      </c>
      <c r="E1153" s="19" t="s">
        <v>4382</v>
      </c>
      <c r="F1153" s="6" t="s">
        <v>4662</v>
      </c>
      <c r="G1153" s="6" t="s">
        <v>3432</v>
      </c>
      <c r="H1153" s="6" t="s">
        <v>3292</v>
      </c>
    </row>
    <row r="1154" spans="1:8" ht="12.75">
      <c r="A1154" s="18">
        <v>2022</v>
      </c>
      <c r="B1154" s="18">
        <v>128</v>
      </c>
      <c r="C1154" s="87" t="s">
        <v>2074</v>
      </c>
      <c r="D1154" s="48">
        <v>44803</v>
      </c>
      <c r="E1154" s="19" t="s">
        <v>4663</v>
      </c>
      <c r="F1154" s="6" t="s">
        <v>4664</v>
      </c>
      <c r="G1154" s="6" t="s">
        <v>3446</v>
      </c>
      <c r="H1154" s="6" t="s">
        <v>3288</v>
      </c>
    </row>
    <row r="1155" spans="1:8" ht="12.75">
      <c r="A1155" s="18">
        <v>2022</v>
      </c>
      <c r="B1155" s="18">
        <v>128</v>
      </c>
      <c r="C1155" s="87" t="s">
        <v>2074</v>
      </c>
      <c r="D1155" s="48">
        <v>44803</v>
      </c>
      <c r="E1155" s="19" t="s">
        <v>4665</v>
      </c>
      <c r="F1155" s="6" t="s">
        <v>4620</v>
      </c>
      <c r="G1155" s="6" t="s">
        <v>3446</v>
      </c>
      <c r="H1155" s="6" t="s">
        <v>3288</v>
      </c>
    </row>
    <row r="1156" spans="1:8" ht="12.75">
      <c r="A1156" s="18">
        <v>2022</v>
      </c>
      <c r="B1156" s="18">
        <v>131</v>
      </c>
      <c r="C1156" s="87" t="s">
        <v>39</v>
      </c>
      <c r="D1156" s="48">
        <v>44803</v>
      </c>
      <c r="E1156" s="19" t="s">
        <v>4447</v>
      </c>
      <c r="F1156" s="6" t="s">
        <v>4666</v>
      </c>
      <c r="G1156" s="6" t="s">
        <v>3291</v>
      </c>
      <c r="H1156" s="6" t="s">
        <v>3292</v>
      </c>
    </row>
    <row r="1157" spans="1:8" ht="12.75">
      <c r="A1157" s="18">
        <v>2022</v>
      </c>
      <c r="B1157" s="18">
        <v>131</v>
      </c>
      <c r="C1157" s="87" t="s">
        <v>39</v>
      </c>
      <c r="D1157" s="48">
        <v>44803</v>
      </c>
      <c r="E1157" s="19" t="s">
        <v>3666</v>
      </c>
      <c r="F1157" s="6" t="s">
        <v>4667</v>
      </c>
      <c r="G1157" s="6" t="s">
        <v>3291</v>
      </c>
      <c r="H1157" s="6" t="s">
        <v>3292</v>
      </c>
    </row>
    <row r="1158" spans="1:8" ht="12.75">
      <c r="A1158" s="18">
        <v>2022</v>
      </c>
      <c r="B1158" s="18">
        <v>131</v>
      </c>
      <c r="C1158" s="87" t="s">
        <v>39</v>
      </c>
      <c r="D1158" s="48">
        <v>44803</v>
      </c>
      <c r="E1158" s="19" t="s">
        <v>4668</v>
      </c>
      <c r="F1158" s="6" t="s">
        <v>4669</v>
      </c>
      <c r="G1158" s="6" t="s">
        <v>3291</v>
      </c>
      <c r="H1158" s="6" t="s">
        <v>3292</v>
      </c>
    </row>
    <row r="1159" spans="1:8" ht="12.75">
      <c r="A1159" s="18">
        <v>2022</v>
      </c>
      <c r="B1159" s="18">
        <v>131</v>
      </c>
      <c r="C1159" s="87" t="s">
        <v>39</v>
      </c>
      <c r="D1159" s="48">
        <v>44803</v>
      </c>
      <c r="E1159" s="19" t="s">
        <v>4670</v>
      </c>
      <c r="F1159" s="6" t="s">
        <v>4671</v>
      </c>
      <c r="G1159" s="6" t="s">
        <v>3291</v>
      </c>
      <c r="H1159" s="6" t="s">
        <v>3292</v>
      </c>
    </row>
    <row r="1160" spans="1:8" ht="12.75">
      <c r="A1160" s="18">
        <v>2022</v>
      </c>
      <c r="B1160" s="18">
        <v>136</v>
      </c>
      <c r="C1160" s="87" t="s">
        <v>2579</v>
      </c>
      <c r="D1160" s="48">
        <v>44810</v>
      </c>
      <c r="E1160" s="19" t="s">
        <v>3703</v>
      </c>
      <c r="F1160" s="6" t="s">
        <v>3704</v>
      </c>
      <c r="G1160" s="6" t="s">
        <v>3325</v>
      </c>
      <c r="H1160" s="6" t="s">
        <v>3292</v>
      </c>
    </row>
    <row r="1161" spans="1:8" ht="12.75">
      <c r="A1161" s="18">
        <v>2022</v>
      </c>
      <c r="B1161" s="18">
        <v>138</v>
      </c>
      <c r="C1161" s="87" t="s">
        <v>2074</v>
      </c>
      <c r="D1161" s="48">
        <v>44811</v>
      </c>
      <c r="E1161" s="19" t="s">
        <v>4672</v>
      </c>
      <c r="F1161" s="6" t="s">
        <v>4673</v>
      </c>
      <c r="G1161" s="6" t="s">
        <v>3993</v>
      </c>
      <c r="H1161" s="6" t="s">
        <v>3513</v>
      </c>
    </row>
    <row r="1162" spans="1:8" ht="12.75">
      <c r="A1162" s="18">
        <v>2022</v>
      </c>
      <c r="B1162" s="18">
        <v>138</v>
      </c>
      <c r="C1162" s="87" t="s">
        <v>2074</v>
      </c>
      <c r="D1162" s="48">
        <v>44811</v>
      </c>
      <c r="E1162" s="19" t="s">
        <v>4674</v>
      </c>
      <c r="F1162" s="6" t="s">
        <v>4675</v>
      </c>
      <c r="G1162" s="6" t="s">
        <v>3439</v>
      </c>
      <c r="H1162" s="6" t="s">
        <v>3288</v>
      </c>
    </row>
    <row r="1163" spans="1:8" ht="12.75">
      <c r="A1163" s="18">
        <v>2022</v>
      </c>
      <c r="B1163" s="18">
        <v>138</v>
      </c>
      <c r="C1163" s="87" t="s">
        <v>2074</v>
      </c>
      <c r="D1163" s="48">
        <v>44811</v>
      </c>
      <c r="E1163" s="19" t="s">
        <v>3447</v>
      </c>
      <c r="F1163" s="6" t="s">
        <v>4676</v>
      </c>
      <c r="G1163" s="6" t="s">
        <v>3446</v>
      </c>
      <c r="H1163" s="6" t="s">
        <v>3288</v>
      </c>
    </row>
    <row r="1164" spans="1:8" ht="12.75">
      <c r="A1164" s="18">
        <v>2022</v>
      </c>
      <c r="B1164" s="18">
        <v>138</v>
      </c>
      <c r="C1164" s="87" t="s">
        <v>2074</v>
      </c>
      <c r="D1164" s="48">
        <v>44811</v>
      </c>
      <c r="E1164" s="19" t="s">
        <v>4677</v>
      </c>
      <c r="F1164" s="6" t="s">
        <v>4678</v>
      </c>
      <c r="G1164" s="6" t="s">
        <v>3389</v>
      </c>
      <c r="H1164" s="6" t="s">
        <v>3288</v>
      </c>
    </row>
    <row r="1165" spans="1:8" ht="12.75">
      <c r="A1165" s="18">
        <v>2022</v>
      </c>
      <c r="B1165" s="18">
        <v>138</v>
      </c>
      <c r="C1165" s="87" t="s">
        <v>2074</v>
      </c>
      <c r="D1165" s="48">
        <v>44811</v>
      </c>
      <c r="E1165" s="19" t="s">
        <v>4679</v>
      </c>
      <c r="F1165" s="6" t="s">
        <v>4680</v>
      </c>
      <c r="G1165" s="6" t="s">
        <v>3389</v>
      </c>
      <c r="H1165" s="6" t="s">
        <v>3288</v>
      </c>
    </row>
    <row r="1166" spans="1:8" ht="12.75">
      <c r="A1166" s="18">
        <v>2022</v>
      </c>
      <c r="B1166" s="18">
        <v>141</v>
      </c>
      <c r="C1166" s="87" t="s">
        <v>1980</v>
      </c>
      <c r="D1166" s="48">
        <v>44812</v>
      </c>
      <c r="E1166" s="19" t="s">
        <v>3544</v>
      </c>
      <c r="F1166" s="6" t="s">
        <v>4420</v>
      </c>
      <c r="G1166" s="6" t="s">
        <v>3546</v>
      </c>
      <c r="H1166" s="6" t="s">
        <v>3292</v>
      </c>
    </row>
    <row r="1167" spans="1:8" ht="12.75">
      <c r="A1167" s="18">
        <v>2022</v>
      </c>
      <c r="B1167" s="18">
        <v>141</v>
      </c>
      <c r="C1167" s="87" t="s">
        <v>1980</v>
      </c>
      <c r="D1167" s="48">
        <v>44812</v>
      </c>
      <c r="E1167" s="19" t="s">
        <v>4421</v>
      </c>
      <c r="F1167" s="6" t="s">
        <v>3548</v>
      </c>
      <c r="G1167" s="6" t="s">
        <v>3546</v>
      </c>
      <c r="H1167" s="6" t="s">
        <v>3292</v>
      </c>
    </row>
    <row r="1168" spans="1:8" ht="12.75">
      <c r="A1168" s="18">
        <v>2022</v>
      </c>
      <c r="B1168" s="18">
        <v>142</v>
      </c>
      <c r="C1168" s="87" t="s">
        <v>39</v>
      </c>
      <c r="D1168" s="48">
        <v>44817</v>
      </c>
      <c r="E1168" s="19" t="s">
        <v>4681</v>
      </c>
      <c r="F1168" s="6" t="s">
        <v>4682</v>
      </c>
      <c r="G1168" s="6" t="s">
        <v>3291</v>
      </c>
      <c r="H1168" s="6" t="s">
        <v>3292</v>
      </c>
    </row>
    <row r="1169" spans="1:8" ht="12.75">
      <c r="A1169" s="18">
        <v>2022</v>
      </c>
      <c r="B1169" s="18">
        <v>142</v>
      </c>
      <c r="C1169" s="87" t="s">
        <v>39</v>
      </c>
      <c r="D1169" s="48">
        <v>44817</v>
      </c>
      <c r="E1169" s="19" t="s">
        <v>4683</v>
      </c>
      <c r="F1169" s="6" t="s">
        <v>4684</v>
      </c>
      <c r="G1169" s="6" t="s">
        <v>3291</v>
      </c>
      <c r="H1169" s="6" t="s">
        <v>3292</v>
      </c>
    </row>
    <row r="1170" spans="1:8" ht="12.75">
      <c r="A1170" s="18">
        <v>2022</v>
      </c>
      <c r="B1170" s="18">
        <v>142</v>
      </c>
      <c r="C1170" s="87" t="s">
        <v>39</v>
      </c>
      <c r="D1170" s="48">
        <v>44817</v>
      </c>
      <c r="E1170" s="19" t="s">
        <v>4685</v>
      </c>
      <c r="F1170" s="6" t="s">
        <v>4686</v>
      </c>
      <c r="G1170" s="6" t="s">
        <v>3291</v>
      </c>
      <c r="H1170" s="6" t="s">
        <v>3292</v>
      </c>
    </row>
    <row r="1171" spans="1:8" ht="12.75">
      <c r="A1171" s="18">
        <v>2022</v>
      </c>
      <c r="B1171" s="18">
        <v>142</v>
      </c>
      <c r="C1171" s="87" t="s">
        <v>39</v>
      </c>
      <c r="D1171" s="48">
        <v>44817</v>
      </c>
      <c r="E1171" s="19" t="s">
        <v>4687</v>
      </c>
      <c r="F1171" s="6" t="s">
        <v>4688</v>
      </c>
      <c r="G1171" s="6" t="s">
        <v>3291</v>
      </c>
      <c r="H1171" s="6" t="s">
        <v>3292</v>
      </c>
    </row>
    <row r="1172" spans="1:8" ht="12.75">
      <c r="A1172" s="18">
        <v>2022</v>
      </c>
      <c r="B1172" s="18">
        <v>142</v>
      </c>
      <c r="C1172" s="87" t="s">
        <v>39</v>
      </c>
      <c r="D1172" s="48">
        <v>44817</v>
      </c>
      <c r="E1172" s="19" t="s">
        <v>4689</v>
      </c>
      <c r="F1172" s="6" t="s">
        <v>4688</v>
      </c>
      <c r="G1172" s="6" t="s">
        <v>3291</v>
      </c>
      <c r="H1172" s="6" t="s">
        <v>3292</v>
      </c>
    </row>
    <row r="1173" spans="1:8" ht="12.75">
      <c r="A1173" s="18">
        <v>2022</v>
      </c>
      <c r="B1173" s="18">
        <v>148</v>
      </c>
      <c r="C1173" s="87" t="s">
        <v>41</v>
      </c>
      <c r="D1173" s="48">
        <v>44824</v>
      </c>
      <c r="E1173" s="19" t="s">
        <v>4690</v>
      </c>
      <c r="F1173" s="6" t="s">
        <v>4691</v>
      </c>
      <c r="G1173" s="6" t="s">
        <v>4692</v>
      </c>
      <c r="H1173" s="6" t="s">
        <v>3513</v>
      </c>
    </row>
    <row r="1174" spans="1:8" ht="12.75">
      <c r="A1174" s="18">
        <v>2022</v>
      </c>
      <c r="B1174" s="18">
        <v>148</v>
      </c>
      <c r="C1174" s="87" t="s">
        <v>41</v>
      </c>
      <c r="D1174" s="48">
        <v>44824</v>
      </c>
      <c r="E1174" s="19" t="s">
        <v>4693</v>
      </c>
      <c r="F1174" s="6" t="s">
        <v>4694</v>
      </c>
      <c r="G1174" s="6" t="s">
        <v>3303</v>
      </c>
      <c r="H1174" s="6" t="s">
        <v>3292</v>
      </c>
    </row>
    <row r="1175" spans="1:8" ht="12.75">
      <c r="A1175" s="18">
        <v>2022</v>
      </c>
      <c r="B1175" s="18">
        <v>148</v>
      </c>
      <c r="C1175" s="87" t="s">
        <v>41</v>
      </c>
      <c r="D1175" s="48">
        <v>44824</v>
      </c>
      <c r="E1175" s="19" t="s">
        <v>4695</v>
      </c>
      <c r="F1175" s="6" t="s">
        <v>4696</v>
      </c>
      <c r="G1175" s="6" t="s">
        <v>3303</v>
      </c>
      <c r="H1175" s="6" t="s">
        <v>3292</v>
      </c>
    </row>
    <row r="1176" spans="1:8" ht="12.75">
      <c r="A1176" s="18">
        <v>2022</v>
      </c>
      <c r="B1176" s="18">
        <v>150</v>
      </c>
      <c r="C1176" s="87" t="s">
        <v>471</v>
      </c>
      <c r="D1176" s="48">
        <v>44831</v>
      </c>
      <c r="E1176" s="19" t="s">
        <v>4697</v>
      </c>
      <c r="F1176" s="6" t="s">
        <v>4698</v>
      </c>
      <c r="G1176" s="6" t="s">
        <v>1319</v>
      </c>
      <c r="H1176" s="6" t="s">
        <v>3288</v>
      </c>
    </row>
    <row r="1177" spans="1:8" ht="12.75">
      <c r="A1177" s="18">
        <v>2022</v>
      </c>
      <c r="B1177" s="18">
        <v>151</v>
      </c>
      <c r="C1177" s="87" t="s">
        <v>2054</v>
      </c>
      <c r="D1177" s="48">
        <v>44831</v>
      </c>
      <c r="E1177" s="19" t="s">
        <v>4699</v>
      </c>
      <c r="F1177" s="6" t="s">
        <v>3398</v>
      </c>
      <c r="G1177" s="6" t="s">
        <v>3328</v>
      </c>
      <c r="H1177" s="6" t="s">
        <v>3292</v>
      </c>
    </row>
    <row r="1178" spans="1:8" ht="12.75">
      <c r="A1178" s="18">
        <v>2022</v>
      </c>
      <c r="B1178" s="18">
        <v>152</v>
      </c>
      <c r="C1178" s="87" t="s">
        <v>2650</v>
      </c>
      <c r="D1178" s="48">
        <v>44831</v>
      </c>
      <c r="E1178" s="19" t="s">
        <v>4700</v>
      </c>
      <c r="F1178" s="6" t="s">
        <v>4701</v>
      </c>
      <c r="G1178" s="6" t="s">
        <v>4502</v>
      </c>
      <c r="H1178" s="6" t="s">
        <v>3567</v>
      </c>
    </row>
    <row r="1179" spans="1:8" ht="12.75">
      <c r="A1179" s="18">
        <v>2022</v>
      </c>
      <c r="B1179" s="18">
        <v>152</v>
      </c>
      <c r="C1179" s="87" t="s">
        <v>2650</v>
      </c>
      <c r="D1179" s="48">
        <v>44831</v>
      </c>
      <c r="E1179" s="19" t="s">
        <v>4702</v>
      </c>
      <c r="F1179" s="6" t="s">
        <v>4703</v>
      </c>
      <c r="G1179" s="6" t="s">
        <v>4502</v>
      </c>
      <c r="H1179" s="6" t="s">
        <v>3810</v>
      </c>
    </row>
    <row r="1180" spans="1:8" ht="12.75">
      <c r="A1180" s="18">
        <v>2022</v>
      </c>
      <c r="B1180" s="18">
        <v>153</v>
      </c>
      <c r="C1180" s="87" t="s">
        <v>471</v>
      </c>
      <c r="D1180" s="48">
        <v>44832</v>
      </c>
      <c r="E1180" s="19" t="s">
        <v>4704</v>
      </c>
      <c r="F1180" s="6" t="s">
        <v>4705</v>
      </c>
      <c r="G1180" s="6" t="s">
        <v>3409</v>
      </c>
      <c r="H1180" s="6" t="s">
        <v>3288</v>
      </c>
    </row>
    <row r="1181" spans="1:8" ht="12.75">
      <c r="A1181" s="18">
        <v>2022</v>
      </c>
      <c r="B1181" s="18">
        <v>153</v>
      </c>
      <c r="C1181" s="87" t="s">
        <v>471</v>
      </c>
      <c r="D1181" s="48">
        <v>44832</v>
      </c>
      <c r="E1181" s="19" t="s">
        <v>4706</v>
      </c>
      <c r="F1181" s="6" t="s">
        <v>4707</v>
      </c>
      <c r="G1181" s="6" t="s">
        <v>3409</v>
      </c>
      <c r="H1181" s="6" t="s">
        <v>3288</v>
      </c>
    </row>
    <row r="1182" spans="1:8" ht="12.75">
      <c r="A1182" s="18">
        <v>2022</v>
      </c>
      <c r="B1182" s="18">
        <v>153</v>
      </c>
      <c r="C1182" s="87" t="s">
        <v>471</v>
      </c>
      <c r="D1182" s="48">
        <v>44832</v>
      </c>
      <c r="E1182" s="19" t="s">
        <v>4708</v>
      </c>
      <c r="F1182" s="6" t="s">
        <v>4709</v>
      </c>
      <c r="G1182" s="6" t="s">
        <v>3409</v>
      </c>
      <c r="H1182" s="6" t="s">
        <v>3288</v>
      </c>
    </row>
    <row r="1183" spans="1:8" ht="12.75">
      <c r="A1183" s="18">
        <v>2022</v>
      </c>
      <c r="B1183" s="18">
        <v>156</v>
      </c>
      <c r="C1183" s="87" t="s">
        <v>39</v>
      </c>
      <c r="D1183" s="48">
        <v>44838</v>
      </c>
      <c r="E1183" s="19" t="s">
        <v>4430</v>
      </c>
      <c r="F1183" s="6" t="s">
        <v>4431</v>
      </c>
      <c r="G1183" s="6" t="s">
        <v>3291</v>
      </c>
      <c r="H1183" s="6" t="s">
        <v>3292</v>
      </c>
    </row>
    <row r="1184" spans="1:8" ht="12.75">
      <c r="A1184" s="18">
        <v>2022</v>
      </c>
      <c r="B1184" s="18">
        <v>156</v>
      </c>
      <c r="C1184" s="87" t="s">
        <v>39</v>
      </c>
      <c r="D1184" s="48">
        <v>44838</v>
      </c>
      <c r="E1184" s="19" t="s">
        <v>4710</v>
      </c>
      <c r="F1184" s="6" t="s">
        <v>4711</v>
      </c>
      <c r="G1184" s="6" t="s">
        <v>3291</v>
      </c>
      <c r="H1184" s="6" t="s">
        <v>3292</v>
      </c>
    </row>
    <row r="1185" spans="1:8" ht="12.75">
      <c r="A1185" s="18">
        <v>2022</v>
      </c>
      <c r="B1185" s="18">
        <v>156</v>
      </c>
      <c r="C1185" s="87" t="s">
        <v>39</v>
      </c>
      <c r="D1185" s="48">
        <v>44838</v>
      </c>
      <c r="E1185" s="19" t="s">
        <v>4712</v>
      </c>
      <c r="F1185" s="6" t="s">
        <v>4713</v>
      </c>
      <c r="G1185" s="6" t="s">
        <v>3291</v>
      </c>
      <c r="H1185" s="6" t="s">
        <v>3292</v>
      </c>
    </row>
    <row r="1186" spans="1:8" ht="12.75">
      <c r="A1186" s="18">
        <v>2022</v>
      </c>
      <c r="B1186" s="18">
        <v>156</v>
      </c>
      <c r="C1186" s="87" t="s">
        <v>39</v>
      </c>
      <c r="D1186" s="48">
        <v>44838</v>
      </c>
      <c r="E1186" s="19" t="s">
        <v>4628</v>
      </c>
      <c r="F1186" s="6" t="s">
        <v>4629</v>
      </c>
      <c r="G1186" s="6" t="s">
        <v>3291</v>
      </c>
      <c r="H1186" s="6" t="s">
        <v>3292</v>
      </c>
    </row>
    <row r="1187" spans="1:8" ht="12.75">
      <c r="A1187" s="18">
        <v>2022</v>
      </c>
      <c r="B1187" s="18">
        <v>156</v>
      </c>
      <c r="C1187" s="87" t="s">
        <v>39</v>
      </c>
      <c r="D1187" s="48">
        <v>44838</v>
      </c>
      <c r="E1187" s="19" t="s">
        <v>4714</v>
      </c>
      <c r="F1187" s="6" t="s">
        <v>4715</v>
      </c>
      <c r="G1187" s="6" t="s">
        <v>3291</v>
      </c>
      <c r="H1187" s="6" t="s">
        <v>3292</v>
      </c>
    </row>
    <row r="1188" spans="1:8" ht="12.75">
      <c r="A1188" s="18">
        <v>2022</v>
      </c>
      <c r="B1188" s="18">
        <v>156</v>
      </c>
      <c r="C1188" s="87" t="s">
        <v>39</v>
      </c>
      <c r="D1188" s="48">
        <v>44838</v>
      </c>
      <c r="E1188" s="19" t="s">
        <v>4630</v>
      </c>
      <c r="F1188" s="6" t="s">
        <v>4631</v>
      </c>
      <c r="G1188" s="6" t="s">
        <v>3291</v>
      </c>
      <c r="H1188" s="6" t="s">
        <v>3292</v>
      </c>
    </row>
    <row r="1189" spans="1:8" ht="12.75">
      <c r="A1189" s="18">
        <v>2022</v>
      </c>
      <c r="B1189" s="18">
        <v>156</v>
      </c>
      <c r="C1189" s="87" t="s">
        <v>39</v>
      </c>
      <c r="D1189" s="48">
        <v>44838</v>
      </c>
      <c r="E1189" s="19" t="s">
        <v>4716</v>
      </c>
      <c r="F1189" s="6" t="s">
        <v>4717</v>
      </c>
      <c r="G1189" s="6" t="s">
        <v>3291</v>
      </c>
      <c r="H1189" s="6" t="s">
        <v>3292</v>
      </c>
    </row>
    <row r="1190" spans="1:8" ht="12.75">
      <c r="A1190" s="18">
        <v>2022</v>
      </c>
      <c r="B1190" s="18">
        <v>157</v>
      </c>
      <c r="C1190" s="87" t="s">
        <v>2676</v>
      </c>
      <c r="D1190" s="48">
        <v>44839</v>
      </c>
      <c r="E1190" s="19" t="s">
        <v>3758</v>
      </c>
      <c r="F1190" s="6" t="s">
        <v>4718</v>
      </c>
      <c r="G1190" s="6" t="s">
        <v>3409</v>
      </c>
      <c r="H1190" s="6" t="s">
        <v>3288</v>
      </c>
    </row>
    <row r="1191" spans="1:8" ht="12.75">
      <c r="A1191" s="18">
        <v>2022</v>
      </c>
      <c r="B1191" s="18">
        <v>157</v>
      </c>
      <c r="C1191" s="87" t="s">
        <v>2676</v>
      </c>
      <c r="D1191" s="48">
        <v>44839</v>
      </c>
      <c r="E1191" s="19" t="s">
        <v>4719</v>
      </c>
      <c r="F1191" s="6" t="s">
        <v>4720</v>
      </c>
      <c r="G1191" s="6" t="s">
        <v>3409</v>
      </c>
      <c r="H1191" s="6" t="s">
        <v>3288</v>
      </c>
    </row>
    <row r="1192" spans="1:8" ht="12.75">
      <c r="A1192" s="18">
        <v>2022</v>
      </c>
      <c r="B1192" s="18">
        <v>157</v>
      </c>
      <c r="C1192" s="87" t="s">
        <v>2676</v>
      </c>
      <c r="D1192" s="48">
        <v>44839</v>
      </c>
      <c r="E1192" s="19" t="s">
        <v>4721</v>
      </c>
      <c r="F1192" s="6" t="s">
        <v>4722</v>
      </c>
      <c r="G1192" s="6" t="s">
        <v>3409</v>
      </c>
      <c r="H1192" s="6" t="s">
        <v>3288</v>
      </c>
    </row>
    <row r="1193" spans="1:8" ht="12.75">
      <c r="A1193" s="18">
        <v>2022</v>
      </c>
      <c r="B1193" s="18">
        <v>157</v>
      </c>
      <c r="C1193" s="87" t="s">
        <v>2676</v>
      </c>
      <c r="D1193" s="48">
        <v>44839</v>
      </c>
      <c r="E1193" s="19" t="s">
        <v>4723</v>
      </c>
      <c r="F1193" s="6" t="s">
        <v>4724</v>
      </c>
      <c r="G1193" s="6" t="s">
        <v>3409</v>
      </c>
      <c r="H1193" s="6" t="s">
        <v>3288</v>
      </c>
    </row>
    <row r="1194" spans="1:8" ht="12.75">
      <c r="A1194" s="18">
        <v>2022</v>
      </c>
      <c r="B1194" s="18">
        <v>157</v>
      </c>
      <c r="C1194" s="87" t="s">
        <v>2676</v>
      </c>
      <c r="D1194" s="48">
        <v>44839</v>
      </c>
      <c r="E1194" s="19" t="s">
        <v>4725</v>
      </c>
      <c r="F1194" s="6" t="s">
        <v>4726</v>
      </c>
      <c r="G1194" s="6" t="s">
        <v>3409</v>
      </c>
      <c r="H1194" s="6" t="s">
        <v>3288</v>
      </c>
    </row>
    <row r="1195" spans="1:8" ht="12.75">
      <c r="A1195" s="18">
        <v>2022</v>
      </c>
      <c r="B1195" s="18">
        <v>157</v>
      </c>
      <c r="C1195" s="87" t="s">
        <v>2676</v>
      </c>
      <c r="D1195" s="48">
        <v>44839</v>
      </c>
      <c r="E1195" s="19" t="s">
        <v>4727</v>
      </c>
      <c r="F1195" s="6" t="s">
        <v>4728</v>
      </c>
      <c r="G1195" s="6" t="s">
        <v>3409</v>
      </c>
      <c r="H1195" s="6" t="s">
        <v>3288</v>
      </c>
    </row>
    <row r="1196" spans="1:8" ht="12.75">
      <c r="A1196" s="18">
        <v>2022</v>
      </c>
      <c r="B1196" s="18">
        <v>157</v>
      </c>
      <c r="C1196" s="87" t="s">
        <v>2676</v>
      </c>
      <c r="D1196" s="48">
        <v>44839</v>
      </c>
      <c r="E1196" s="19" t="s">
        <v>4729</v>
      </c>
      <c r="F1196" s="6" t="s">
        <v>4730</v>
      </c>
      <c r="G1196" s="6" t="s">
        <v>3409</v>
      </c>
      <c r="H1196" s="6" t="s">
        <v>3288</v>
      </c>
    </row>
    <row r="1197" spans="1:8" ht="12.75">
      <c r="A1197" s="18">
        <v>2022</v>
      </c>
      <c r="B1197" s="18">
        <v>158</v>
      </c>
      <c r="C1197" s="87" t="s">
        <v>2681</v>
      </c>
      <c r="D1197" s="48">
        <v>44840</v>
      </c>
      <c r="E1197" s="19" t="s">
        <v>4731</v>
      </c>
      <c r="F1197" s="6" t="s">
        <v>4732</v>
      </c>
      <c r="G1197" s="6" t="s">
        <v>4692</v>
      </c>
      <c r="H1197" s="6" t="s">
        <v>3513</v>
      </c>
    </row>
    <row r="1198" spans="1:8" ht="12.75">
      <c r="A1198" s="18">
        <v>2022</v>
      </c>
      <c r="B1198" s="18">
        <v>159</v>
      </c>
      <c r="C1198" s="87" t="s">
        <v>148</v>
      </c>
      <c r="D1198" s="48">
        <v>44840</v>
      </c>
      <c r="E1198" s="19" t="s">
        <v>3994</v>
      </c>
      <c r="F1198" s="6" t="s">
        <v>4733</v>
      </c>
      <c r="G1198" s="6" t="s">
        <v>3309</v>
      </c>
      <c r="H1198" s="6" t="s">
        <v>3292</v>
      </c>
    </row>
    <row r="1199" spans="1:8" ht="12.75">
      <c r="A1199" s="18">
        <v>2022</v>
      </c>
      <c r="B1199" s="18">
        <v>159</v>
      </c>
      <c r="C1199" s="87" t="s">
        <v>148</v>
      </c>
      <c r="D1199" s="48">
        <v>44840</v>
      </c>
      <c r="E1199" s="19" t="s">
        <v>3998</v>
      </c>
      <c r="F1199" s="6" t="s">
        <v>4734</v>
      </c>
      <c r="G1199" s="6" t="s">
        <v>3309</v>
      </c>
      <c r="H1199" s="6" t="s">
        <v>3292</v>
      </c>
    </row>
    <row r="1200" spans="1:8" ht="12.75">
      <c r="A1200" s="18">
        <v>2022</v>
      </c>
      <c r="B1200" s="18">
        <v>159</v>
      </c>
      <c r="C1200" s="87" t="s">
        <v>148</v>
      </c>
      <c r="D1200" s="48">
        <v>44840</v>
      </c>
      <c r="E1200" s="19" t="s">
        <v>4735</v>
      </c>
      <c r="F1200" s="6" t="s">
        <v>4736</v>
      </c>
      <c r="G1200" s="6" t="s">
        <v>3309</v>
      </c>
      <c r="H1200" s="6" t="s">
        <v>3292</v>
      </c>
    </row>
    <row r="1201" spans="1:8" ht="12.75">
      <c r="A1201" s="18">
        <v>2022</v>
      </c>
      <c r="B1201" s="18">
        <v>159</v>
      </c>
      <c r="C1201" s="87" t="s">
        <v>148</v>
      </c>
      <c r="D1201" s="48">
        <v>44840</v>
      </c>
      <c r="E1201" s="19" t="s">
        <v>4737</v>
      </c>
      <c r="F1201" s="6" t="s">
        <v>4738</v>
      </c>
      <c r="G1201" s="6" t="s">
        <v>3309</v>
      </c>
      <c r="H1201" s="6" t="s">
        <v>3292</v>
      </c>
    </row>
    <row r="1202" spans="1:8" ht="12.75">
      <c r="A1202" s="18">
        <v>2022</v>
      </c>
      <c r="B1202" s="18">
        <v>160</v>
      </c>
      <c r="C1202" s="87" t="s">
        <v>47</v>
      </c>
      <c r="D1202" s="59">
        <v>44845</v>
      </c>
      <c r="E1202" s="19" t="s">
        <v>4739</v>
      </c>
      <c r="F1202" s="6" t="s">
        <v>4740</v>
      </c>
      <c r="G1202" s="6" t="s">
        <v>4502</v>
      </c>
      <c r="H1202" s="6" t="s">
        <v>3567</v>
      </c>
    </row>
    <row r="1203" spans="1:8" ht="12.75">
      <c r="A1203" s="18">
        <v>2022</v>
      </c>
      <c r="B1203" s="18">
        <v>164</v>
      </c>
      <c r="C1203" s="87" t="s">
        <v>37</v>
      </c>
      <c r="D1203" s="59">
        <v>44847</v>
      </c>
      <c r="E1203" s="19" t="s">
        <v>4741</v>
      </c>
      <c r="F1203" s="6" t="s">
        <v>4742</v>
      </c>
      <c r="G1203" s="6" t="s">
        <v>3409</v>
      </c>
      <c r="H1203" s="6" t="s">
        <v>3288</v>
      </c>
    </row>
    <row r="1204" spans="1:8" ht="12.75">
      <c r="A1204" s="18">
        <v>2022</v>
      </c>
      <c r="B1204" s="18">
        <v>164</v>
      </c>
      <c r="C1204" s="87" t="s">
        <v>37</v>
      </c>
      <c r="D1204" s="59">
        <v>44847</v>
      </c>
      <c r="E1204" s="19" t="s">
        <v>4743</v>
      </c>
      <c r="F1204" s="6" t="s">
        <v>4744</v>
      </c>
      <c r="G1204" s="6" t="s">
        <v>3409</v>
      </c>
      <c r="H1204" s="6" t="s">
        <v>3288</v>
      </c>
    </row>
    <row r="1205" spans="1:8" ht="12.75">
      <c r="A1205" s="18">
        <v>2022</v>
      </c>
      <c r="B1205" s="18">
        <v>164</v>
      </c>
      <c r="C1205" s="87" t="s">
        <v>37</v>
      </c>
      <c r="D1205" s="59">
        <v>44847</v>
      </c>
      <c r="E1205" s="19" t="s">
        <v>4745</v>
      </c>
      <c r="F1205" s="6" t="s">
        <v>4746</v>
      </c>
      <c r="G1205" s="6" t="s">
        <v>3409</v>
      </c>
      <c r="H1205" s="6" t="s">
        <v>3288</v>
      </c>
    </row>
    <row r="1206" spans="1:8" ht="12.75">
      <c r="A1206" s="18">
        <v>2022</v>
      </c>
      <c r="B1206" s="18">
        <v>164</v>
      </c>
      <c r="C1206" s="87" t="s">
        <v>37</v>
      </c>
      <c r="D1206" s="59">
        <v>44847</v>
      </c>
      <c r="E1206" s="19" t="s">
        <v>4747</v>
      </c>
      <c r="F1206" s="6" t="s">
        <v>4748</v>
      </c>
      <c r="G1206" s="6" t="s">
        <v>3409</v>
      </c>
      <c r="H1206" s="6" t="s">
        <v>3288</v>
      </c>
    </row>
    <row r="1207" spans="1:8" ht="12.75">
      <c r="A1207" s="18">
        <v>2022</v>
      </c>
      <c r="B1207" s="18">
        <v>164</v>
      </c>
      <c r="C1207" s="87" t="s">
        <v>37</v>
      </c>
      <c r="D1207" s="59">
        <v>44847</v>
      </c>
      <c r="E1207" s="19" t="s">
        <v>4749</v>
      </c>
      <c r="F1207" s="6" t="s">
        <v>4750</v>
      </c>
      <c r="G1207" s="6" t="s">
        <v>3409</v>
      </c>
      <c r="H1207" s="6" t="s">
        <v>3288</v>
      </c>
    </row>
    <row r="1208" spans="1:8" ht="12.75">
      <c r="A1208" s="18">
        <v>2022</v>
      </c>
      <c r="B1208" s="18">
        <v>164</v>
      </c>
      <c r="C1208" s="87" t="s">
        <v>37</v>
      </c>
      <c r="D1208" s="59">
        <v>44847</v>
      </c>
      <c r="E1208" s="19" t="s">
        <v>4751</v>
      </c>
      <c r="F1208" s="6" t="s">
        <v>4752</v>
      </c>
      <c r="G1208" s="6" t="s">
        <v>3409</v>
      </c>
      <c r="H1208" s="6" t="s">
        <v>3288</v>
      </c>
    </row>
    <row r="1209" spans="1:8" ht="12.75">
      <c r="A1209" s="18">
        <v>2022</v>
      </c>
      <c r="B1209" s="18">
        <v>165</v>
      </c>
      <c r="C1209" s="87" t="s">
        <v>2676</v>
      </c>
      <c r="D1209" s="59">
        <v>44847</v>
      </c>
      <c r="E1209" s="19" t="s">
        <v>4753</v>
      </c>
      <c r="F1209" s="6" t="s">
        <v>3704</v>
      </c>
      <c r="G1209" s="6" t="s">
        <v>3325</v>
      </c>
      <c r="H1209" s="6" t="s">
        <v>3292</v>
      </c>
    </row>
    <row r="1210" spans="1:8" ht="12.75">
      <c r="A1210" s="18">
        <v>2022</v>
      </c>
      <c r="B1210" s="18">
        <v>168</v>
      </c>
      <c r="C1210" s="87" t="s">
        <v>148</v>
      </c>
      <c r="D1210" s="59">
        <v>44854</v>
      </c>
      <c r="E1210" s="19" t="s">
        <v>4754</v>
      </c>
      <c r="F1210" s="6" t="s">
        <v>4755</v>
      </c>
      <c r="G1210" s="6" t="s">
        <v>3309</v>
      </c>
      <c r="H1210" s="6" t="s">
        <v>3292</v>
      </c>
    </row>
    <row r="1211" spans="1:8" ht="12.75">
      <c r="A1211" s="18">
        <v>2022</v>
      </c>
      <c r="B1211" s="18">
        <v>169</v>
      </c>
      <c r="C1211" s="87" t="s">
        <v>47</v>
      </c>
      <c r="D1211" s="59">
        <v>44859</v>
      </c>
      <c r="E1211" s="19" t="s">
        <v>4756</v>
      </c>
      <c r="F1211" s="6" t="s">
        <v>4757</v>
      </c>
      <c r="G1211" s="6" t="s">
        <v>4502</v>
      </c>
      <c r="H1211" s="6" t="s">
        <v>3567</v>
      </c>
    </row>
    <row r="1212" spans="1:8" ht="12.75">
      <c r="A1212" s="18">
        <v>2022</v>
      </c>
      <c r="B1212" s="18">
        <v>171</v>
      </c>
      <c r="C1212" s="87" t="s">
        <v>39</v>
      </c>
      <c r="D1212" s="59">
        <v>44859</v>
      </c>
      <c r="E1212" s="19" t="s">
        <v>4758</v>
      </c>
      <c r="F1212" s="6" t="s">
        <v>4759</v>
      </c>
      <c r="G1212" s="6" t="s">
        <v>3291</v>
      </c>
      <c r="H1212" s="6" t="s">
        <v>3292</v>
      </c>
    </row>
    <row r="1213" spans="1:8" ht="12.75">
      <c r="A1213" s="18">
        <v>2022</v>
      </c>
      <c r="B1213" s="18">
        <v>171</v>
      </c>
      <c r="C1213" s="87" t="s">
        <v>39</v>
      </c>
      <c r="D1213" s="59">
        <v>44859</v>
      </c>
      <c r="E1213" s="19" t="s">
        <v>4760</v>
      </c>
      <c r="F1213" s="6" t="s">
        <v>4761</v>
      </c>
      <c r="G1213" s="6" t="s">
        <v>3291</v>
      </c>
      <c r="H1213" s="6" t="s">
        <v>3292</v>
      </c>
    </row>
    <row r="1214" spans="1:8" ht="12.75">
      <c r="A1214" s="18">
        <v>2022</v>
      </c>
      <c r="B1214" s="18">
        <v>171</v>
      </c>
      <c r="C1214" s="87" t="s">
        <v>39</v>
      </c>
      <c r="D1214" s="59">
        <v>44859</v>
      </c>
      <c r="E1214" s="19" t="s">
        <v>4762</v>
      </c>
      <c r="F1214" s="6" t="s">
        <v>4763</v>
      </c>
      <c r="G1214" s="6" t="s">
        <v>3291</v>
      </c>
      <c r="H1214" s="6" t="s">
        <v>3292</v>
      </c>
    </row>
    <row r="1215" spans="1:8" ht="12.75">
      <c r="A1215" s="18">
        <v>2022</v>
      </c>
      <c r="B1215" s="18">
        <v>176</v>
      </c>
      <c r="C1215" s="87" t="s">
        <v>51</v>
      </c>
      <c r="D1215" s="59">
        <v>44861</v>
      </c>
      <c r="E1215" s="19" t="s">
        <v>4764</v>
      </c>
      <c r="F1215" s="6" t="s">
        <v>4765</v>
      </c>
      <c r="G1215" s="6" t="s">
        <v>3446</v>
      </c>
      <c r="H1215" s="6" t="s">
        <v>3288</v>
      </c>
    </row>
    <row r="1216" spans="1:8" ht="12.75">
      <c r="A1216" s="18">
        <v>2022</v>
      </c>
      <c r="B1216" s="18">
        <v>176</v>
      </c>
      <c r="C1216" s="87" t="s">
        <v>51</v>
      </c>
      <c r="D1216" s="59">
        <v>44861</v>
      </c>
      <c r="E1216" s="19" t="s">
        <v>4766</v>
      </c>
      <c r="F1216" s="6" t="s">
        <v>4767</v>
      </c>
      <c r="G1216" s="6" t="s">
        <v>4565</v>
      </c>
      <c r="H1216" s="6" t="s">
        <v>3288</v>
      </c>
    </row>
    <row r="1217" spans="1:8" ht="12.75">
      <c r="A1217" s="18">
        <v>2022</v>
      </c>
      <c r="B1217" s="18">
        <v>176</v>
      </c>
      <c r="C1217" s="87" t="s">
        <v>51</v>
      </c>
      <c r="D1217" s="59">
        <v>44861</v>
      </c>
      <c r="E1217" s="19" t="s">
        <v>4768</v>
      </c>
      <c r="F1217" s="6" t="s">
        <v>4769</v>
      </c>
      <c r="G1217" s="6" t="s">
        <v>3439</v>
      </c>
      <c r="H1217" s="6" t="s">
        <v>3288</v>
      </c>
    </row>
    <row r="1218" spans="1:8" ht="12.75">
      <c r="A1218" s="18">
        <v>2022</v>
      </c>
      <c r="B1218" s="18">
        <v>177</v>
      </c>
      <c r="C1218" s="87" t="s">
        <v>37</v>
      </c>
      <c r="D1218" s="48">
        <v>44866</v>
      </c>
      <c r="E1218" s="19" t="s">
        <v>3978</v>
      </c>
      <c r="F1218" s="6" t="s">
        <v>4770</v>
      </c>
      <c r="G1218" s="6" t="s">
        <v>3439</v>
      </c>
      <c r="H1218" s="6" t="s">
        <v>3288</v>
      </c>
    </row>
    <row r="1219" spans="1:8" ht="12.75">
      <c r="A1219" s="18">
        <v>2022</v>
      </c>
      <c r="B1219" s="18">
        <v>177</v>
      </c>
      <c r="C1219" s="87" t="s">
        <v>37</v>
      </c>
      <c r="D1219" s="48">
        <v>44866</v>
      </c>
      <c r="E1219" s="19" t="s">
        <v>4771</v>
      </c>
      <c r="F1219" s="6" t="s">
        <v>4772</v>
      </c>
      <c r="G1219" s="6" t="s">
        <v>3389</v>
      </c>
      <c r="H1219" s="6" t="s">
        <v>3288</v>
      </c>
    </row>
    <row r="1220" spans="1:8" ht="12.75">
      <c r="A1220" s="18">
        <v>2022</v>
      </c>
      <c r="B1220" s="18">
        <v>177</v>
      </c>
      <c r="C1220" s="87" t="s">
        <v>37</v>
      </c>
      <c r="D1220" s="48">
        <v>44866</v>
      </c>
      <c r="E1220" s="19" t="s">
        <v>4773</v>
      </c>
      <c r="F1220" s="6" t="s">
        <v>4774</v>
      </c>
      <c r="G1220" s="6" t="s">
        <v>4565</v>
      </c>
      <c r="H1220" s="6" t="s">
        <v>3288</v>
      </c>
    </row>
    <row r="1221" spans="1:8" ht="12.75">
      <c r="A1221" s="18">
        <v>2022</v>
      </c>
      <c r="B1221" s="18">
        <v>177</v>
      </c>
      <c r="C1221" s="87" t="s">
        <v>37</v>
      </c>
      <c r="D1221" s="48">
        <v>44866</v>
      </c>
      <c r="E1221" s="19" t="s">
        <v>4775</v>
      </c>
      <c r="F1221" s="6" t="s">
        <v>4776</v>
      </c>
      <c r="G1221" s="6" t="s">
        <v>3389</v>
      </c>
      <c r="H1221" s="6" t="s">
        <v>3288</v>
      </c>
    </row>
    <row r="1222" spans="1:8" ht="12.75">
      <c r="A1222" s="18">
        <v>2022</v>
      </c>
      <c r="B1222" s="18">
        <v>177</v>
      </c>
      <c r="C1222" s="87" t="s">
        <v>37</v>
      </c>
      <c r="D1222" s="48">
        <v>44866</v>
      </c>
      <c r="E1222" s="19" t="s">
        <v>4777</v>
      </c>
      <c r="F1222" s="6" t="s">
        <v>4778</v>
      </c>
      <c r="G1222" s="6" t="s">
        <v>3469</v>
      </c>
      <c r="H1222" s="6" t="s">
        <v>3288</v>
      </c>
    </row>
    <row r="1223" spans="1:8" ht="12.75">
      <c r="A1223" s="18">
        <v>2022</v>
      </c>
      <c r="B1223" s="18">
        <v>177</v>
      </c>
      <c r="C1223" s="87" t="s">
        <v>37</v>
      </c>
      <c r="D1223" s="48">
        <v>44866</v>
      </c>
      <c r="E1223" s="19" t="s">
        <v>4779</v>
      </c>
      <c r="F1223" s="6" t="s">
        <v>4780</v>
      </c>
      <c r="G1223" s="6" t="s">
        <v>3469</v>
      </c>
      <c r="H1223" s="6" t="s">
        <v>3288</v>
      </c>
    </row>
    <row r="1224" spans="1:8" ht="12.75">
      <c r="A1224" s="18">
        <v>2022</v>
      </c>
      <c r="B1224" s="18">
        <v>178</v>
      </c>
      <c r="C1224" s="87" t="s">
        <v>55</v>
      </c>
      <c r="D1224" s="48">
        <v>44866</v>
      </c>
      <c r="E1224" s="19" t="s">
        <v>4781</v>
      </c>
      <c r="F1224" s="6" t="s">
        <v>4782</v>
      </c>
      <c r="G1224" s="6" t="s">
        <v>3409</v>
      </c>
      <c r="H1224" s="6" t="s">
        <v>3288</v>
      </c>
    </row>
    <row r="1225" spans="1:8" ht="12.75">
      <c r="A1225" s="18">
        <v>2022</v>
      </c>
      <c r="B1225" s="18">
        <v>179</v>
      </c>
      <c r="C1225" s="87" t="s">
        <v>47</v>
      </c>
      <c r="D1225" s="48">
        <v>44866</v>
      </c>
      <c r="E1225" s="19" t="s">
        <v>4783</v>
      </c>
      <c r="F1225" s="6" t="s">
        <v>4784</v>
      </c>
      <c r="G1225" s="6" t="s">
        <v>4502</v>
      </c>
      <c r="H1225" s="6" t="s">
        <v>3567</v>
      </c>
    </row>
    <row r="1226" spans="1:8" ht="12.75">
      <c r="A1226" s="18">
        <v>2022</v>
      </c>
      <c r="B1226" s="18">
        <v>182</v>
      </c>
      <c r="C1226" s="87" t="s">
        <v>41</v>
      </c>
      <c r="D1226" s="48">
        <v>44873</v>
      </c>
      <c r="E1226" s="19" t="s">
        <v>4063</v>
      </c>
      <c r="F1226" s="6" t="s">
        <v>4891</v>
      </c>
      <c r="G1226" s="6" t="s">
        <v>1319</v>
      </c>
      <c r="H1226" s="6" t="s">
        <v>3288</v>
      </c>
    </row>
    <row r="1227" spans="1:8" ht="12.75">
      <c r="A1227" s="18">
        <v>2022</v>
      </c>
      <c r="B1227" s="18">
        <v>182</v>
      </c>
      <c r="C1227" s="87" t="s">
        <v>41</v>
      </c>
      <c r="D1227" s="48">
        <v>44873</v>
      </c>
      <c r="E1227" s="19" t="s">
        <v>4892</v>
      </c>
      <c r="F1227" s="6" t="s">
        <v>4891</v>
      </c>
      <c r="G1227" s="6" t="s">
        <v>1319</v>
      </c>
      <c r="H1227" s="6" t="s">
        <v>3288</v>
      </c>
    </row>
    <row r="1228" spans="1:8" ht="12.75">
      <c r="A1228" s="18">
        <v>2022</v>
      </c>
      <c r="B1228" s="18">
        <v>182</v>
      </c>
      <c r="C1228" s="87" t="s">
        <v>41</v>
      </c>
      <c r="D1228" s="48">
        <v>44873</v>
      </c>
      <c r="E1228" s="19" t="s">
        <v>4893</v>
      </c>
      <c r="F1228" s="6" t="s">
        <v>4894</v>
      </c>
      <c r="G1228" s="6" t="s">
        <v>1319</v>
      </c>
      <c r="H1228" s="6" t="s">
        <v>3288</v>
      </c>
    </row>
    <row r="1229" spans="1:8" ht="12.75">
      <c r="A1229" s="18">
        <v>2022</v>
      </c>
      <c r="B1229" s="18">
        <v>182</v>
      </c>
      <c r="C1229" s="87" t="s">
        <v>41</v>
      </c>
      <c r="D1229" s="48">
        <v>44873</v>
      </c>
      <c r="E1229" s="19" t="s">
        <v>4895</v>
      </c>
      <c r="F1229" s="6" t="s">
        <v>4894</v>
      </c>
      <c r="G1229" s="6" t="s">
        <v>1319</v>
      </c>
      <c r="H1229" s="6" t="s">
        <v>3288</v>
      </c>
    </row>
    <row r="1230" spans="1:8" ht="12.75">
      <c r="A1230" s="18">
        <v>2022</v>
      </c>
      <c r="B1230" s="18">
        <v>183</v>
      </c>
      <c r="C1230" s="87" t="s">
        <v>148</v>
      </c>
      <c r="D1230" s="48">
        <v>44873</v>
      </c>
      <c r="E1230" s="19" t="s">
        <v>4896</v>
      </c>
      <c r="F1230" s="6" t="s">
        <v>4897</v>
      </c>
      <c r="G1230" s="6" t="s">
        <v>3309</v>
      </c>
      <c r="H1230" s="6" t="s">
        <v>3292</v>
      </c>
    </row>
    <row r="1231" spans="1:8" ht="12.75">
      <c r="A1231" s="18">
        <v>2022</v>
      </c>
      <c r="B1231" s="18">
        <v>185</v>
      </c>
      <c r="C1231" s="87" t="s">
        <v>28</v>
      </c>
      <c r="D1231" s="59">
        <v>44875</v>
      </c>
      <c r="E1231" s="19" t="s">
        <v>4785</v>
      </c>
      <c r="F1231" s="6" t="s">
        <v>4786</v>
      </c>
      <c r="G1231" s="6" t="s">
        <v>3432</v>
      </c>
      <c r="H1231" s="6" t="s">
        <v>3292</v>
      </c>
    </row>
    <row r="1232" spans="1:8" ht="12.75">
      <c r="A1232" s="18">
        <v>2022</v>
      </c>
      <c r="B1232" s="18">
        <v>185</v>
      </c>
      <c r="C1232" s="87" t="s">
        <v>28</v>
      </c>
      <c r="D1232" s="59">
        <v>44875</v>
      </c>
      <c r="E1232" s="19" t="s">
        <v>4382</v>
      </c>
      <c r="F1232" s="6" t="s">
        <v>4787</v>
      </c>
      <c r="G1232" s="6" t="s">
        <v>3432</v>
      </c>
      <c r="H1232" s="6" t="s">
        <v>3292</v>
      </c>
    </row>
    <row r="1233" spans="1:8" ht="12.75">
      <c r="A1233" s="18">
        <v>2022</v>
      </c>
      <c r="B1233" s="18">
        <v>186</v>
      </c>
      <c r="C1233" s="87" t="s">
        <v>47</v>
      </c>
      <c r="D1233" s="59">
        <v>44875</v>
      </c>
      <c r="E1233" s="19" t="s">
        <v>4788</v>
      </c>
      <c r="F1233" s="6" t="s">
        <v>4789</v>
      </c>
      <c r="G1233" s="6" t="s">
        <v>4502</v>
      </c>
      <c r="H1233" s="6" t="s">
        <v>3567</v>
      </c>
    </row>
    <row r="1234" spans="1:8" ht="12.75">
      <c r="A1234" s="18">
        <v>2022</v>
      </c>
      <c r="B1234" s="18">
        <v>187</v>
      </c>
      <c r="C1234" s="87" t="s">
        <v>148</v>
      </c>
      <c r="D1234" s="59">
        <v>44875</v>
      </c>
      <c r="E1234" s="19" t="s">
        <v>4143</v>
      </c>
      <c r="F1234" s="6" t="s">
        <v>4144</v>
      </c>
      <c r="G1234" s="6" t="s">
        <v>3309</v>
      </c>
      <c r="H1234" s="6" t="s">
        <v>3292</v>
      </c>
    </row>
    <row r="1235" spans="1:8" ht="12.75">
      <c r="A1235" s="18">
        <v>2022</v>
      </c>
      <c r="B1235" s="18">
        <v>187</v>
      </c>
      <c r="C1235" s="87" t="s">
        <v>148</v>
      </c>
      <c r="D1235" s="59">
        <v>44875</v>
      </c>
      <c r="E1235" s="19" t="s">
        <v>4145</v>
      </c>
      <c r="F1235" s="6" t="s">
        <v>4146</v>
      </c>
      <c r="G1235" s="6" t="s">
        <v>3309</v>
      </c>
      <c r="H1235" s="6" t="s">
        <v>3292</v>
      </c>
    </row>
    <row r="1236" spans="1:8" ht="12.75">
      <c r="A1236" s="18">
        <v>2022</v>
      </c>
      <c r="B1236" s="18">
        <v>187</v>
      </c>
      <c r="C1236" s="87" t="s">
        <v>148</v>
      </c>
      <c r="D1236" s="59">
        <v>44875</v>
      </c>
      <c r="E1236" s="19" t="s">
        <v>4147</v>
      </c>
      <c r="F1236" s="6" t="s">
        <v>4790</v>
      </c>
      <c r="G1236" s="6" t="s">
        <v>3309</v>
      </c>
      <c r="H1236" s="6" t="s">
        <v>3292</v>
      </c>
    </row>
    <row r="1237" spans="1:8" ht="12.75">
      <c r="A1237" s="18">
        <v>2022</v>
      </c>
      <c r="B1237" s="18">
        <v>187</v>
      </c>
      <c r="C1237" s="87" t="s">
        <v>148</v>
      </c>
      <c r="D1237" s="59">
        <v>44875</v>
      </c>
      <c r="E1237" s="19" t="s">
        <v>4149</v>
      </c>
      <c r="F1237" s="6" t="s">
        <v>4791</v>
      </c>
      <c r="G1237" s="6" t="s">
        <v>3309</v>
      </c>
      <c r="H1237" s="6" t="s">
        <v>3292</v>
      </c>
    </row>
    <row r="1238" spans="1:8" ht="12.75">
      <c r="A1238" s="18">
        <v>2022</v>
      </c>
      <c r="B1238" s="18">
        <v>187</v>
      </c>
      <c r="C1238" s="87" t="s">
        <v>148</v>
      </c>
      <c r="D1238" s="59">
        <v>44875</v>
      </c>
      <c r="E1238" s="19" t="s">
        <v>4792</v>
      </c>
      <c r="F1238" s="6" t="s">
        <v>4793</v>
      </c>
      <c r="G1238" s="6" t="s">
        <v>3309</v>
      </c>
      <c r="H1238" s="6" t="s">
        <v>3292</v>
      </c>
    </row>
    <row r="1239" spans="1:8" ht="12.75">
      <c r="A1239" s="18">
        <v>2022</v>
      </c>
      <c r="B1239" s="18">
        <v>187</v>
      </c>
      <c r="C1239" s="87" t="s">
        <v>148</v>
      </c>
      <c r="D1239" s="59">
        <v>44875</v>
      </c>
      <c r="E1239" s="19" t="s">
        <v>4794</v>
      </c>
      <c r="F1239" s="6" t="s">
        <v>4795</v>
      </c>
      <c r="G1239" s="6" t="s">
        <v>3309</v>
      </c>
      <c r="H1239" s="6" t="s">
        <v>3292</v>
      </c>
    </row>
    <row r="1240" spans="1:8" ht="12.75">
      <c r="A1240" s="18">
        <v>2022</v>
      </c>
      <c r="B1240" s="18">
        <v>187</v>
      </c>
      <c r="C1240" s="87" t="s">
        <v>148</v>
      </c>
      <c r="D1240" s="59">
        <v>44875</v>
      </c>
      <c r="E1240" s="19" t="s">
        <v>4796</v>
      </c>
      <c r="F1240" s="6" t="s">
        <v>4797</v>
      </c>
      <c r="G1240" s="6" t="s">
        <v>3309</v>
      </c>
      <c r="H1240" s="6" t="s">
        <v>3292</v>
      </c>
    </row>
    <row r="1241" spans="1:8" ht="12.75">
      <c r="A1241" s="18">
        <v>2022</v>
      </c>
      <c r="B1241" s="18">
        <v>187</v>
      </c>
      <c r="C1241" s="87" t="s">
        <v>148</v>
      </c>
      <c r="D1241" s="59">
        <v>44875</v>
      </c>
      <c r="E1241" s="19" t="s">
        <v>4798</v>
      </c>
      <c r="F1241" s="6" t="s">
        <v>4799</v>
      </c>
      <c r="G1241" s="6" t="s">
        <v>3309</v>
      </c>
      <c r="H1241" s="6" t="s">
        <v>3292</v>
      </c>
    </row>
    <row r="1242" spans="1:8" ht="12.75">
      <c r="A1242" s="18">
        <v>2022</v>
      </c>
      <c r="B1242" s="18">
        <v>187</v>
      </c>
      <c r="C1242" s="87" t="s">
        <v>148</v>
      </c>
      <c r="D1242" s="59">
        <v>44875</v>
      </c>
      <c r="E1242" s="19" t="s">
        <v>4800</v>
      </c>
      <c r="F1242" s="6" t="s">
        <v>4801</v>
      </c>
      <c r="G1242" s="6" t="s">
        <v>3309</v>
      </c>
      <c r="H1242" s="6" t="s">
        <v>3292</v>
      </c>
    </row>
    <row r="1243" spans="1:8" ht="12.75">
      <c r="A1243" s="18">
        <v>2022</v>
      </c>
      <c r="B1243" s="18">
        <v>187</v>
      </c>
      <c r="C1243" s="87" t="s">
        <v>148</v>
      </c>
      <c r="D1243" s="59">
        <v>44875</v>
      </c>
      <c r="E1243" s="19" t="s">
        <v>4802</v>
      </c>
      <c r="F1243" s="6" t="s">
        <v>4803</v>
      </c>
      <c r="G1243" s="6" t="s">
        <v>3309</v>
      </c>
      <c r="H1243" s="6" t="s">
        <v>3292</v>
      </c>
    </row>
    <row r="1244" spans="1:8" ht="12.75">
      <c r="A1244" s="18">
        <v>2022</v>
      </c>
      <c r="B1244" s="18">
        <v>187</v>
      </c>
      <c r="C1244" s="87" t="s">
        <v>148</v>
      </c>
      <c r="D1244" s="59">
        <v>44875</v>
      </c>
      <c r="E1244" s="19" t="s">
        <v>4804</v>
      </c>
      <c r="F1244" s="6" t="s">
        <v>4805</v>
      </c>
      <c r="G1244" s="6" t="s">
        <v>3309</v>
      </c>
      <c r="H1244" s="6" t="s">
        <v>3292</v>
      </c>
    </row>
    <row r="1245" spans="1:8" ht="12.75">
      <c r="A1245" s="18">
        <v>2022</v>
      </c>
      <c r="B1245" s="18">
        <v>188</v>
      </c>
      <c r="C1245" s="87" t="s">
        <v>2011</v>
      </c>
      <c r="D1245" s="59">
        <v>44880</v>
      </c>
      <c r="E1245" s="19" t="s">
        <v>4806</v>
      </c>
      <c r="F1245" s="6" t="s">
        <v>3345</v>
      </c>
      <c r="G1245" s="6" t="s">
        <v>3311</v>
      </c>
      <c r="H1245" s="6" t="s">
        <v>3292</v>
      </c>
    </row>
    <row r="1246" spans="1:8" ht="12.75">
      <c r="A1246" s="18">
        <v>2022</v>
      </c>
      <c r="B1246" s="18">
        <v>188</v>
      </c>
      <c r="C1246" s="87" t="s">
        <v>2011</v>
      </c>
      <c r="D1246" s="59">
        <v>44880</v>
      </c>
      <c r="E1246" s="19" t="s">
        <v>3780</v>
      </c>
      <c r="F1246" s="6" t="s">
        <v>3781</v>
      </c>
      <c r="G1246" s="6" t="s">
        <v>3311</v>
      </c>
      <c r="H1246" s="6" t="s">
        <v>3292</v>
      </c>
    </row>
    <row r="1247" spans="1:8" ht="12.75">
      <c r="A1247" s="18">
        <v>2022</v>
      </c>
      <c r="B1247" s="18">
        <v>188</v>
      </c>
      <c r="C1247" s="87" t="s">
        <v>2011</v>
      </c>
      <c r="D1247" s="59">
        <v>44880</v>
      </c>
      <c r="E1247" s="19" t="s">
        <v>4648</v>
      </c>
      <c r="F1247" s="6" t="s">
        <v>4807</v>
      </c>
      <c r="G1247" s="6" t="s">
        <v>3311</v>
      </c>
      <c r="H1247" s="6" t="s">
        <v>3292</v>
      </c>
    </row>
    <row r="1248" spans="1:8" ht="12.75">
      <c r="A1248" s="18">
        <v>2022</v>
      </c>
      <c r="B1248" s="18">
        <v>188</v>
      </c>
      <c r="C1248" s="87" t="s">
        <v>2011</v>
      </c>
      <c r="D1248" s="59">
        <v>44880</v>
      </c>
      <c r="E1248" s="19" t="s">
        <v>4808</v>
      </c>
      <c r="F1248" s="6" t="s">
        <v>4809</v>
      </c>
      <c r="G1248" s="6" t="s">
        <v>3311</v>
      </c>
      <c r="H1248" s="6" t="s">
        <v>3292</v>
      </c>
    </row>
    <row r="1249" spans="1:8" ht="12.75">
      <c r="A1249" s="18">
        <v>2022</v>
      </c>
      <c r="B1249" s="18">
        <v>188</v>
      </c>
      <c r="C1249" s="87" t="s">
        <v>2011</v>
      </c>
      <c r="D1249" s="59">
        <v>44880</v>
      </c>
      <c r="E1249" s="19" t="s">
        <v>4646</v>
      </c>
      <c r="F1249" s="6" t="s">
        <v>4810</v>
      </c>
      <c r="G1249" s="6" t="s">
        <v>3311</v>
      </c>
      <c r="H1249" s="6" t="s">
        <v>3292</v>
      </c>
    </row>
    <row r="1250" spans="1:8" ht="12.75">
      <c r="A1250" s="18">
        <v>2022</v>
      </c>
      <c r="B1250" s="18">
        <v>188</v>
      </c>
      <c r="C1250" s="87" t="s">
        <v>2011</v>
      </c>
      <c r="D1250" s="59">
        <v>44880</v>
      </c>
      <c r="E1250" s="19" t="s">
        <v>4811</v>
      </c>
      <c r="F1250" s="6" t="s">
        <v>4645</v>
      </c>
      <c r="G1250" s="6" t="s">
        <v>3311</v>
      </c>
      <c r="H1250" s="6" t="s">
        <v>3292</v>
      </c>
    </row>
    <row r="1251" spans="1:8" ht="12.75">
      <c r="A1251" s="18">
        <v>2022</v>
      </c>
      <c r="B1251" s="18">
        <v>188</v>
      </c>
      <c r="C1251" s="87" t="s">
        <v>2011</v>
      </c>
      <c r="D1251" s="59">
        <v>44880</v>
      </c>
      <c r="E1251" s="19" t="s">
        <v>4812</v>
      </c>
      <c r="F1251" s="6" t="s">
        <v>4813</v>
      </c>
      <c r="G1251" s="6" t="s">
        <v>3311</v>
      </c>
      <c r="H1251" s="6" t="s">
        <v>3292</v>
      </c>
    </row>
    <row r="1252" spans="1:8" ht="12.75">
      <c r="A1252" s="18">
        <v>2022</v>
      </c>
      <c r="B1252" s="18">
        <v>188</v>
      </c>
      <c r="C1252" s="87" t="s">
        <v>2011</v>
      </c>
      <c r="D1252" s="59">
        <v>44880</v>
      </c>
      <c r="E1252" s="19" t="s">
        <v>4814</v>
      </c>
      <c r="F1252" s="6" t="s">
        <v>4815</v>
      </c>
      <c r="G1252" s="6" t="s">
        <v>3311</v>
      </c>
      <c r="H1252" s="6" t="s">
        <v>3292</v>
      </c>
    </row>
    <row r="1253" spans="1:8" ht="12.75">
      <c r="A1253" s="18">
        <v>2022</v>
      </c>
      <c r="B1253" s="18">
        <v>189</v>
      </c>
      <c r="C1253" s="87" t="s">
        <v>39</v>
      </c>
      <c r="D1253" s="59">
        <v>44880</v>
      </c>
      <c r="E1253" s="19" t="s">
        <v>4574</v>
      </c>
      <c r="F1253" s="6" t="s">
        <v>4666</v>
      </c>
      <c r="G1253" s="6" t="s">
        <v>3291</v>
      </c>
      <c r="H1253" s="6" t="s">
        <v>3292</v>
      </c>
    </row>
    <row r="1254" spans="1:8" ht="12.75">
      <c r="A1254" s="18">
        <v>2022</v>
      </c>
      <c r="B1254" s="18">
        <v>189</v>
      </c>
      <c r="C1254" s="87" t="s">
        <v>39</v>
      </c>
      <c r="D1254" s="59">
        <v>44880</v>
      </c>
      <c r="E1254" s="19" t="s">
        <v>4816</v>
      </c>
      <c r="F1254" s="6" t="s">
        <v>4817</v>
      </c>
      <c r="G1254" s="6" t="s">
        <v>3291</v>
      </c>
      <c r="H1254" s="6" t="s">
        <v>3292</v>
      </c>
    </row>
    <row r="1255" spans="1:8" ht="12.75">
      <c r="A1255" s="18">
        <v>2022</v>
      </c>
      <c r="B1255" s="18">
        <v>189</v>
      </c>
      <c r="C1255" s="87" t="s">
        <v>39</v>
      </c>
      <c r="D1255" s="59">
        <v>44880</v>
      </c>
      <c r="E1255" s="19" t="s">
        <v>3664</v>
      </c>
      <c r="F1255" s="6" t="s">
        <v>4818</v>
      </c>
      <c r="G1255" s="6" t="s">
        <v>3291</v>
      </c>
      <c r="H1255" s="6" t="s">
        <v>3292</v>
      </c>
    </row>
    <row r="1256" spans="1:8" ht="12.75">
      <c r="A1256" s="18">
        <v>2022</v>
      </c>
      <c r="B1256" s="18">
        <v>189</v>
      </c>
      <c r="C1256" s="87" t="s">
        <v>39</v>
      </c>
      <c r="D1256" s="59">
        <v>44880</v>
      </c>
      <c r="E1256" s="19" t="s">
        <v>4578</v>
      </c>
      <c r="F1256" s="6" t="s">
        <v>4819</v>
      </c>
      <c r="G1256" s="6" t="s">
        <v>3291</v>
      </c>
      <c r="H1256" s="6" t="s">
        <v>3292</v>
      </c>
    </row>
    <row r="1257" spans="1:8" ht="12.75">
      <c r="A1257" s="18">
        <v>2022</v>
      </c>
      <c r="B1257" s="18">
        <v>189</v>
      </c>
      <c r="C1257" s="87" t="s">
        <v>39</v>
      </c>
      <c r="D1257" s="59">
        <v>44880</v>
      </c>
      <c r="E1257" s="19" t="s">
        <v>4580</v>
      </c>
      <c r="F1257" s="6" t="s">
        <v>4579</v>
      </c>
      <c r="G1257" s="6" t="s">
        <v>3291</v>
      </c>
      <c r="H1257" s="6" t="s">
        <v>3292</v>
      </c>
    </row>
    <row r="1258" spans="1:8" ht="12.75">
      <c r="A1258" s="18">
        <v>2022</v>
      </c>
      <c r="B1258" s="18">
        <v>189</v>
      </c>
      <c r="C1258" s="87" t="s">
        <v>39</v>
      </c>
      <c r="D1258" s="59">
        <v>44880</v>
      </c>
      <c r="E1258" s="19" t="s">
        <v>3666</v>
      </c>
      <c r="F1258" s="6" t="s">
        <v>4667</v>
      </c>
      <c r="G1258" s="6" t="s">
        <v>3291</v>
      </c>
      <c r="H1258" s="6" t="s">
        <v>3292</v>
      </c>
    </row>
    <row r="1259" spans="1:8" ht="12.75">
      <c r="A1259" s="18">
        <v>2022</v>
      </c>
      <c r="B1259" s="18">
        <v>190</v>
      </c>
      <c r="C1259" s="87" t="s">
        <v>2011</v>
      </c>
      <c r="D1259" s="59">
        <v>44881</v>
      </c>
      <c r="E1259" s="19" t="s">
        <v>3989</v>
      </c>
      <c r="F1259" s="6" t="s">
        <v>3302</v>
      </c>
      <c r="G1259" s="6" t="s">
        <v>3306</v>
      </c>
      <c r="H1259" s="6" t="s">
        <v>3292</v>
      </c>
    </row>
    <row r="1260" spans="1:8" ht="12.75">
      <c r="A1260" s="18">
        <v>2022</v>
      </c>
      <c r="B1260" s="18">
        <v>190</v>
      </c>
      <c r="C1260" s="87" t="s">
        <v>2011</v>
      </c>
      <c r="D1260" s="59">
        <v>44881</v>
      </c>
      <c r="E1260" s="19" t="s">
        <v>4821</v>
      </c>
      <c r="F1260" s="6" t="s">
        <v>3990</v>
      </c>
      <c r="G1260" s="6" t="s">
        <v>3306</v>
      </c>
      <c r="H1260" s="6" t="s">
        <v>3292</v>
      </c>
    </row>
    <row r="1261" spans="1:8" ht="12.75">
      <c r="A1261" s="18">
        <v>2022</v>
      </c>
      <c r="B1261" s="18">
        <v>190</v>
      </c>
      <c r="C1261" s="87" t="s">
        <v>2011</v>
      </c>
      <c r="D1261" s="59">
        <v>44881</v>
      </c>
      <c r="E1261" s="19" t="s">
        <v>4822</v>
      </c>
      <c r="F1261" s="6" t="s">
        <v>4823</v>
      </c>
      <c r="G1261" s="6" t="s">
        <v>3993</v>
      </c>
      <c r="H1261" s="6" t="s">
        <v>3513</v>
      </c>
    </row>
    <row r="1262" spans="1:8" ht="12.75">
      <c r="A1262" s="18">
        <v>2022</v>
      </c>
      <c r="B1262" s="18">
        <v>190</v>
      </c>
      <c r="C1262" s="87" t="s">
        <v>2011</v>
      </c>
      <c r="D1262" s="59">
        <v>44881</v>
      </c>
      <c r="E1262" s="19" t="s">
        <v>4521</v>
      </c>
      <c r="F1262" s="6" t="s">
        <v>3381</v>
      </c>
      <c r="G1262" s="6" t="s">
        <v>3306</v>
      </c>
      <c r="H1262" s="6" t="s">
        <v>3292</v>
      </c>
    </row>
    <row r="1263" spans="1:8" ht="12.75">
      <c r="A1263" s="18">
        <v>2022</v>
      </c>
      <c r="B1263" s="18">
        <v>191</v>
      </c>
      <c r="C1263" s="87" t="s">
        <v>2011</v>
      </c>
      <c r="D1263" s="59">
        <v>44882</v>
      </c>
      <c r="E1263" s="19" t="s">
        <v>3312</v>
      </c>
      <c r="F1263" s="6" t="s">
        <v>3302</v>
      </c>
      <c r="G1263" s="6" t="s">
        <v>3313</v>
      </c>
      <c r="H1263" s="6" t="s">
        <v>3292</v>
      </c>
    </row>
    <row r="1264" spans="1:8" ht="12.75">
      <c r="A1264" s="18">
        <v>2022</v>
      </c>
      <c r="B1264" s="18">
        <v>191</v>
      </c>
      <c r="C1264" s="87" t="s">
        <v>2011</v>
      </c>
      <c r="D1264" s="59">
        <v>44882</v>
      </c>
      <c r="E1264" s="19" t="s">
        <v>3844</v>
      </c>
      <c r="F1264" s="6" t="s">
        <v>4449</v>
      </c>
      <c r="G1264" s="6" t="s">
        <v>3313</v>
      </c>
      <c r="H1264" s="6" t="s">
        <v>3292</v>
      </c>
    </row>
    <row r="1265" spans="1:8" ht="12.75">
      <c r="A1265" s="18">
        <v>2022</v>
      </c>
      <c r="B1265" s="18">
        <v>191</v>
      </c>
      <c r="C1265" s="87" t="s">
        <v>2011</v>
      </c>
      <c r="D1265" s="59">
        <v>44882</v>
      </c>
      <c r="E1265" s="19" t="s">
        <v>3846</v>
      </c>
      <c r="F1265" s="6" t="s">
        <v>3355</v>
      </c>
      <c r="G1265" s="6" t="s">
        <v>3313</v>
      </c>
      <c r="H1265" s="6" t="s">
        <v>3292</v>
      </c>
    </row>
    <row r="1266" spans="1:8" ht="12.75">
      <c r="A1266" s="18">
        <v>2022</v>
      </c>
      <c r="B1266" s="18">
        <v>191</v>
      </c>
      <c r="C1266" s="87" t="s">
        <v>2011</v>
      </c>
      <c r="D1266" s="59">
        <v>44882</v>
      </c>
      <c r="E1266" s="19" t="s">
        <v>4824</v>
      </c>
      <c r="F1266" s="6" t="s">
        <v>3957</v>
      </c>
      <c r="G1266" s="6" t="s">
        <v>3313</v>
      </c>
      <c r="H1266" s="6" t="s">
        <v>3292</v>
      </c>
    </row>
    <row r="1267" spans="1:8" ht="12.75">
      <c r="A1267" s="18">
        <v>2022</v>
      </c>
      <c r="B1267" s="18">
        <v>191</v>
      </c>
      <c r="C1267" s="87" t="s">
        <v>2011</v>
      </c>
      <c r="D1267" s="59">
        <v>44882</v>
      </c>
      <c r="E1267" s="19" t="s">
        <v>4825</v>
      </c>
      <c r="F1267" s="6" t="s">
        <v>4826</v>
      </c>
      <c r="G1267" s="6" t="s">
        <v>3313</v>
      </c>
      <c r="H1267" s="6" t="s">
        <v>3292</v>
      </c>
    </row>
    <row r="1268" spans="1:8" ht="12.75">
      <c r="A1268" s="18">
        <v>2022</v>
      </c>
      <c r="B1268" s="18">
        <v>191</v>
      </c>
      <c r="C1268" s="87" t="s">
        <v>2011</v>
      </c>
      <c r="D1268" s="59">
        <v>44882</v>
      </c>
      <c r="E1268" s="19" t="s">
        <v>4452</v>
      </c>
      <c r="F1268" s="6" t="s">
        <v>3843</v>
      </c>
      <c r="G1268" s="6" t="s">
        <v>3313</v>
      </c>
      <c r="H1268" s="6" t="s">
        <v>3292</v>
      </c>
    </row>
    <row r="1269" spans="1:8" ht="12.75">
      <c r="A1269" s="18">
        <v>2022</v>
      </c>
      <c r="B1269" s="18">
        <v>194</v>
      </c>
      <c r="C1269" s="87" t="s">
        <v>2838</v>
      </c>
      <c r="D1269" s="59">
        <v>44887</v>
      </c>
      <c r="E1269" s="19" t="s">
        <v>4825</v>
      </c>
      <c r="F1269" s="6" t="s">
        <v>4826</v>
      </c>
      <c r="G1269" s="6" t="s">
        <v>3313</v>
      </c>
      <c r="H1269" s="6" t="s">
        <v>3292</v>
      </c>
    </row>
    <row r="1270" spans="1:8" ht="12.75">
      <c r="A1270" s="18">
        <v>2022</v>
      </c>
      <c r="B1270" s="18">
        <v>194</v>
      </c>
      <c r="C1270" s="87" t="s">
        <v>2838</v>
      </c>
      <c r="D1270" s="59">
        <v>44887</v>
      </c>
      <c r="E1270" s="19" t="s">
        <v>3846</v>
      </c>
      <c r="F1270" s="6" t="s">
        <v>3355</v>
      </c>
      <c r="G1270" s="6" t="s">
        <v>3313</v>
      </c>
      <c r="H1270" s="6" t="s">
        <v>3292</v>
      </c>
    </row>
    <row r="1271" spans="1:8" ht="12.75">
      <c r="A1271" s="18">
        <v>2022</v>
      </c>
      <c r="B1271" s="18">
        <v>196</v>
      </c>
      <c r="C1271" s="87" t="s">
        <v>2011</v>
      </c>
      <c r="D1271" s="59">
        <v>44889</v>
      </c>
      <c r="E1271" s="19" t="s">
        <v>4827</v>
      </c>
      <c r="F1271" s="6" t="s">
        <v>3302</v>
      </c>
      <c r="G1271" s="6" t="s">
        <v>3309</v>
      </c>
      <c r="H1271" s="6" t="s">
        <v>3292</v>
      </c>
    </row>
    <row r="1272" spans="1:8" ht="12.75">
      <c r="A1272" s="18">
        <v>2022</v>
      </c>
      <c r="B1272" s="18">
        <v>196</v>
      </c>
      <c r="C1272" s="87" t="s">
        <v>2011</v>
      </c>
      <c r="D1272" s="59">
        <v>44889</v>
      </c>
      <c r="E1272" s="19" t="s">
        <v>4828</v>
      </c>
      <c r="F1272" s="6" t="s">
        <v>4829</v>
      </c>
      <c r="G1272" s="6" t="s">
        <v>3309</v>
      </c>
      <c r="H1272" s="6" t="s">
        <v>3292</v>
      </c>
    </row>
    <row r="1273" spans="1:8" ht="12.75">
      <c r="A1273" s="18">
        <v>2022</v>
      </c>
      <c r="B1273" s="18">
        <v>196</v>
      </c>
      <c r="C1273" s="87" t="s">
        <v>2011</v>
      </c>
      <c r="D1273" s="59">
        <v>44889</v>
      </c>
      <c r="E1273" s="19" t="s">
        <v>4830</v>
      </c>
      <c r="F1273" s="6" t="s">
        <v>4831</v>
      </c>
      <c r="G1273" s="6" t="s">
        <v>3309</v>
      </c>
      <c r="H1273" s="6" t="s">
        <v>3292</v>
      </c>
    </row>
    <row r="1274" spans="1:8" ht="12.75">
      <c r="A1274" s="18">
        <v>2022</v>
      </c>
      <c r="B1274" s="18">
        <v>196</v>
      </c>
      <c r="C1274" s="87" t="s">
        <v>2011</v>
      </c>
      <c r="D1274" s="59">
        <v>44889</v>
      </c>
      <c r="E1274" s="19" t="s">
        <v>4832</v>
      </c>
      <c r="F1274" s="6" t="s">
        <v>4833</v>
      </c>
      <c r="G1274" s="6" t="s">
        <v>3309</v>
      </c>
      <c r="H1274" s="6" t="s">
        <v>3292</v>
      </c>
    </row>
    <row r="1275" spans="1:8" ht="12.75">
      <c r="A1275" s="18">
        <v>2022</v>
      </c>
      <c r="B1275" s="18">
        <v>196</v>
      </c>
      <c r="C1275" s="87" t="s">
        <v>2011</v>
      </c>
      <c r="D1275" s="59">
        <v>44889</v>
      </c>
      <c r="E1275" s="19" t="s">
        <v>4735</v>
      </c>
      <c r="F1275" s="6" t="s">
        <v>3854</v>
      </c>
      <c r="G1275" s="6" t="s">
        <v>3309</v>
      </c>
      <c r="H1275" s="6" t="s">
        <v>3292</v>
      </c>
    </row>
    <row r="1276" spans="1:8" ht="12.75">
      <c r="A1276" s="18">
        <v>2022</v>
      </c>
      <c r="B1276" s="18">
        <v>196</v>
      </c>
      <c r="C1276" s="87" t="s">
        <v>2011</v>
      </c>
      <c r="D1276" s="59">
        <v>44889</v>
      </c>
      <c r="E1276" s="19" t="s">
        <v>4834</v>
      </c>
      <c r="F1276" s="6" t="s">
        <v>4835</v>
      </c>
      <c r="G1276" s="6" t="s">
        <v>3309</v>
      </c>
      <c r="H1276" s="6" t="s">
        <v>3292</v>
      </c>
    </row>
    <row r="1277" spans="1:8" ht="12.75">
      <c r="A1277" s="18">
        <v>2022</v>
      </c>
      <c r="B1277" s="18">
        <v>196</v>
      </c>
      <c r="C1277" s="87" t="s">
        <v>2011</v>
      </c>
      <c r="D1277" s="59">
        <v>44889</v>
      </c>
      <c r="E1277" s="19" t="s">
        <v>4003</v>
      </c>
      <c r="F1277" s="6" t="s">
        <v>4004</v>
      </c>
      <c r="G1277" s="6" t="s">
        <v>3309</v>
      </c>
      <c r="H1277" s="6" t="s">
        <v>3292</v>
      </c>
    </row>
    <row r="1278" spans="1:8" ht="12.75">
      <c r="A1278" s="18">
        <v>2022</v>
      </c>
      <c r="B1278" s="18">
        <v>196</v>
      </c>
      <c r="C1278" s="87" t="s">
        <v>2011</v>
      </c>
      <c r="D1278" s="59">
        <v>44889</v>
      </c>
      <c r="E1278" s="19" t="s">
        <v>4836</v>
      </c>
      <c r="F1278" s="6" t="s">
        <v>4837</v>
      </c>
      <c r="G1278" s="6" t="s">
        <v>3309</v>
      </c>
      <c r="H1278" s="6" t="s">
        <v>3292</v>
      </c>
    </row>
    <row r="1279" spans="1:8" ht="12.75">
      <c r="A1279" s="18">
        <v>2022</v>
      </c>
      <c r="B1279" s="18">
        <v>196</v>
      </c>
      <c r="C1279" s="87" t="s">
        <v>2011</v>
      </c>
      <c r="D1279" s="59">
        <v>44889</v>
      </c>
      <c r="E1279" s="19" t="s">
        <v>4754</v>
      </c>
      <c r="F1279" s="6" t="s">
        <v>4755</v>
      </c>
      <c r="G1279" s="6" t="s">
        <v>3309</v>
      </c>
      <c r="H1279" s="6" t="s">
        <v>3292</v>
      </c>
    </row>
    <row r="1280" spans="1:8" ht="12.75">
      <c r="A1280" s="18">
        <v>2022</v>
      </c>
      <c r="B1280" s="18">
        <v>196</v>
      </c>
      <c r="C1280" s="87" t="s">
        <v>2011</v>
      </c>
      <c r="D1280" s="59">
        <v>44889</v>
      </c>
      <c r="E1280" s="19" t="s">
        <v>4838</v>
      </c>
      <c r="F1280" s="6" t="s">
        <v>4839</v>
      </c>
      <c r="G1280" s="6" t="s">
        <v>3309</v>
      </c>
      <c r="H1280" s="6" t="s">
        <v>3292</v>
      </c>
    </row>
    <row r="1281" spans="1:8" ht="12.75">
      <c r="A1281" s="18">
        <v>2022</v>
      </c>
      <c r="B1281" s="18">
        <v>196</v>
      </c>
      <c r="C1281" s="87" t="s">
        <v>2011</v>
      </c>
      <c r="D1281" s="59">
        <v>44889</v>
      </c>
      <c r="E1281" s="19" t="s">
        <v>4840</v>
      </c>
      <c r="F1281" s="6" t="s">
        <v>4841</v>
      </c>
      <c r="G1281" s="6" t="s">
        <v>3309</v>
      </c>
      <c r="H1281" s="6" t="s">
        <v>3292</v>
      </c>
    </row>
    <row r="1282" spans="1:8" ht="12.75">
      <c r="A1282" s="18">
        <v>2022</v>
      </c>
      <c r="B1282" s="18">
        <v>196</v>
      </c>
      <c r="C1282" s="87" t="s">
        <v>2011</v>
      </c>
      <c r="D1282" s="59">
        <v>44889</v>
      </c>
      <c r="E1282" s="19" t="s">
        <v>3998</v>
      </c>
      <c r="F1282" s="6" t="s">
        <v>3999</v>
      </c>
      <c r="G1282" s="6" t="s">
        <v>3309</v>
      </c>
      <c r="H1282" s="6" t="s">
        <v>3292</v>
      </c>
    </row>
    <row r="1283" spans="1:8" ht="12.75">
      <c r="A1283" s="18">
        <v>2022</v>
      </c>
      <c r="B1283" s="18">
        <v>196</v>
      </c>
      <c r="C1283" s="87" t="s">
        <v>2011</v>
      </c>
      <c r="D1283" s="59">
        <v>44889</v>
      </c>
      <c r="E1283" s="19" t="s">
        <v>4842</v>
      </c>
      <c r="F1283" s="6" t="s">
        <v>4843</v>
      </c>
      <c r="G1283" s="6" t="s">
        <v>3309</v>
      </c>
      <c r="H1283" s="6" t="s">
        <v>3292</v>
      </c>
    </row>
    <row r="1284" spans="1:8" ht="12.75">
      <c r="A1284" s="18">
        <v>2022</v>
      </c>
      <c r="B1284" s="18">
        <v>196</v>
      </c>
      <c r="C1284" s="87" t="s">
        <v>2011</v>
      </c>
      <c r="D1284" s="59">
        <v>44889</v>
      </c>
      <c r="E1284" s="19" t="s">
        <v>4844</v>
      </c>
      <c r="F1284" s="6" t="s">
        <v>4845</v>
      </c>
      <c r="G1284" s="6" t="s">
        <v>3309</v>
      </c>
      <c r="H1284" s="6" t="s">
        <v>3292</v>
      </c>
    </row>
    <row r="1285" spans="1:8" ht="12.75">
      <c r="A1285" s="18">
        <v>2022</v>
      </c>
      <c r="B1285" s="18">
        <v>196</v>
      </c>
      <c r="C1285" s="87" t="s">
        <v>2011</v>
      </c>
      <c r="D1285" s="59">
        <v>44889</v>
      </c>
      <c r="E1285" s="19" t="s">
        <v>4143</v>
      </c>
      <c r="F1285" s="6" t="s">
        <v>4144</v>
      </c>
      <c r="G1285" s="6" t="s">
        <v>3309</v>
      </c>
      <c r="H1285" s="6" t="s">
        <v>3292</v>
      </c>
    </row>
    <row r="1286" spans="1:8" ht="12.75">
      <c r="A1286" s="18">
        <v>2022</v>
      </c>
      <c r="B1286" s="18">
        <v>196</v>
      </c>
      <c r="C1286" s="87" t="s">
        <v>2011</v>
      </c>
      <c r="D1286" s="59">
        <v>44889</v>
      </c>
      <c r="E1286" s="19" t="s">
        <v>4145</v>
      </c>
      <c r="F1286" s="6" t="s">
        <v>4146</v>
      </c>
      <c r="G1286" s="6" t="s">
        <v>3309</v>
      </c>
      <c r="H1286" s="6" t="s">
        <v>3292</v>
      </c>
    </row>
    <row r="1287" spans="1:8" ht="12.75">
      <c r="A1287" s="18">
        <v>2022</v>
      </c>
      <c r="B1287" s="18">
        <v>196</v>
      </c>
      <c r="C1287" s="87" t="s">
        <v>2011</v>
      </c>
      <c r="D1287" s="59">
        <v>44889</v>
      </c>
      <c r="E1287" s="19" t="s">
        <v>4846</v>
      </c>
      <c r="F1287" s="6" t="s">
        <v>4847</v>
      </c>
      <c r="G1287" s="6" t="s">
        <v>3309</v>
      </c>
      <c r="H1287" s="6" t="s">
        <v>3292</v>
      </c>
    </row>
    <row r="1288" spans="1:8" ht="12.75">
      <c r="A1288" s="18">
        <v>2022</v>
      </c>
      <c r="B1288" s="18">
        <v>196</v>
      </c>
      <c r="C1288" s="87" t="s">
        <v>2011</v>
      </c>
      <c r="D1288" s="59">
        <v>44889</v>
      </c>
      <c r="E1288" s="19" t="s">
        <v>4848</v>
      </c>
      <c r="F1288" s="6" t="s">
        <v>4849</v>
      </c>
      <c r="G1288" s="6" t="s">
        <v>3309</v>
      </c>
      <c r="H1288" s="6" t="s">
        <v>3292</v>
      </c>
    </row>
    <row r="1289" spans="1:8" ht="12.75">
      <c r="A1289" s="18">
        <v>2022</v>
      </c>
      <c r="B1289" s="18">
        <v>196</v>
      </c>
      <c r="C1289" s="87" t="s">
        <v>2011</v>
      </c>
      <c r="D1289" s="59">
        <v>44889</v>
      </c>
      <c r="E1289" s="19" t="s">
        <v>3332</v>
      </c>
      <c r="F1289" s="6" t="s">
        <v>4850</v>
      </c>
      <c r="G1289" s="6" t="s">
        <v>3309</v>
      </c>
      <c r="H1289" s="6" t="s">
        <v>3292</v>
      </c>
    </row>
    <row r="1290" spans="1:8" ht="12.75">
      <c r="A1290" s="18">
        <v>2022</v>
      </c>
      <c r="B1290" s="18">
        <v>196</v>
      </c>
      <c r="C1290" s="87" t="s">
        <v>2011</v>
      </c>
      <c r="D1290" s="59">
        <v>44889</v>
      </c>
      <c r="E1290" s="19" t="s">
        <v>4851</v>
      </c>
      <c r="F1290" s="6" t="s">
        <v>4852</v>
      </c>
      <c r="G1290" s="6" t="s">
        <v>3309</v>
      </c>
      <c r="H1290" s="6" t="s">
        <v>3292</v>
      </c>
    </row>
    <row r="1291" spans="1:8" ht="12.75">
      <c r="A1291" s="18">
        <v>2022</v>
      </c>
      <c r="B1291" s="18">
        <v>196</v>
      </c>
      <c r="C1291" s="87" t="s">
        <v>2011</v>
      </c>
      <c r="D1291" s="59">
        <v>44889</v>
      </c>
      <c r="E1291" s="19" t="s">
        <v>4853</v>
      </c>
      <c r="F1291" s="6" t="s">
        <v>4854</v>
      </c>
      <c r="G1291" s="6" t="s">
        <v>3309</v>
      </c>
      <c r="H1291" s="6" t="s">
        <v>3292</v>
      </c>
    </row>
    <row r="1292" spans="1:8" ht="12.75">
      <c r="A1292" s="18">
        <v>2022</v>
      </c>
      <c r="B1292" s="18">
        <v>196</v>
      </c>
      <c r="C1292" s="87" t="s">
        <v>2011</v>
      </c>
      <c r="D1292" s="59">
        <v>44889</v>
      </c>
      <c r="E1292" s="19" t="s">
        <v>3324</v>
      </c>
      <c r="F1292" s="6" t="s">
        <v>3302</v>
      </c>
      <c r="G1292" s="6" t="s">
        <v>3325</v>
      </c>
      <c r="H1292" s="6" t="s">
        <v>3292</v>
      </c>
    </row>
    <row r="1293" spans="1:8" ht="12.75">
      <c r="A1293" s="18">
        <v>2022</v>
      </c>
      <c r="B1293" s="18">
        <v>196</v>
      </c>
      <c r="C1293" s="87" t="s">
        <v>2011</v>
      </c>
      <c r="D1293" s="59">
        <v>44889</v>
      </c>
      <c r="E1293" s="19" t="s">
        <v>3703</v>
      </c>
      <c r="F1293" s="6" t="s">
        <v>3704</v>
      </c>
      <c r="G1293" s="6" t="s">
        <v>3325</v>
      </c>
      <c r="H1293" s="6" t="s">
        <v>3292</v>
      </c>
    </row>
    <row r="1294" spans="1:8" ht="12.75">
      <c r="A1294" s="18">
        <v>2022</v>
      </c>
      <c r="B1294" s="18">
        <v>196</v>
      </c>
      <c r="C1294" s="87" t="s">
        <v>2011</v>
      </c>
      <c r="D1294" s="59">
        <v>44889</v>
      </c>
      <c r="E1294" s="19" t="s">
        <v>4855</v>
      </c>
      <c r="F1294" s="6" t="s">
        <v>4856</v>
      </c>
      <c r="G1294" s="6" t="s">
        <v>3325</v>
      </c>
      <c r="H1294" s="6" t="s">
        <v>3292</v>
      </c>
    </row>
    <row r="1295" spans="1:8" ht="12.75">
      <c r="A1295" s="18">
        <v>2022</v>
      </c>
      <c r="B1295" s="18">
        <v>196</v>
      </c>
      <c r="C1295" s="87" t="s">
        <v>2011</v>
      </c>
      <c r="D1295" s="59">
        <v>44889</v>
      </c>
      <c r="E1295" s="19" t="s">
        <v>4857</v>
      </c>
      <c r="F1295" s="6" t="s">
        <v>4858</v>
      </c>
      <c r="G1295" s="6" t="s">
        <v>3325</v>
      </c>
      <c r="H1295" s="6" t="s">
        <v>3292</v>
      </c>
    </row>
    <row r="1296" spans="1:8" ht="12.75">
      <c r="A1296" s="18">
        <v>2022</v>
      </c>
      <c r="B1296" s="18">
        <v>196</v>
      </c>
      <c r="C1296" s="87" t="s">
        <v>2011</v>
      </c>
      <c r="D1296" s="59">
        <v>44889</v>
      </c>
      <c r="E1296" s="19" t="s">
        <v>4288</v>
      </c>
      <c r="F1296" s="6" t="s">
        <v>4289</v>
      </c>
      <c r="G1296" s="6" t="s">
        <v>3325</v>
      </c>
      <c r="H1296" s="6" t="s">
        <v>3292</v>
      </c>
    </row>
    <row r="1297" spans="1:8" ht="12.75">
      <c r="A1297" s="18">
        <v>2022</v>
      </c>
      <c r="B1297" s="18">
        <v>196</v>
      </c>
      <c r="C1297" s="87" t="s">
        <v>2011</v>
      </c>
      <c r="D1297" s="59">
        <v>44889</v>
      </c>
      <c r="E1297" s="19" t="s">
        <v>4859</v>
      </c>
      <c r="F1297" s="6" t="s">
        <v>3554</v>
      </c>
      <c r="G1297" s="6" t="s">
        <v>3325</v>
      </c>
      <c r="H1297" s="6" t="s">
        <v>3292</v>
      </c>
    </row>
    <row r="1298" spans="1:8" ht="12.75">
      <c r="A1298" s="18">
        <v>2022</v>
      </c>
      <c r="B1298" s="18">
        <v>196</v>
      </c>
      <c r="C1298" s="87" t="s">
        <v>2011</v>
      </c>
      <c r="D1298" s="59">
        <v>44889</v>
      </c>
      <c r="E1298" s="19" t="s">
        <v>4860</v>
      </c>
      <c r="F1298" s="6" t="s">
        <v>4861</v>
      </c>
      <c r="G1298" s="6" t="s">
        <v>3325</v>
      </c>
      <c r="H1298" s="6" t="s">
        <v>3292</v>
      </c>
    </row>
    <row r="1299" spans="1:8" ht="12.75">
      <c r="A1299" s="18">
        <v>2022</v>
      </c>
      <c r="B1299" s="18">
        <v>196</v>
      </c>
      <c r="C1299" s="87" t="s">
        <v>2011</v>
      </c>
      <c r="D1299" s="59">
        <v>44889</v>
      </c>
      <c r="E1299" s="19" t="s">
        <v>4862</v>
      </c>
      <c r="F1299" s="6" t="s">
        <v>4659</v>
      </c>
      <c r="G1299" s="6" t="s">
        <v>3325</v>
      </c>
      <c r="H1299" s="6" t="s">
        <v>3292</v>
      </c>
    </row>
    <row r="1300" spans="1:8" ht="12.75">
      <c r="A1300" s="18">
        <v>2022</v>
      </c>
      <c r="B1300" s="18">
        <v>196</v>
      </c>
      <c r="C1300" s="87" t="s">
        <v>2011</v>
      </c>
      <c r="D1300" s="59">
        <v>44889</v>
      </c>
      <c r="E1300" s="19" t="s">
        <v>4863</v>
      </c>
      <c r="F1300" s="6" t="s">
        <v>4864</v>
      </c>
      <c r="G1300" s="6" t="s">
        <v>3325</v>
      </c>
      <c r="H1300" s="6" t="s">
        <v>3292</v>
      </c>
    </row>
    <row r="1301" spans="1:8" ht="12.75">
      <c r="A1301" s="18">
        <v>2022</v>
      </c>
      <c r="B1301" s="18">
        <v>196</v>
      </c>
      <c r="C1301" s="87" t="s">
        <v>2011</v>
      </c>
      <c r="D1301" s="59">
        <v>44889</v>
      </c>
      <c r="E1301" s="19" t="s">
        <v>4865</v>
      </c>
      <c r="F1301" s="6" t="s">
        <v>3302</v>
      </c>
      <c r="G1301" s="6" t="s">
        <v>3353</v>
      </c>
      <c r="H1301" s="6" t="s">
        <v>3292</v>
      </c>
    </row>
    <row r="1302" spans="1:8" ht="12.75">
      <c r="A1302" s="18">
        <v>2022</v>
      </c>
      <c r="B1302" s="18">
        <v>196</v>
      </c>
      <c r="C1302" s="87" t="s">
        <v>2011</v>
      </c>
      <c r="D1302" s="59">
        <v>44889</v>
      </c>
      <c r="E1302" s="19" t="s">
        <v>4866</v>
      </c>
      <c r="F1302" s="6" t="s">
        <v>4867</v>
      </c>
      <c r="G1302" s="6" t="s">
        <v>3353</v>
      </c>
      <c r="H1302" s="6" t="s">
        <v>3292</v>
      </c>
    </row>
    <row r="1303" spans="1:8" ht="12.75">
      <c r="A1303" s="18">
        <v>2022</v>
      </c>
      <c r="B1303" s="18">
        <v>196</v>
      </c>
      <c r="C1303" s="87" t="s">
        <v>2011</v>
      </c>
      <c r="D1303" s="59">
        <v>44889</v>
      </c>
      <c r="E1303" s="19" t="s">
        <v>4868</v>
      </c>
      <c r="F1303" s="6" t="s">
        <v>4869</v>
      </c>
      <c r="G1303" s="6" t="s">
        <v>3353</v>
      </c>
      <c r="H1303" s="6" t="s">
        <v>3292</v>
      </c>
    </row>
    <row r="1304" spans="1:8" ht="12.75">
      <c r="A1304" s="18">
        <v>2022</v>
      </c>
      <c r="B1304" s="18">
        <v>198</v>
      </c>
      <c r="C1304" s="87" t="s">
        <v>2011</v>
      </c>
      <c r="D1304" s="59">
        <v>44894</v>
      </c>
      <c r="E1304" s="19" t="s">
        <v>4389</v>
      </c>
      <c r="F1304" s="6" t="s">
        <v>3302</v>
      </c>
      <c r="G1304" s="6" t="s">
        <v>3432</v>
      </c>
      <c r="H1304" s="6" t="s">
        <v>3292</v>
      </c>
    </row>
    <row r="1305" spans="1:8" ht="12.75">
      <c r="A1305" s="18">
        <v>2022</v>
      </c>
      <c r="B1305" s="18">
        <v>198</v>
      </c>
      <c r="C1305" s="87" t="s">
        <v>2011</v>
      </c>
      <c r="D1305" s="59">
        <v>44894</v>
      </c>
      <c r="E1305" s="19" t="s">
        <v>4870</v>
      </c>
      <c r="F1305" s="6" t="s">
        <v>4871</v>
      </c>
      <c r="G1305" s="6" t="s">
        <v>3432</v>
      </c>
      <c r="H1305" s="6" t="s">
        <v>3292</v>
      </c>
    </row>
    <row r="1306" spans="1:8" ht="12.75">
      <c r="A1306" s="18">
        <v>2022</v>
      </c>
      <c r="B1306" s="18">
        <v>198</v>
      </c>
      <c r="C1306" s="87" t="s">
        <v>2011</v>
      </c>
      <c r="D1306" s="59">
        <v>44894</v>
      </c>
      <c r="E1306" s="19" t="s">
        <v>4785</v>
      </c>
      <c r="F1306" s="6" t="s">
        <v>4786</v>
      </c>
      <c r="G1306" s="6" t="s">
        <v>3309</v>
      </c>
      <c r="H1306" s="6" t="s">
        <v>3292</v>
      </c>
    </row>
    <row r="1307" spans="1:8" ht="12.75">
      <c r="A1307" s="18">
        <v>2022</v>
      </c>
      <c r="B1307" s="18">
        <v>198</v>
      </c>
      <c r="C1307" s="87" t="s">
        <v>2011</v>
      </c>
      <c r="D1307" s="59">
        <v>44894</v>
      </c>
      <c r="E1307" s="19" t="s">
        <v>4872</v>
      </c>
      <c r="F1307" s="6" t="s">
        <v>4873</v>
      </c>
      <c r="G1307" s="6" t="s">
        <v>3432</v>
      </c>
      <c r="H1307" s="6" t="s">
        <v>3292</v>
      </c>
    </row>
    <row r="1308" spans="1:8" ht="12.75">
      <c r="A1308" s="18">
        <v>2022</v>
      </c>
      <c r="B1308" s="18">
        <v>198</v>
      </c>
      <c r="C1308" s="87" t="s">
        <v>2011</v>
      </c>
      <c r="D1308" s="59">
        <v>44894</v>
      </c>
      <c r="E1308" s="19" t="s">
        <v>3430</v>
      </c>
      <c r="F1308" s="6" t="s">
        <v>3431</v>
      </c>
      <c r="G1308" s="6" t="s">
        <v>3432</v>
      </c>
      <c r="H1308" s="6" t="s">
        <v>3292</v>
      </c>
    </row>
    <row r="1309" spans="1:8" ht="12.75">
      <c r="A1309" s="18">
        <v>2022</v>
      </c>
      <c r="B1309" s="18">
        <v>198</v>
      </c>
      <c r="C1309" s="87" t="s">
        <v>2011</v>
      </c>
      <c r="D1309" s="59">
        <v>44894</v>
      </c>
      <c r="E1309" s="19" t="s">
        <v>3735</v>
      </c>
      <c r="F1309" s="6" t="s">
        <v>3302</v>
      </c>
      <c r="G1309" s="6" t="s">
        <v>3720</v>
      </c>
      <c r="H1309" s="6" t="s">
        <v>3292</v>
      </c>
    </row>
    <row r="1310" spans="1:8" ht="12.75">
      <c r="A1310" s="18">
        <v>2022</v>
      </c>
      <c r="B1310" s="18">
        <v>198</v>
      </c>
      <c r="C1310" s="87" t="s">
        <v>2011</v>
      </c>
      <c r="D1310" s="59">
        <v>44894</v>
      </c>
      <c r="E1310" s="19" t="s">
        <v>4325</v>
      </c>
      <c r="F1310" s="6" t="s">
        <v>4461</v>
      </c>
      <c r="G1310" s="6" t="s">
        <v>3720</v>
      </c>
      <c r="H1310" s="6" t="s">
        <v>3292</v>
      </c>
    </row>
    <row r="1311" spans="1:8" ht="12.75">
      <c r="A1311" s="18">
        <v>2022</v>
      </c>
      <c r="B1311" s="18">
        <v>198</v>
      </c>
      <c r="C1311" s="87" t="s">
        <v>2011</v>
      </c>
      <c r="D1311" s="59">
        <v>44894</v>
      </c>
      <c r="E1311" s="19" t="s">
        <v>4874</v>
      </c>
      <c r="F1311" s="6" t="s">
        <v>4460</v>
      </c>
      <c r="G1311" s="6" t="s">
        <v>3720</v>
      </c>
      <c r="H1311" s="6" t="s">
        <v>3292</v>
      </c>
    </row>
    <row r="1312" spans="1:8" ht="12.75">
      <c r="A1312" s="18">
        <v>2022</v>
      </c>
      <c r="B1312" s="18">
        <v>198</v>
      </c>
      <c r="C1312" s="87" t="s">
        <v>2011</v>
      </c>
      <c r="D1312" s="59">
        <v>44894</v>
      </c>
      <c r="E1312" s="19" t="s">
        <v>4457</v>
      </c>
      <c r="F1312" s="6" t="s">
        <v>4458</v>
      </c>
      <c r="G1312" s="6" t="s">
        <v>3720</v>
      </c>
      <c r="H1312" s="6" t="s">
        <v>3292</v>
      </c>
    </row>
    <row r="1313" spans="1:8" ht="12.75">
      <c r="A1313" s="18">
        <v>2022</v>
      </c>
      <c r="B1313" s="18">
        <v>198</v>
      </c>
      <c r="C1313" s="87" t="s">
        <v>2011</v>
      </c>
      <c r="D1313" s="59">
        <v>44894</v>
      </c>
      <c r="E1313" s="19" t="s">
        <v>4875</v>
      </c>
      <c r="F1313" s="6" t="s">
        <v>4876</v>
      </c>
      <c r="G1313" s="6" t="s">
        <v>3720</v>
      </c>
      <c r="H1313" s="6" t="s">
        <v>3292</v>
      </c>
    </row>
    <row r="1314" spans="1:8" ht="12.75">
      <c r="A1314" s="18">
        <v>2022</v>
      </c>
      <c r="B1314" s="18">
        <v>198</v>
      </c>
      <c r="C1314" s="87" t="s">
        <v>2011</v>
      </c>
      <c r="D1314" s="59">
        <v>44894</v>
      </c>
      <c r="E1314" s="19" t="s">
        <v>4877</v>
      </c>
      <c r="F1314" s="6" t="s">
        <v>4878</v>
      </c>
      <c r="G1314" s="6" t="s">
        <v>3720</v>
      </c>
      <c r="H1314" s="6" t="s">
        <v>3292</v>
      </c>
    </row>
    <row r="1315" spans="1:8" ht="12.75">
      <c r="A1315" s="18">
        <v>2022</v>
      </c>
      <c r="B1315" s="18">
        <v>198</v>
      </c>
      <c r="C1315" s="87" t="s">
        <v>2011</v>
      </c>
      <c r="D1315" s="59">
        <v>44894</v>
      </c>
      <c r="E1315" s="19" t="s">
        <v>4879</v>
      </c>
      <c r="F1315" s="6" t="s">
        <v>4880</v>
      </c>
      <c r="G1315" s="6" t="s">
        <v>3720</v>
      </c>
      <c r="H1315" s="6" t="s">
        <v>3292</v>
      </c>
    </row>
    <row r="1316" spans="1:8" ht="12.75">
      <c r="A1316" s="18">
        <v>2022</v>
      </c>
      <c r="B1316" s="18">
        <v>198</v>
      </c>
      <c r="C1316" s="87" t="s">
        <v>2011</v>
      </c>
      <c r="D1316" s="59">
        <v>44894</v>
      </c>
      <c r="E1316" s="19" t="s">
        <v>4881</v>
      </c>
      <c r="F1316" s="6" t="s">
        <v>4882</v>
      </c>
      <c r="G1316" s="6" t="s">
        <v>3720</v>
      </c>
      <c r="H1316" s="6" t="s">
        <v>3292</v>
      </c>
    </row>
    <row r="1317" spans="1:8" ht="12.75">
      <c r="A1317" s="18">
        <v>2022</v>
      </c>
      <c r="B1317" s="18">
        <v>198</v>
      </c>
      <c r="C1317" s="87" t="s">
        <v>2011</v>
      </c>
      <c r="D1317" s="59">
        <v>44894</v>
      </c>
      <c r="E1317" s="19" t="s">
        <v>4883</v>
      </c>
      <c r="F1317" s="6" t="s">
        <v>4884</v>
      </c>
      <c r="G1317" s="6" t="s">
        <v>3720</v>
      </c>
      <c r="H1317" s="6" t="s">
        <v>3292</v>
      </c>
    </row>
    <row r="1318" spans="1:8" ht="12.75">
      <c r="A1318" s="18">
        <v>2022</v>
      </c>
      <c r="B1318" s="18">
        <v>198</v>
      </c>
      <c r="C1318" s="87" t="s">
        <v>2011</v>
      </c>
      <c r="D1318" s="59">
        <v>44894</v>
      </c>
      <c r="E1318" s="19" t="s">
        <v>4327</v>
      </c>
      <c r="F1318" s="6" t="s">
        <v>4885</v>
      </c>
      <c r="G1318" s="6" t="s">
        <v>3720</v>
      </c>
      <c r="H1318" s="6" t="s">
        <v>3292</v>
      </c>
    </row>
    <row r="1319" spans="1:8" ht="12.75">
      <c r="A1319" s="18">
        <v>2022</v>
      </c>
      <c r="B1319" s="18">
        <v>203</v>
      </c>
      <c r="C1319" s="87" t="s">
        <v>47</v>
      </c>
      <c r="D1319" s="48">
        <v>44901</v>
      </c>
      <c r="E1319" s="19" t="s">
        <v>4886</v>
      </c>
      <c r="F1319" s="6" t="s">
        <v>4887</v>
      </c>
      <c r="G1319" s="6" t="s">
        <v>4502</v>
      </c>
      <c r="H1319" s="6" t="s">
        <v>3567</v>
      </c>
    </row>
    <row r="1320" spans="1:8" ht="12.75">
      <c r="A1320" s="18">
        <v>2022</v>
      </c>
      <c r="B1320" s="18">
        <v>203</v>
      </c>
      <c r="C1320" s="87" t="s">
        <v>47</v>
      </c>
      <c r="D1320" s="48">
        <v>44901</v>
      </c>
      <c r="E1320" s="19" t="s">
        <v>4888</v>
      </c>
      <c r="F1320" s="6" t="s">
        <v>4889</v>
      </c>
      <c r="G1320" s="6" t="s">
        <v>4502</v>
      </c>
      <c r="H1320" s="6" t="s">
        <v>3567</v>
      </c>
    </row>
    <row r="1321" spans="1:8" ht="12.75">
      <c r="A1321" s="18">
        <v>2022</v>
      </c>
      <c r="B1321" s="18">
        <v>204</v>
      </c>
      <c r="C1321" s="87" t="s">
        <v>2074</v>
      </c>
      <c r="D1321" s="48">
        <v>44902</v>
      </c>
      <c r="E1321" s="19" t="s">
        <v>4890</v>
      </c>
      <c r="F1321" s="6" t="s">
        <v>3302</v>
      </c>
      <c r="G1321" s="6" t="s">
        <v>3306</v>
      </c>
      <c r="H1321" s="6" t="s">
        <v>3292</v>
      </c>
    </row>
    <row r="1322" spans="1:8" ht="12.75">
      <c r="A1322" s="18">
        <v>2022</v>
      </c>
      <c r="B1322" s="18">
        <v>3</v>
      </c>
      <c r="C1322" s="87" t="s">
        <v>1980</v>
      </c>
      <c r="D1322" s="48">
        <v>44602</v>
      </c>
      <c r="E1322" s="19" t="s">
        <v>3544</v>
      </c>
      <c r="F1322" s="6" t="s">
        <v>4420</v>
      </c>
      <c r="G1322" s="6" t="s">
        <v>3546</v>
      </c>
      <c r="H1322" s="6" t="s">
        <v>3292</v>
      </c>
    </row>
    <row r="1323" spans="1:8" ht="12.75">
      <c r="A1323" s="18">
        <v>2022</v>
      </c>
      <c r="B1323" s="18">
        <v>3</v>
      </c>
      <c r="C1323" s="87" t="s">
        <v>1980</v>
      </c>
      <c r="D1323" s="48">
        <v>44602</v>
      </c>
      <c r="E1323" s="19" t="s">
        <v>4421</v>
      </c>
      <c r="F1323" s="6" t="s">
        <v>3548</v>
      </c>
      <c r="G1323" s="6" t="s">
        <v>3546</v>
      </c>
      <c r="H1323" s="6" t="s">
        <v>3292</v>
      </c>
    </row>
    <row r="1324" spans="1:8" ht="12.75">
      <c r="A1324" s="18">
        <v>2022</v>
      </c>
      <c r="B1324" s="18">
        <v>17</v>
      </c>
      <c r="C1324" s="87" t="s">
        <v>39</v>
      </c>
      <c r="D1324" s="48">
        <v>44628</v>
      </c>
      <c r="E1324" s="19" t="s">
        <v>3684</v>
      </c>
      <c r="F1324" s="6" t="s">
        <v>3302</v>
      </c>
      <c r="G1324" s="6" t="s">
        <v>3291</v>
      </c>
      <c r="H1324" s="6" t="s">
        <v>3292</v>
      </c>
    </row>
    <row r="1325" spans="1:8" ht="12.75">
      <c r="A1325" s="18">
        <v>2022</v>
      </c>
      <c r="B1325" s="18">
        <v>17</v>
      </c>
      <c r="C1325" s="87" t="s">
        <v>39</v>
      </c>
      <c r="D1325" s="48">
        <v>44628</v>
      </c>
      <c r="E1325" s="19" t="s">
        <v>4422</v>
      </c>
      <c r="F1325" s="6" t="s">
        <v>4423</v>
      </c>
      <c r="G1325" s="6" t="s">
        <v>3291</v>
      </c>
      <c r="H1325" s="6" t="s">
        <v>3292</v>
      </c>
    </row>
    <row r="1326" spans="1:8" ht="12.75">
      <c r="A1326" s="18">
        <v>2022</v>
      </c>
      <c r="B1326" s="18">
        <v>17</v>
      </c>
      <c r="C1326" s="87" t="s">
        <v>39</v>
      </c>
      <c r="D1326" s="48">
        <v>44628</v>
      </c>
      <c r="E1326" s="19" t="s">
        <v>4424</v>
      </c>
      <c r="F1326" s="6" t="s">
        <v>4425</v>
      </c>
      <c r="G1326" s="6" t="s">
        <v>3291</v>
      </c>
      <c r="H1326" s="6" t="s">
        <v>3292</v>
      </c>
    </row>
    <row r="1327" spans="1:8" ht="12.75">
      <c r="A1327" s="18">
        <v>2022</v>
      </c>
      <c r="B1327" s="18">
        <v>17</v>
      </c>
      <c r="C1327" s="87" t="s">
        <v>39</v>
      </c>
      <c r="D1327" s="48">
        <v>44628</v>
      </c>
      <c r="E1327" s="19" t="s">
        <v>3952</v>
      </c>
      <c r="F1327" s="6" t="s">
        <v>4426</v>
      </c>
      <c r="G1327" s="6" t="s">
        <v>3291</v>
      </c>
      <c r="H1327" s="6" t="s">
        <v>3292</v>
      </c>
    </row>
    <row r="1328" spans="1:8" ht="12.75">
      <c r="A1328" s="18">
        <v>2022</v>
      </c>
      <c r="B1328" s="18">
        <v>17</v>
      </c>
      <c r="C1328" s="87" t="s">
        <v>39</v>
      </c>
      <c r="D1328" s="48">
        <v>44628</v>
      </c>
      <c r="E1328" s="19" t="s">
        <v>4427</v>
      </c>
      <c r="F1328" s="6" t="s">
        <v>4428</v>
      </c>
      <c r="G1328" s="6" t="s">
        <v>3291</v>
      </c>
      <c r="H1328" s="6" t="s">
        <v>3292</v>
      </c>
    </row>
    <row r="1329" spans="1:8" ht="12.75">
      <c r="A1329" s="18">
        <v>2022</v>
      </c>
      <c r="B1329" s="18">
        <v>17</v>
      </c>
      <c r="C1329" s="87" t="s">
        <v>39</v>
      </c>
      <c r="D1329" s="48">
        <v>44628</v>
      </c>
      <c r="E1329" s="19" t="s">
        <v>3954</v>
      </c>
      <c r="F1329" s="6" t="s">
        <v>4429</v>
      </c>
      <c r="G1329" s="6" t="s">
        <v>3291</v>
      </c>
      <c r="H1329" s="6" t="s">
        <v>3292</v>
      </c>
    </row>
    <row r="1330" spans="1:8" ht="12.75">
      <c r="A1330" s="18">
        <v>2022</v>
      </c>
      <c r="B1330" s="18">
        <v>17</v>
      </c>
      <c r="C1330" s="87" t="s">
        <v>39</v>
      </c>
      <c r="D1330" s="48">
        <v>44628</v>
      </c>
      <c r="E1330" s="19" t="s">
        <v>4430</v>
      </c>
      <c r="F1330" s="6" t="s">
        <v>4431</v>
      </c>
      <c r="G1330" s="6" t="s">
        <v>3291</v>
      </c>
      <c r="H1330" s="6" t="s">
        <v>3292</v>
      </c>
    </row>
    <row r="1331" spans="1:8" ht="12.75">
      <c r="A1331" s="18">
        <v>2022</v>
      </c>
      <c r="B1331" s="18">
        <v>17</v>
      </c>
      <c r="C1331" s="87" t="s">
        <v>39</v>
      </c>
      <c r="D1331" s="48">
        <v>44628</v>
      </c>
      <c r="E1331" s="19" t="s">
        <v>3289</v>
      </c>
      <c r="F1331" s="6" t="s">
        <v>3290</v>
      </c>
      <c r="G1331" s="6" t="s">
        <v>3291</v>
      </c>
      <c r="H1331" s="6" t="s">
        <v>3292</v>
      </c>
    </row>
    <row r="1332" spans="1:8" ht="12.75">
      <c r="A1332" s="18">
        <v>2022</v>
      </c>
      <c r="B1332" s="18">
        <v>17</v>
      </c>
      <c r="C1332" s="87" t="s">
        <v>39</v>
      </c>
      <c r="D1332" s="48">
        <v>44628</v>
      </c>
      <c r="E1332" s="19" t="s">
        <v>4432</v>
      </c>
      <c r="F1332" s="6" t="s">
        <v>4433</v>
      </c>
      <c r="G1332" s="6" t="s">
        <v>3291</v>
      </c>
      <c r="H1332" s="6" t="s">
        <v>3292</v>
      </c>
    </row>
    <row r="1333" spans="1:8" ht="12.75">
      <c r="A1333" s="18">
        <v>2022</v>
      </c>
      <c r="B1333" s="18">
        <v>17</v>
      </c>
      <c r="C1333" s="87" t="s">
        <v>39</v>
      </c>
      <c r="D1333" s="48">
        <v>44628</v>
      </c>
      <c r="E1333" s="19" t="s">
        <v>4434</v>
      </c>
      <c r="F1333" s="6" t="s">
        <v>4435</v>
      </c>
      <c r="G1333" s="6" t="s">
        <v>3291</v>
      </c>
      <c r="H1333" s="6" t="s">
        <v>3292</v>
      </c>
    </row>
    <row r="1334" spans="1:8" ht="12.75">
      <c r="A1334" s="18">
        <v>2022</v>
      </c>
      <c r="B1334" s="18">
        <v>17</v>
      </c>
      <c r="C1334" s="87" t="s">
        <v>39</v>
      </c>
      <c r="D1334" s="48">
        <v>44628</v>
      </c>
      <c r="E1334" s="19" t="s">
        <v>4436</v>
      </c>
      <c r="F1334" s="6" t="s">
        <v>4437</v>
      </c>
      <c r="G1334" s="6" t="s">
        <v>3291</v>
      </c>
      <c r="H1334" s="6" t="s">
        <v>3292</v>
      </c>
    </row>
    <row r="1335" spans="1:8" ht="12.75">
      <c r="A1335" s="18">
        <v>2022</v>
      </c>
      <c r="B1335" s="18">
        <v>17</v>
      </c>
      <c r="C1335" s="87" t="s">
        <v>39</v>
      </c>
      <c r="D1335" s="48">
        <v>44628</v>
      </c>
      <c r="E1335" s="19" t="s">
        <v>3399</v>
      </c>
      <c r="F1335" s="6" t="s">
        <v>4438</v>
      </c>
      <c r="G1335" s="6" t="s">
        <v>3291</v>
      </c>
      <c r="H1335" s="6" t="s">
        <v>3292</v>
      </c>
    </row>
    <row r="1336" spans="1:8" ht="12.75">
      <c r="A1336" s="18">
        <v>2022</v>
      </c>
      <c r="B1336" s="18">
        <v>17</v>
      </c>
      <c r="C1336" s="87" t="s">
        <v>39</v>
      </c>
      <c r="D1336" s="48">
        <v>44628</v>
      </c>
      <c r="E1336" s="19" t="s">
        <v>4439</v>
      </c>
      <c r="F1336" s="6" t="s">
        <v>4440</v>
      </c>
      <c r="G1336" s="6" t="s">
        <v>3291</v>
      </c>
      <c r="H1336" s="6" t="s">
        <v>3292</v>
      </c>
    </row>
    <row r="1337" spans="1:8" ht="12.75">
      <c r="A1337" s="18">
        <v>2022</v>
      </c>
      <c r="B1337" s="18">
        <v>17</v>
      </c>
      <c r="C1337" s="87" t="s">
        <v>39</v>
      </c>
      <c r="D1337" s="48">
        <v>44628</v>
      </c>
      <c r="E1337" s="19" t="s">
        <v>4441</v>
      </c>
      <c r="F1337" s="6" t="s">
        <v>4442</v>
      </c>
      <c r="G1337" s="6" t="s">
        <v>3291</v>
      </c>
      <c r="H1337" s="6" t="s">
        <v>3292</v>
      </c>
    </row>
    <row r="1338" spans="1:8" ht="12.75">
      <c r="A1338" s="18">
        <v>2022</v>
      </c>
      <c r="B1338" s="18">
        <v>17</v>
      </c>
      <c r="C1338" s="87" t="s">
        <v>39</v>
      </c>
      <c r="D1338" s="48">
        <v>44628</v>
      </c>
      <c r="E1338" s="19" t="s">
        <v>4443</v>
      </c>
      <c r="F1338" s="6" t="s">
        <v>4444</v>
      </c>
      <c r="G1338" s="6" t="s">
        <v>3291</v>
      </c>
      <c r="H1338" s="6" t="s">
        <v>3292</v>
      </c>
    </row>
    <row r="1339" spans="1:8" ht="12.75">
      <c r="A1339" s="18">
        <v>2022</v>
      </c>
      <c r="B1339" s="18">
        <v>17</v>
      </c>
      <c r="C1339" s="87" t="s">
        <v>39</v>
      </c>
      <c r="D1339" s="48">
        <v>44628</v>
      </c>
      <c r="E1339" s="19" t="s">
        <v>4445</v>
      </c>
      <c r="F1339" s="6" t="s">
        <v>4446</v>
      </c>
      <c r="G1339" s="6" t="s">
        <v>3291</v>
      </c>
      <c r="H1339" s="6" t="s">
        <v>3292</v>
      </c>
    </row>
    <row r="1340" spans="1:8" ht="12.75">
      <c r="A1340" s="18">
        <v>2022</v>
      </c>
      <c r="B1340" s="18">
        <v>17</v>
      </c>
      <c r="C1340" s="87" t="s">
        <v>39</v>
      </c>
      <c r="D1340" s="48">
        <v>44628</v>
      </c>
      <c r="E1340" s="19" t="s">
        <v>4447</v>
      </c>
      <c r="F1340" s="6" t="s">
        <v>4152</v>
      </c>
      <c r="G1340" s="6" t="s">
        <v>3291</v>
      </c>
      <c r="H1340" s="6" t="s">
        <v>3292</v>
      </c>
    </row>
    <row r="1341" spans="1:8" ht="12.75">
      <c r="A1341" s="18">
        <v>2022</v>
      </c>
      <c r="B1341" s="18">
        <v>17</v>
      </c>
      <c r="C1341" s="87" t="s">
        <v>39</v>
      </c>
      <c r="D1341" s="48">
        <v>44628</v>
      </c>
      <c r="E1341" s="19" t="s">
        <v>3361</v>
      </c>
      <c r="F1341" s="6" t="s">
        <v>4448</v>
      </c>
      <c r="G1341" s="6" t="s">
        <v>3291</v>
      </c>
      <c r="H1341" s="6" t="s">
        <v>3292</v>
      </c>
    </row>
    <row r="1342" spans="1:8" ht="12.75">
      <c r="A1342" s="18">
        <v>2022</v>
      </c>
      <c r="B1342" s="18">
        <v>21</v>
      </c>
      <c r="C1342" s="87" t="s">
        <v>51</v>
      </c>
      <c r="D1342" s="48">
        <v>44630</v>
      </c>
      <c r="E1342" s="19" t="s">
        <v>3312</v>
      </c>
      <c r="F1342" s="6" t="s">
        <v>3302</v>
      </c>
      <c r="G1342" s="6" t="s">
        <v>3313</v>
      </c>
      <c r="H1342" s="6" t="s">
        <v>3292</v>
      </c>
    </row>
    <row r="1343" spans="1:8" ht="12.75">
      <c r="A1343" s="18">
        <v>2022</v>
      </c>
      <c r="B1343" s="18">
        <v>21</v>
      </c>
      <c r="C1343" s="87" t="s">
        <v>51</v>
      </c>
      <c r="D1343" s="48">
        <v>44630</v>
      </c>
      <c r="E1343" s="19" t="s">
        <v>3844</v>
      </c>
      <c r="F1343" s="6" t="s">
        <v>3845</v>
      </c>
      <c r="G1343" s="6" t="s">
        <v>3313</v>
      </c>
      <c r="H1343" s="6" t="s">
        <v>3292</v>
      </c>
    </row>
    <row r="1344" spans="1:8" ht="12.75">
      <c r="A1344" s="18">
        <v>2022</v>
      </c>
      <c r="B1344" s="18">
        <v>21</v>
      </c>
      <c r="C1344" s="87" t="s">
        <v>51</v>
      </c>
      <c r="D1344" s="48">
        <v>44630</v>
      </c>
      <c r="E1344" s="19" t="s">
        <v>3846</v>
      </c>
      <c r="F1344" s="6" t="s">
        <v>3355</v>
      </c>
      <c r="G1344" s="6" t="s">
        <v>3313</v>
      </c>
      <c r="H1344" s="6" t="s">
        <v>3292</v>
      </c>
    </row>
    <row r="1345" spans="1:8" ht="12.75">
      <c r="A1345" s="18">
        <v>2022</v>
      </c>
      <c r="B1345" s="18">
        <v>21</v>
      </c>
      <c r="C1345" s="87" t="s">
        <v>51</v>
      </c>
      <c r="D1345" s="48">
        <v>44630</v>
      </c>
      <c r="E1345" s="19" t="s">
        <v>4450</v>
      </c>
      <c r="F1345" s="6" t="s">
        <v>4451</v>
      </c>
      <c r="G1345" s="6" t="s">
        <v>3313</v>
      </c>
      <c r="H1345" s="6" t="s">
        <v>3292</v>
      </c>
    </row>
    <row r="1346" spans="1:8" ht="12.75">
      <c r="A1346" s="18">
        <v>2022</v>
      </c>
      <c r="B1346" s="18">
        <v>21</v>
      </c>
      <c r="C1346" s="87" t="s">
        <v>51</v>
      </c>
      <c r="D1346" s="48">
        <v>44630</v>
      </c>
      <c r="E1346" s="19" t="s">
        <v>4452</v>
      </c>
      <c r="F1346" s="6" t="s">
        <v>4453</v>
      </c>
      <c r="G1346" s="6" t="s">
        <v>3313</v>
      </c>
      <c r="H1346" s="6" t="s">
        <v>3292</v>
      </c>
    </row>
    <row r="1347" spans="1:8" ht="12.75">
      <c r="A1347" s="18">
        <v>2022</v>
      </c>
      <c r="B1347" s="18">
        <v>22</v>
      </c>
      <c r="C1347" s="87" t="s">
        <v>2064</v>
      </c>
      <c r="D1347" s="48">
        <v>44630</v>
      </c>
      <c r="E1347" s="19" t="s">
        <v>3361</v>
      </c>
      <c r="F1347" s="6" t="s">
        <v>4448</v>
      </c>
      <c r="G1347" s="6" t="s">
        <v>3291</v>
      </c>
      <c r="H1347" s="6" t="s">
        <v>3292</v>
      </c>
    </row>
    <row r="1348" spans="1:8" ht="12.75">
      <c r="A1348" s="18">
        <v>2022</v>
      </c>
      <c r="B1348" s="18">
        <v>24</v>
      </c>
      <c r="C1348" s="87" t="s">
        <v>2074</v>
      </c>
      <c r="D1348" s="48">
        <v>44635</v>
      </c>
      <c r="E1348" s="19" t="s">
        <v>4454</v>
      </c>
      <c r="F1348" s="6" t="s">
        <v>4455</v>
      </c>
      <c r="G1348" s="6" t="s">
        <v>3328</v>
      </c>
      <c r="H1348" s="6" t="s">
        <v>3292</v>
      </c>
    </row>
    <row r="1349" spans="1:8" ht="12.75">
      <c r="A1349" s="18">
        <v>2022</v>
      </c>
      <c r="B1349" s="18">
        <v>28</v>
      </c>
      <c r="C1349" s="87" t="s">
        <v>3644</v>
      </c>
      <c r="D1349" s="48">
        <v>44637</v>
      </c>
      <c r="E1349" s="19" t="s">
        <v>4456</v>
      </c>
      <c r="F1349" s="6" t="s">
        <v>3302</v>
      </c>
      <c r="G1349" s="6" t="s">
        <v>3720</v>
      </c>
      <c r="H1349" s="6" t="s">
        <v>3292</v>
      </c>
    </row>
    <row r="1350" spans="1:8" ht="12.75">
      <c r="A1350" s="18">
        <v>2022</v>
      </c>
      <c r="B1350" s="18">
        <v>28</v>
      </c>
      <c r="C1350" s="87" t="s">
        <v>3644</v>
      </c>
      <c r="D1350" s="48">
        <v>44637</v>
      </c>
      <c r="E1350" s="19" t="s">
        <v>4457</v>
      </c>
      <c r="F1350" s="6" t="s">
        <v>4458</v>
      </c>
      <c r="G1350" s="6" t="s">
        <v>3720</v>
      </c>
      <c r="H1350" s="6" t="s">
        <v>3292</v>
      </c>
    </row>
    <row r="1351" spans="1:8" ht="12.75">
      <c r="A1351" s="18">
        <v>2022</v>
      </c>
      <c r="B1351" s="18">
        <v>28</v>
      </c>
      <c r="C1351" s="87" t="s">
        <v>3644</v>
      </c>
      <c r="D1351" s="48">
        <v>44637</v>
      </c>
      <c r="E1351" s="19" t="s">
        <v>4459</v>
      </c>
      <c r="F1351" s="6" t="s">
        <v>4460</v>
      </c>
      <c r="G1351" s="6" t="s">
        <v>3720</v>
      </c>
      <c r="H1351" s="6" t="s">
        <v>3292</v>
      </c>
    </row>
    <row r="1352" spans="1:8" ht="12.75">
      <c r="A1352" s="18">
        <v>2022</v>
      </c>
      <c r="B1352" s="18">
        <v>28</v>
      </c>
      <c r="C1352" s="87" t="s">
        <v>3644</v>
      </c>
      <c r="D1352" s="48">
        <v>44637</v>
      </c>
      <c r="E1352" s="19" t="s">
        <v>4325</v>
      </c>
      <c r="F1352" s="6" t="s">
        <v>4461</v>
      </c>
      <c r="G1352" s="6" t="s">
        <v>3720</v>
      </c>
      <c r="H1352" s="6" t="s">
        <v>3292</v>
      </c>
    </row>
    <row r="1353" spans="1:8" ht="12.75">
      <c r="A1353" s="18">
        <v>2022</v>
      </c>
      <c r="B1353" s="18">
        <v>30</v>
      </c>
      <c r="C1353" s="87" t="s">
        <v>73</v>
      </c>
      <c r="D1353" s="48">
        <v>44637</v>
      </c>
      <c r="E1353" s="19" t="s">
        <v>4462</v>
      </c>
      <c r="F1353" s="6" t="s">
        <v>3305</v>
      </c>
      <c r="G1353" s="6" t="s">
        <v>3306</v>
      </c>
      <c r="H1353" s="6" t="s">
        <v>3292</v>
      </c>
    </row>
    <row r="1354" spans="1:8" ht="12.75">
      <c r="A1354" s="18">
        <v>2022</v>
      </c>
      <c r="B1354" s="18">
        <v>36</v>
      </c>
      <c r="C1354" s="87" t="s">
        <v>148</v>
      </c>
      <c r="D1354" s="48">
        <v>44651</v>
      </c>
      <c r="E1354" s="19" t="s">
        <v>3329</v>
      </c>
      <c r="F1354" s="6" t="s">
        <v>4463</v>
      </c>
      <c r="G1354" s="6" t="s">
        <v>3309</v>
      </c>
      <c r="H1354" s="6" t="s">
        <v>3292</v>
      </c>
    </row>
    <row r="1355" spans="1:8" ht="12.75">
      <c r="A1355" s="18">
        <v>2022</v>
      </c>
      <c r="B1355" s="18">
        <v>37</v>
      </c>
      <c r="C1355" s="87" t="s">
        <v>73</v>
      </c>
      <c r="D1355" s="48">
        <v>44651</v>
      </c>
      <c r="E1355" s="19" t="s">
        <v>3544</v>
      </c>
      <c r="F1355" s="6" t="s">
        <v>4420</v>
      </c>
      <c r="G1355" s="6" t="s">
        <v>3546</v>
      </c>
      <c r="H1355" s="6" t="s">
        <v>3292</v>
      </c>
    </row>
    <row r="1356" spans="1:8" ht="12.75">
      <c r="A1356" s="18">
        <v>2022</v>
      </c>
      <c r="B1356" s="18">
        <v>37</v>
      </c>
      <c r="C1356" s="87" t="s">
        <v>73</v>
      </c>
      <c r="D1356" s="48">
        <v>44651</v>
      </c>
      <c r="E1356" s="19" t="s">
        <v>4421</v>
      </c>
      <c r="F1356" s="6" t="s">
        <v>3548</v>
      </c>
      <c r="G1356" s="6" t="s">
        <v>3546</v>
      </c>
      <c r="H1356" s="6" t="s">
        <v>3292</v>
      </c>
    </row>
    <row r="1357" spans="1:8" ht="12.75">
      <c r="A1357" s="18">
        <v>2022</v>
      </c>
      <c r="B1357" s="18">
        <v>38</v>
      </c>
      <c r="C1357" s="87" t="s">
        <v>51</v>
      </c>
      <c r="D1357" s="48">
        <v>44651</v>
      </c>
      <c r="E1357" s="19" t="s">
        <v>4464</v>
      </c>
      <c r="F1357" s="6" t="s">
        <v>4465</v>
      </c>
      <c r="G1357" s="6" t="s">
        <v>4095</v>
      </c>
      <c r="H1357" s="6" t="s">
        <v>3292</v>
      </c>
    </row>
    <row r="1358" spans="1:8" ht="12.75">
      <c r="A1358" s="18">
        <v>2022</v>
      </c>
      <c r="B1358" s="18">
        <v>40</v>
      </c>
      <c r="C1358" s="87" t="s">
        <v>39</v>
      </c>
      <c r="D1358" s="48">
        <v>44656</v>
      </c>
      <c r="E1358" s="19" t="s">
        <v>3483</v>
      </c>
      <c r="F1358" s="6" t="s">
        <v>4466</v>
      </c>
      <c r="G1358" s="6" t="s">
        <v>3291</v>
      </c>
      <c r="H1358" s="6" t="s">
        <v>3292</v>
      </c>
    </row>
    <row r="1359" spans="1:8" ht="12.75">
      <c r="A1359" s="18">
        <v>2022</v>
      </c>
      <c r="B1359" s="18">
        <v>40</v>
      </c>
      <c r="C1359" s="87" t="s">
        <v>39</v>
      </c>
      <c r="D1359" s="48">
        <v>44656</v>
      </c>
      <c r="E1359" s="19" t="s">
        <v>4467</v>
      </c>
      <c r="F1359" s="6" t="s">
        <v>4468</v>
      </c>
      <c r="G1359" s="6" t="s">
        <v>3291</v>
      </c>
      <c r="H1359" s="6" t="s">
        <v>3292</v>
      </c>
    </row>
    <row r="1360" spans="1:8" ht="12.75">
      <c r="A1360" s="18">
        <v>2022</v>
      </c>
      <c r="B1360" s="18">
        <v>40</v>
      </c>
      <c r="C1360" s="87" t="s">
        <v>39</v>
      </c>
      <c r="D1360" s="48">
        <v>44656</v>
      </c>
      <c r="E1360" s="19" t="s">
        <v>4469</v>
      </c>
      <c r="F1360" s="6" t="s">
        <v>4470</v>
      </c>
      <c r="G1360" s="6" t="s">
        <v>3291</v>
      </c>
      <c r="H1360" s="6" t="s">
        <v>3292</v>
      </c>
    </row>
    <row r="1361" spans="1:8" ht="12.75">
      <c r="A1361" s="18">
        <v>2022</v>
      </c>
      <c r="B1361" s="18">
        <v>40</v>
      </c>
      <c r="C1361" s="87" t="s">
        <v>39</v>
      </c>
      <c r="D1361" s="48">
        <v>44656</v>
      </c>
      <c r="E1361" s="19" t="s">
        <v>4471</v>
      </c>
      <c r="F1361" s="6" t="s">
        <v>4472</v>
      </c>
      <c r="G1361" s="6" t="s">
        <v>3291</v>
      </c>
      <c r="H1361" s="6" t="s">
        <v>3292</v>
      </c>
    </row>
    <row r="1362" spans="1:8" ht="12.75">
      <c r="A1362" s="18">
        <v>2022</v>
      </c>
      <c r="B1362" s="18">
        <v>40</v>
      </c>
      <c r="C1362" s="87" t="s">
        <v>39</v>
      </c>
      <c r="D1362" s="48">
        <v>44656</v>
      </c>
      <c r="E1362" s="19" t="s">
        <v>4473</v>
      </c>
      <c r="F1362" s="6" t="s">
        <v>4474</v>
      </c>
      <c r="G1362" s="6" t="s">
        <v>3291</v>
      </c>
      <c r="H1362" s="6" t="s">
        <v>3292</v>
      </c>
    </row>
    <row r="1363" spans="1:8" ht="12.75">
      <c r="A1363" s="18">
        <v>2022</v>
      </c>
      <c r="B1363" s="18">
        <v>43</v>
      </c>
      <c r="C1363" s="87" t="s">
        <v>370</v>
      </c>
      <c r="D1363" s="48">
        <v>44658</v>
      </c>
      <c r="E1363" s="19" t="s">
        <v>3307</v>
      </c>
      <c r="F1363" s="6" t="s">
        <v>3308</v>
      </c>
      <c r="G1363" s="6" t="s">
        <v>3876</v>
      </c>
      <c r="H1363" s="6" t="s">
        <v>3292</v>
      </c>
    </row>
    <row r="1364" spans="1:8" ht="12.75">
      <c r="A1364" s="18">
        <v>2022</v>
      </c>
      <c r="B1364" s="18">
        <v>43</v>
      </c>
      <c r="C1364" s="87" t="s">
        <v>370</v>
      </c>
      <c r="D1364" s="48">
        <v>44658</v>
      </c>
      <c r="E1364" s="19" t="s">
        <v>3342</v>
      </c>
      <c r="F1364" s="6" t="s">
        <v>4096</v>
      </c>
      <c r="G1364" s="6" t="s">
        <v>3876</v>
      </c>
      <c r="H1364" s="6" t="s">
        <v>3292</v>
      </c>
    </row>
    <row r="1365" spans="1:8" ht="12.75">
      <c r="A1365" s="18">
        <v>2022</v>
      </c>
      <c r="B1365" s="18">
        <v>43</v>
      </c>
      <c r="C1365" s="87" t="s">
        <v>370</v>
      </c>
      <c r="D1365" s="48">
        <v>44658</v>
      </c>
      <c r="E1365" s="19" t="s">
        <v>4475</v>
      </c>
      <c r="F1365" s="6" t="s">
        <v>4476</v>
      </c>
      <c r="G1365" s="6" t="s">
        <v>3876</v>
      </c>
      <c r="H1365" s="6" t="s">
        <v>3292</v>
      </c>
    </row>
    <row r="1366" spans="1:8" ht="12.75">
      <c r="A1366" s="18">
        <v>2022</v>
      </c>
      <c r="B1366" s="18">
        <v>43</v>
      </c>
      <c r="C1366" s="87" t="s">
        <v>370</v>
      </c>
      <c r="D1366" s="48">
        <v>44658</v>
      </c>
      <c r="E1366" s="19" t="s">
        <v>4477</v>
      </c>
      <c r="F1366" s="6" t="s">
        <v>4478</v>
      </c>
      <c r="G1366" s="6" t="s">
        <v>3876</v>
      </c>
      <c r="H1366" s="6" t="s">
        <v>3292</v>
      </c>
    </row>
    <row r="1367" spans="1:8" ht="12.75">
      <c r="A1367" s="18">
        <v>2022</v>
      </c>
      <c r="B1367" s="18">
        <v>43</v>
      </c>
      <c r="C1367" s="87" t="s">
        <v>370</v>
      </c>
      <c r="D1367" s="48">
        <v>44658</v>
      </c>
      <c r="E1367" s="19" t="s">
        <v>4479</v>
      </c>
      <c r="F1367" s="6" t="s">
        <v>4478</v>
      </c>
      <c r="G1367" s="6" t="s">
        <v>3876</v>
      </c>
      <c r="H1367" s="6" t="s">
        <v>3292</v>
      </c>
    </row>
    <row r="1368" spans="1:8" ht="12.75">
      <c r="A1368" s="18">
        <v>2022</v>
      </c>
      <c r="B1368" s="18">
        <v>46</v>
      </c>
      <c r="C1368" s="87" t="s">
        <v>51</v>
      </c>
      <c r="D1368" s="48">
        <v>44663</v>
      </c>
      <c r="E1368" s="19" t="s">
        <v>4480</v>
      </c>
      <c r="F1368" s="6" t="s">
        <v>4481</v>
      </c>
      <c r="G1368" s="6" t="s">
        <v>3313</v>
      </c>
      <c r="H1368" s="6" t="s">
        <v>3292</v>
      </c>
    </row>
    <row r="1369" spans="1:8" ht="12.75">
      <c r="A1369" s="18">
        <v>2022</v>
      </c>
      <c r="B1369" s="18">
        <v>48</v>
      </c>
      <c r="C1369" s="87" t="s">
        <v>1591</v>
      </c>
      <c r="D1369" s="48">
        <v>44670</v>
      </c>
      <c r="E1369" s="19" t="s">
        <v>4482</v>
      </c>
      <c r="F1369" s="6" t="s">
        <v>4483</v>
      </c>
      <c r="G1369" s="6" t="s">
        <v>3439</v>
      </c>
      <c r="H1369" s="6" t="s">
        <v>3288</v>
      </c>
    </row>
    <row r="1370" spans="1:8" ht="12.75">
      <c r="A1370" s="18">
        <v>2022</v>
      </c>
      <c r="B1370" s="18">
        <v>48</v>
      </c>
      <c r="C1370" s="87" t="s">
        <v>1591</v>
      </c>
      <c r="D1370" s="48">
        <v>44670</v>
      </c>
      <c r="E1370" s="19" t="s">
        <v>4484</v>
      </c>
      <c r="F1370" s="6" t="s">
        <v>4485</v>
      </c>
      <c r="G1370" s="6" t="s">
        <v>1319</v>
      </c>
      <c r="H1370" s="6" t="s">
        <v>3288</v>
      </c>
    </row>
    <row r="1371" spans="1:8" ht="12.75">
      <c r="A1371" s="18">
        <v>2022</v>
      </c>
      <c r="B1371" s="18">
        <v>48</v>
      </c>
      <c r="C1371" s="87" t="s">
        <v>1591</v>
      </c>
      <c r="D1371" s="48">
        <v>44670</v>
      </c>
      <c r="E1371" s="19" t="s">
        <v>4486</v>
      </c>
      <c r="F1371" s="6" t="s">
        <v>4487</v>
      </c>
      <c r="G1371" s="6" t="s">
        <v>1319</v>
      </c>
      <c r="H1371" s="6" t="s">
        <v>3288</v>
      </c>
    </row>
    <row r="1372" spans="1:8" ht="12.75">
      <c r="A1372" s="18">
        <v>2022</v>
      </c>
      <c r="B1372" s="18">
        <v>50</v>
      </c>
      <c r="C1372" s="87" t="s">
        <v>2192</v>
      </c>
      <c r="D1372" s="48">
        <v>44671</v>
      </c>
      <c r="E1372" s="19" t="s">
        <v>4488</v>
      </c>
      <c r="F1372" s="6" t="s">
        <v>4489</v>
      </c>
      <c r="G1372" s="6" t="s">
        <v>1319</v>
      </c>
      <c r="H1372" s="6" t="s">
        <v>3288</v>
      </c>
    </row>
    <row r="1373" spans="1:8" ht="12.75">
      <c r="A1373" s="18">
        <v>2022</v>
      </c>
      <c r="B1373" s="18">
        <v>50</v>
      </c>
      <c r="C1373" s="87" t="s">
        <v>2192</v>
      </c>
      <c r="D1373" s="48">
        <v>44671</v>
      </c>
      <c r="E1373" s="19" t="s">
        <v>4490</v>
      </c>
      <c r="F1373" s="6" t="s">
        <v>4491</v>
      </c>
      <c r="G1373" s="6" t="s">
        <v>3439</v>
      </c>
      <c r="H1373" s="6" t="s">
        <v>3288</v>
      </c>
    </row>
    <row r="1374" spans="1:8" ht="12.75">
      <c r="A1374" s="18">
        <v>2022</v>
      </c>
      <c r="B1374" s="18">
        <v>51</v>
      </c>
      <c r="C1374" s="87" t="s">
        <v>1980</v>
      </c>
      <c r="D1374" s="48">
        <v>44672</v>
      </c>
      <c r="E1374" s="19" t="s">
        <v>3544</v>
      </c>
      <c r="F1374" s="6" t="s">
        <v>4420</v>
      </c>
      <c r="G1374" s="6" t="s">
        <v>3546</v>
      </c>
      <c r="H1374" s="6" t="s">
        <v>3292</v>
      </c>
    </row>
    <row r="1375" spans="1:8" ht="12.75">
      <c r="A1375" s="18">
        <v>2022</v>
      </c>
      <c r="B1375" s="18">
        <v>51</v>
      </c>
      <c r="C1375" s="87" t="s">
        <v>1980</v>
      </c>
      <c r="D1375" s="48">
        <v>44672</v>
      </c>
      <c r="E1375" s="19" t="s">
        <v>4421</v>
      </c>
      <c r="F1375" s="6" t="s">
        <v>3548</v>
      </c>
      <c r="G1375" s="6" t="s">
        <v>3546</v>
      </c>
      <c r="H1375" s="6" t="s">
        <v>3292</v>
      </c>
    </row>
    <row r="1376" spans="1:8" ht="12.75">
      <c r="A1376" s="18">
        <v>2022</v>
      </c>
      <c r="B1376" s="18">
        <v>52</v>
      </c>
      <c r="C1376" s="87" t="s">
        <v>1591</v>
      </c>
      <c r="D1376" s="48">
        <v>44677</v>
      </c>
      <c r="E1376" s="19" t="s">
        <v>4492</v>
      </c>
      <c r="F1376" s="6" t="s">
        <v>4493</v>
      </c>
      <c r="G1376" s="6" t="s">
        <v>3389</v>
      </c>
      <c r="H1376" s="6" t="s">
        <v>3288</v>
      </c>
    </row>
    <row r="1377" spans="1:8" ht="12.75">
      <c r="A1377" s="18">
        <v>2022</v>
      </c>
      <c r="B1377" s="18">
        <v>52</v>
      </c>
      <c r="C1377" s="87" t="s">
        <v>1591</v>
      </c>
      <c r="D1377" s="48">
        <v>44677</v>
      </c>
      <c r="E1377" s="19" t="s">
        <v>4494</v>
      </c>
      <c r="F1377" s="6" t="s">
        <v>4495</v>
      </c>
      <c r="G1377" s="6" t="s">
        <v>3439</v>
      </c>
      <c r="H1377" s="6" t="s">
        <v>3288</v>
      </c>
    </row>
    <row r="1378" spans="1:8" ht="12.75">
      <c r="A1378" s="18">
        <v>2022</v>
      </c>
      <c r="B1378" s="18">
        <v>53</v>
      </c>
      <c r="C1378" s="87" t="s">
        <v>39</v>
      </c>
      <c r="D1378" s="48">
        <v>44677</v>
      </c>
      <c r="E1378" s="19" t="s">
        <v>3363</v>
      </c>
      <c r="F1378" s="6" t="s">
        <v>4496</v>
      </c>
      <c r="G1378" s="6" t="s">
        <v>3291</v>
      </c>
      <c r="H1378" s="6" t="s">
        <v>3292</v>
      </c>
    </row>
    <row r="1379" spans="1:8" ht="12.75">
      <c r="A1379" s="18">
        <v>2022</v>
      </c>
      <c r="B1379" s="18">
        <v>53</v>
      </c>
      <c r="C1379" s="87" t="s">
        <v>39</v>
      </c>
      <c r="D1379" s="48">
        <v>44677</v>
      </c>
      <c r="E1379" s="19" t="s">
        <v>3983</v>
      </c>
      <c r="F1379" s="6" t="s">
        <v>4497</v>
      </c>
      <c r="G1379" s="6" t="s">
        <v>3291</v>
      </c>
      <c r="H1379" s="6" t="s">
        <v>3292</v>
      </c>
    </row>
    <row r="1380" spans="1:8" ht="12.75">
      <c r="A1380" s="18">
        <v>2022</v>
      </c>
      <c r="B1380" s="18">
        <v>53</v>
      </c>
      <c r="C1380" s="87" t="s">
        <v>39</v>
      </c>
      <c r="D1380" s="48">
        <v>44677</v>
      </c>
      <c r="E1380" s="19" t="s">
        <v>4498</v>
      </c>
      <c r="F1380" s="6" t="s">
        <v>4499</v>
      </c>
      <c r="G1380" s="6" t="s">
        <v>3291</v>
      </c>
      <c r="H1380" s="6" t="s">
        <v>3292</v>
      </c>
    </row>
    <row r="1381" spans="1:8" ht="12.75">
      <c r="A1381" s="18">
        <v>2022</v>
      </c>
      <c r="B1381" s="18">
        <v>56</v>
      </c>
      <c r="C1381" s="87" t="s">
        <v>47</v>
      </c>
      <c r="D1381" s="48">
        <v>44679</v>
      </c>
      <c r="E1381" s="19" t="s">
        <v>4500</v>
      </c>
      <c r="F1381" s="6" t="s">
        <v>4501</v>
      </c>
      <c r="G1381" s="6" t="s">
        <v>4502</v>
      </c>
      <c r="H1381" s="6" t="s">
        <v>3567</v>
      </c>
    </row>
    <row r="1382" spans="1:8" ht="12.75">
      <c r="A1382" s="18">
        <v>2022</v>
      </c>
      <c r="B1382" s="18">
        <v>56</v>
      </c>
      <c r="C1382" s="87" t="s">
        <v>47</v>
      </c>
      <c r="D1382" s="48">
        <v>44679</v>
      </c>
      <c r="E1382" s="19" t="s">
        <v>4503</v>
      </c>
      <c r="F1382" s="6" t="s">
        <v>4504</v>
      </c>
      <c r="G1382" s="6" t="s">
        <v>4502</v>
      </c>
      <c r="H1382" s="6" t="s">
        <v>3567</v>
      </c>
    </row>
    <row r="1383" spans="1:8" ht="12.75">
      <c r="A1383" s="18">
        <v>2022</v>
      </c>
      <c r="B1383" s="18">
        <v>58</v>
      </c>
      <c r="C1383" s="87" t="s">
        <v>1591</v>
      </c>
      <c r="D1383" s="48">
        <v>44684</v>
      </c>
      <c r="E1383" s="19" t="s">
        <v>4505</v>
      </c>
      <c r="F1383" s="6" t="s">
        <v>4506</v>
      </c>
      <c r="G1383" s="6" t="s">
        <v>1319</v>
      </c>
      <c r="H1383" s="6" t="s">
        <v>3288</v>
      </c>
    </row>
    <row r="1384" spans="1:8" ht="12.75">
      <c r="A1384" s="18">
        <v>2022</v>
      </c>
      <c r="B1384" s="18">
        <v>58</v>
      </c>
      <c r="C1384" s="87" t="s">
        <v>1591</v>
      </c>
      <c r="D1384" s="48">
        <v>44684</v>
      </c>
      <c r="E1384" s="19" t="s">
        <v>4507</v>
      </c>
      <c r="F1384" s="6" t="s">
        <v>4508</v>
      </c>
      <c r="G1384" s="6" t="s">
        <v>1319</v>
      </c>
      <c r="H1384" s="6" t="s">
        <v>3288</v>
      </c>
    </row>
    <row r="1385" spans="1:8" ht="12.75">
      <c r="A1385" s="18">
        <v>2022</v>
      </c>
      <c r="B1385" s="18">
        <v>58</v>
      </c>
      <c r="C1385" s="87" t="s">
        <v>1591</v>
      </c>
      <c r="D1385" s="48">
        <v>44684</v>
      </c>
      <c r="E1385" s="19" t="s">
        <v>4509</v>
      </c>
      <c r="F1385" s="6" t="s">
        <v>4510</v>
      </c>
      <c r="G1385" s="6" t="s">
        <v>1319</v>
      </c>
      <c r="H1385" s="6" t="s">
        <v>3288</v>
      </c>
    </row>
    <row r="1386" spans="1:8" ht="12.75">
      <c r="A1386" s="18">
        <v>2022</v>
      </c>
      <c r="B1386" s="18">
        <v>59</v>
      </c>
      <c r="C1386" s="87" t="s">
        <v>190</v>
      </c>
      <c r="D1386" s="48">
        <v>44684</v>
      </c>
      <c r="E1386" s="19" t="s">
        <v>3481</v>
      </c>
      <c r="F1386" s="6" t="s">
        <v>4511</v>
      </c>
      <c r="G1386" s="6" t="s">
        <v>3306</v>
      </c>
      <c r="H1386" s="6" t="s">
        <v>3292</v>
      </c>
    </row>
    <row r="1387" spans="1:8" ht="12.75">
      <c r="A1387" s="18">
        <v>2022</v>
      </c>
      <c r="B1387" s="18">
        <v>60</v>
      </c>
      <c r="C1387" s="87" t="s">
        <v>2236</v>
      </c>
      <c r="D1387" s="48">
        <v>44684</v>
      </c>
      <c r="E1387" s="19" t="s">
        <v>3361</v>
      </c>
      <c r="F1387" s="6" t="s">
        <v>4448</v>
      </c>
      <c r="G1387" s="6" t="s">
        <v>3291</v>
      </c>
      <c r="H1387" s="6" t="s">
        <v>3292</v>
      </c>
    </row>
    <row r="1388" spans="1:8" ht="12.75">
      <c r="A1388" s="18">
        <v>2022</v>
      </c>
      <c r="B1388" s="18">
        <v>60</v>
      </c>
      <c r="C1388" s="87" t="s">
        <v>2236</v>
      </c>
      <c r="D1388" s="48">
        <v>44684</v>
      </c>
      <c r="E1388" s="19" t="s">
        <v>4512</v>
      </c>
      <c r="F1388" s="6" t="s">
        <v>4513</v>
      </c>
      <c r="G1388" s="6" t="s">
        <v>3876</v>
      </c>
      <c r="H1388" s="6" t="s">
        <v>3292</v>
      </c>
    </row>
    <row r="1389" spans="1:8" ht="12.75">
      <c r="A1389" s="18">
        <v>2022</v>
      </c>
      <c r="B1389" s="18">
        <v>62</v>
      </c>
      <c r="C1389" s="87" t="s">
        <v>73</v>
      </c>
      <c r="D1389" s="48">
        <v>44686</v>
      </c>
      <c r="E1389" s="19" t="s">
        <v>3321</v>
      </c>
      <c r="F1389" s="6" t="s">
        <v>4514</v>
      </c>
      <c r="G1389" s="6" t="s">
        <v>3876</v>
      </c>
      <c r="H1389" s="6" t="s">
        <v>3292</v>
      </c>
    </row>
    <row r="1390" spans="1:8" ht="12.75">
      <c r="A1390" s="18">
        <v>2022</v>
      </c>
      <c r="B1390" s="18">
        <v>64</v>
      </c>
      <c r="C1390" s="87" t="s">
        <v>45</v>
      </c>
      <c r="D1390" s="48">
        <v>44691</v>
      </c>
      <c r="E1390" s="19" t="s">
        <v>3324</v>
      </c>
      <c r="F1390" s="6" t="s">
        <v>3302</v>
      </c>
      <c r="G1390" s="6" t="s">
        <v>3325</v>
      </c>
      <c r="H1390" s="6" t="s">
        <v>3292</v>
      </c>
    </row>
    <row r="1391" spans="1:8" ht="12.75">
      <c r="A1391" s="18">
        <v>2022</v>
      </c>
      <c r="B1391" s="18">
        <v>67</v>
      </c>
      <c r="C1391" s="87" t="s">
        <v>39</v>
      </c>
      <c r="D1391" s="48">
        <v>44693</v>
      </c>
      <c r="E1391" s="19" t="s">
        <v>3289</v>
      </c>
      <c r="F1391" s="6" t="s">
        <v>3290</v>
      </c>
      <c r="G1391" s="6" t="s">
        <v>3291</v>
      </c>
      <c r="H1391" s="6" t="s">
        <v>3292</v>
      </c>
    </row>
    <row r="1392" spans="1:8" ht="12.75">
      <c r="A1392" s="18">
        <v>2022</v>
      </c>
      <c r="B1392" s="18">
        <v>67</v>
      </c>
      <c r="C1392" s="87" t="s">
        <v>39</v>
      </c>
      <c r="D1392" s="48">
        <v>44693</v>
      </c>
      <c r="E1392" s="19" t="s">
        <v>4515</v>
      </c>
      <c r="F1392" s="6" t="s">
        <v>4516</v>
      </c>
      <c r="G1392" s="6" t="s">
        <v>3291</v>
      </c>
      <c r="H1392" s="6" t="s">
        <v>3292</v>
      </c>
    </row>
    <row r="1393" spans="1:8" ht="12.75">
      <c r="A1393" s="18">
        <v>2022</v>
      </c>
      <c r="B1393" s="18">
        <v>68</v>
      </c>
      <c r="C1393" s="87" t="s">
        <v>471</v>
      </c>
      <c r="D1393" s="48">
        <v>44693</v>
      </c>
      <c r="E1393" s="19" t="s">
        <v>4517</v>
      </c>
      <c r="F1393" s="6" t="s">
        <v>4518</v>
      </c>
      <c r="G1393" s="6" t="s">
        <v>3973</v>
      </c>
      <c r="H1393" s="6" t="s">
        <v>3393</v>
      </c>
    </row>
    <row r="1394" spans="1:8" ht="12.75">
      <c r="A1394" s="18">
        <v>2022</v>
      </c>
      <c r="B1394" s="18">
        <v>69</v>
      </c>
      <c r="C1394" s="87" t="s">
        <v>2288</v>
      </c>
      <c r="D1394" s="48">
        <v>44698</v>
      </c>
      <c r="E1394" s="19" t="s">
        <v>4519</v>
      </c>
      <c r="F1394" s="6" t="s">
        <v>3302</v>
      </c>
      <c r="G1394" s="6" t="s">
        <v>3306</v>
      </c>
      <c r="H1394" s="6" t="s">
        <v>3292</v>
      </c>
    </row>
    <row r="1395" spans="1:8" ht="12.75">
      <c r="A1395" s="18">
        <v>2022</v>
      </c>
      <c r="B1395" s="18">
        <v>69</v>
      </c>
      <c r="C1395" s="87" t="s">
        <v>2288</v>
      </c>
      <c r="D1395" s="48">
        <v>44698</v>
      </c>
      <c r="E1395" s="19" t="s">
        <v>4134</v>
      </c>
      <c r="F1395" s="6" t="s">
        <v>4520</v>
      </c>
      <c r="G1395" s="6" t="s">
        <v>3306</v>
      </c>
      <c r="H1395" s="6" t="s">
        <v>3513</v>
      </c>
    </row>
    <row r="1396" spans="1:8" ht="12.75">
      <c r="A1396" s="18">
        <v>2022</v>
      </c>
      <c r="B1396" s="18">
        <v>69</v>
      </c>
      <c r="C1396" s="87" t="s">
        <v>2288</v>
      </c>
      <c r="D1396" s="48">
        <v>44698</v>
      </c>
      <c r="E1396" s="19" t="s">
        <v>4521</v>
      </c>
      <c r="F1396" s="6" t="s">
        <v>3381</v>
      </c>
      <c r="G1396" s="6" t="s">
        <v>3306</v>
      </c>
      <c r="H1396" s="6" t="s">
        <v>3292</v>
      </c>
    </row>
    <row r="1397" spans="1:8" ht="12.75">
      <c r="A1397" s="18">
        <v>2022</v>
      </c>
      <c r="B1397" s="18">
        <v>69</v>
      </c>
      <c r="C1397" s="87" t="s">
        <v>2288</v>
      </c>
      <c r="D1397" s="48">
        <v>44698</v>
      </c>
      <c r="E1397" s="19" t="s">
        <v>3989</v>
      </c>
      <c r="F1397" s="6" t="s">
        <v>3990</v>
      </c>
      <c r="G1397" s="6" t="s">
        <v>3306</v>
      </c>
      <c r="H1397" s="6" t="s">
        <v>3292</v>
      </c>
    </row>
    <row r="1398" spans="1:8" ht="12.75">
      <c r="A1398" s="18">
        <v>2022</v>
      </c>
      <c r="B1398" s="18">
        <v>70</v>
      </c>
      <c r="C1398" s="87" t="s">
        <v>2300</v>
      </c>
      <c r="D1398" s="48">
        <v>44700</v>
      </c>
      <c r="E1398" s="19" t="s">
        <v>4522</v>
      </c>
      <c r="F1398" s="6" t="s">
        <v>4523</v>
      </c>
      <c r="G1398" s="6" t="s">
        <v>3446</v>
      </c>
      <c r="H1398" s="6" t="s">
        <v>3288</v>
      </c>
    </row>
    <row r="1399" spans="1:8" ht="12.75">
      <c r="A1399" s="18">
        <v>2022</v>
      </c>
      <c r="B1399" s="18">
        <v>72</v>
      </c>
      <c r="C1399" s="87" t="s">
        <v>1980</v>
      </c>
      <c r="D1399" s="48">
        <v>44700</v>
      </c>
      <c r="E1399" s="19" t="s">
        <v>3544</v>
      </c>
      <c r="F1399" s="6" t="s">
        <v>4420</v>
      </c>
      <c r="G1399" s="6" t="s">
        <v>3546</v>
      </c>
      <c r="H1399" s="6" t="s">
        <v>3292</v>
      </c>
    </row>
    <row r="1400" spans="1:8" ht="12.75">
      <c r="A1400" s="18">
        <v>2022</v>
      </c>
      <c r="B1400" s="18">
        <v>72</v>
      </c>
      <c r="C1400" s="87" t="s">
        <v>1980</v>
      </c>
      <c r="D1400" s="48">
        <v>44700</v>
      </c>
      <c r="E1400" s="19" t="s">
        <v>4421</v>
      </c>
      <c r="F1400" s="6" t="s">
        <v>3548</v>
      </c>
      <c r="G1400" s="6" t="s">
        <v>3546</v>
      </c>
      <c r="H1400" s="6" t="s">
        <v>3292</v>
      </c>
    </row>
    <row r="1401" spans="1:8" ht="12.75">
      <c r="A1401" s="18">
        <v>2022</v>
      </c>
      <c r="B1401" s="18">
        <v>73</v>
      </c>
      <c r="C1401" s="87" t="s">
        <v>2314</v>
      </c>
      <c r="D1401" s="48">
        <v>44705</v>
      </c>
      <c r="E1401" s="19" t="s">
        <v>3289</v>
      </c>
      <c r="F1401" s="6" t="s">
        <v>3290</v>
      </c>
      <c r="G1401" s="6" t="s">
        <v>3291</v>
      </c>
      <c r="H1401" s="6" t="s">
        <v>3292</v>
      </c>
    </row>
    <row r="1402" spans="1:8" ht="12.75">
      <c r="A1402" s="18">
        <v>2022</v>
      </c>
      <c r="B1402" s="18">
        <v>76</v>
      </c>
      <c r="C1402" s="87" t="s">
        <v>2325</v>
      </c>
      <c r="D1402" s="48">
        <v>44707</v>
      </c>
      <c r="E1402" s="19" t="s">
        <v>4430</v>
      </c>
      <c r="F1402" s="6" t="s">
        <v>4431</v>
      </c>
      <c r="G1402" s="6" t="s">
        <v>3291</v>
      </c>
      <c r="H1402" s="6" t="s">
        <v>3292</v>
      </c>
    </row>
    <row r="1403" spans="1:8" ht="12.75">
      <c r="A1403" s="18">
        <v>2022</v>
      </c>
      <c r="B1403" s="18">
        <v>76</v>
      </c>
      <c r="C1403" s="87" t="s">
        <v>2325</v>
      </c>
      <c r="D1403" s="48">
        <v>44707</v>
      </c>
      <c r="E1403" s="19" t="s">
        <v>4524</v>
      </c>
      <c r="F1403" s="6" t="s">
        <v>4525</v>
      </c>
      <c r="G1403" s="6" t="s">
        <v>3291</v>
      </c>
      <c r="H1403" s="6" t="s">
        <v>3292</v>
      </c>
    </row>
    <row r="1404" spans="1:8" ht="12.75">
      <c r="A1404" s="18">
        <v>2022</v>
      </c>
      <c r="B1404" s="18">
        <v>76</v>
      </c>
      <c r="C1404" s="87" t="s">
        <v>2325</v>
      </c>
      <c r="D1404" s="48">
        <v>44707</v>
      </c>
      <c r="E1404" s="19" t="s">
        <v>4526</v>
      </c>
      <c r="F1404" s="6" t="s">
        <v>4527</v>
      </c>
      <c r="G1404" s="6" t="s">
        <v>3291</v>
      </c>
      <c r="H1404" s="6" t="s">
        <v>3292</v>
      </c>
    </row>
    <row r="1405" spans="1:8" ht="12.75">
      <c r="A1405" s="18">
        <v>2022</v>
      </c>
      <c r="B1405" s="18">
        <v>76</v>
      </c>
      <c r="C1405" s="87" t="s">
        <v>2325</v>
      </c>
      <c r="D1405" s="48">
        <v>44707</v>
      </c>
      <c r="E1405" s="19" t="s">
        <v>4528</v>
      </c>
      <c r="F1405" s="6" t="s">
        <v>4529</v>
      </c>
      <c r="G1405" s="6" t="s">
        <v>3291</v>
      </c>
      <c r="H1405" s="6" t="s">
        <v>3292</v>
      </c>
    </row>
    <row r="1406" spans="1:8" ht="12.75">
      <c r="A1406" s="18">
        <v>2022</v>
      </c>
      <c r="B1406" s="18">
        <v>83</v>
      </c>
      <c r="C1406" s="87" t="s">
        <v>3644</v>
      </c>
      <c r="D1406" s="48">
        <v>44719</v>
      </c>
      <c r="E1406" s="19" t="s">
        <v>4530</v>
      </c>
      <c r="F1406" s="6" t="s">
        <v>4531</v>
      </c>
      <c r="G1406" s="6" t="s">
        <v>3720</v>
      </c>
      <c r="H1406" s="6" t="s">
        <v>3292</v>
      </c>
    </row>
    <row r="1407" spans="1:8" ht="12.75">
      <c r="A1407" s="18">
        <v>2022</v>
      </c>
      <c r="B1407" s="18">
        <v>83</v>
      </c>
      <c r="C1407" s="87" t="s">
        <v>3644</v>
      </c>
      <c r="D1407" s="48">
        <v>44719</v>
      </c>
      <c r="E1407" s="19" t="s">
        <v>4354</v>
      </c>
      <c r="F1407" s="6" t="s">
        <v>4532</v>
      </c>
      <c r="G1407" s="6" t="s">
        <v>3720</v>
      </c>
      <c r="H1407" s="6" t="s">
        <v>3292</v>
      </c>
    </row>
    <row r="1408" spans="1:8" ht="12.75">
      <c r="A1408" s="18">
        <v>2022</v>
      </c>
      <c r="B1408" s="18">
        <v>84</v>
      </c>
      <c r="C1408" s="87" t="s">
        <v>2192</v>
      </c>
      <c r="D1408" s="48">
        <v>44720</v>
      </c>
      <c r="E1408" s="19" t="s">
        <v>4533</v>
      </c>
      <c r="F1408" s="6" t="s">
        <v>4534</v>
      </c>
      <c r="G1408" s="6" t="s">
        <v>1319</v>
      </c>
      <c r="H1408" s="6" t="s">
        <v>3288</v>
      </c>
    </row>
    <row r="1409" spans="1:8" ht="12.75">
      <c r="A1409" s="18">
        <v>2022</v>
      </c>
      <c r="B1409" s="18">
        <v>84</v>
      </c>
      <c r="C1409" s="87" t="s">
        <v>2192</v>
      </c>
      <c r="D1409" s="48">
        <v>44720</v>
      </c>
      <c r="E1409" s="19" t="s">
        <v>4535</v>
      </c>
      <c r="F1409" s="6" t="s">
        <v>4534</v>
      </c>
      <c r="G1409" s="6" t="s">
        <v>1319</v>
      </c>
      <c r="H1409" s="6" t="s">
        <v>3288</v>
      </c>
    </row>
    <row r="1410" spans="1:8" ht="12.75">
      <c r="A1410" s="18">
        <v>2022</v>
      </c>
      <c r="B1410" s="18">
        <v>84</v>
      </c>
      <c r="C1410" s="87" t="s">
        <v>2192</v>
      </c>
      <c r="D1410" s="48">
        <v>44720</v>
      </c>
      <c r="E1410" s="19" t="s">
        <v>4536</v>
      </c>
      <c r="F1410" s="6" t="s">
        <v>4537</v>
      </c>
      <c r="G1410" s="6" t="s">
        <v>1319</v>
      </c>
      <c r="H1410" s="6" t="s">
        <v>3288</v>
      </c>
    </row>
    <row r="1411" spans="1:8" ht="12.75">
      <c r="A1411" s="18">
        <v>2022</v>
      </c>
      <c r="B1411" s="18">
        <v>86</v>
      </c>
      <c r="C1411" s="87" t="s">
        <v>1980</v>
      </c>
      <c r="D1411" s="48">
        <v>44721</v>
      </c>
      <c r="E1411" s="19" t="s">
        <v>4538</v>
      </c>
      <c r="F1411" s="6" t="s">
        <v>4539</v>
      </c>
      <c r="G1411" s="6" t="s">
        <v>3546</v>
      </c>
      <c r="H1411" s="6" t="s">
        <v>3292</v>
      </c>
    </row>
    <row r="1412" spans="1:8" ht="12.75">
      <c r="A1412" s="18">
        <v>2022</v>
      </c>
      <c r="B1412" s="18">
        <v>86</v>
      </c>
      <c r="C1412" s="87" t="s">
        <v>1980</v>
      </c>
      <c r="D1412" s="48">
        <v>44721</v>
      </c>
      <c r="E1412" s="19" t="s">
        <v>4540</v>
      </c>
      <c r="F1412" s="6" t="s">
        <v>3548</v>
      </c>
      <c r="G1412" s="6" t="s">
        <v>3546</v>
      </c>
      <c r="H1412" s="6" t="s">
        <v>3292</v>
      </c>
    </row>
    <row r="1413" spans="1:8" ht="12.75">
      <c r="A1413" s="18">
        <v>2022</v>
      </c>
      <c r="B1413" s="18">
        <v>87</v>
      </c>
      <c r="C1413" s="87" t="s">
        <v>2373</v>
      </c>
      <c r="D1413" s="48">
        <v>44721</v>
      </c>
      <c r="E1413" s="19" t="s">
        <v>4541</v>
      </c>
      <c r="F1413" s="6" t="s">
        <v>4542</v>
      </c>
      <c r="G1413" s="6" t="s">
        <v>4502</v>
      </c>
      <c r="H1413" s="6" t="s">
        <v>3567</v>
      </c>
    </row>
    <row r="1414" spans="1:8" ht="12.75">
      <c r="A1414" s="18">
        <v>2022</v>
      </c>
      <c r="B1414" s="18">
        <v>87</v>
      </c>
      <c r="C1414" s="87" t="s">
        <v>2373</v>
      </c>
      <c r="D1414" s="48">
        <v>44721</v>
      </c>
      <c r="E1414" s="19" t="s">
        <v>3342</v>
      </c>
      <c r="F1414" s="6" t="s">
        <v>4096</v>
      </c>
      <c r="G1414" s="6" t="s">
        <v>4543</v>
      </c>
      <c r="H1414" s="6" t="s">
        <v>3292</v>
      </c>
    </row>
    <row r="1415" spans="1:8" ht="12.75">
      <c r="A1415" s="18">
        <v>2022</v>
      </c>
      <c r="B1415" s="18">
        <v>87</v>
      </c>
      <c r="C1415" s="87" t="s">
        <v>2373</v>
      </c>
      <c r="D1415" s="48">
        <v>44721</v>
      </c>
      <c r="E1415" s="19" t="s">
        <v>4544</v>
      </c>
      <c r="F1415" s="6" t="s">
        <v>4545</v>
      </c>
      <c r="G1415" s="6" t="s">
        <v>3469</v>
      </c>
      <c r="H1415" s="6" t="s">
        <v>3288</v>
      </c>
    </row>
    <row r="1416" spans="1:8" ht="12.75">
      <c r="A1416" s="18">
        <v>2022</v>
      </c>
      <c r="B1416" s="18">
        <v>87</v>
      </c>
      <c r="C1416" s="87" t="s">
        <v>2373</v>
      </c>
      <c r="D1416" s="48">
        <v>44721</v>
      </c>
      <c r="E1416" s="19" t="s">
        <v>4546</v>
      </c>
      <c r="F1416" s="6" t="s">
        <v>4547</v>
      </c>
      <c r="G1416" s="6" t="s">
        <v>3469</v>
      </c>
      <c r="H1416" s="6" t="s">
        <v>3288</v>
      </c>
    </row>
    <row r="1417" spans="1:8" ht="12.75">
      <c r="A1417" s="18">
        <v>2022</v>
      </c>
      <c r="B1417" s="18">
        <v>87</v>
      </c>
      <c r="C1417" s="87" t="s">
        <v>2373</v>
      </c>
      <c r="D1417" s="48">
        <v>44721</v>
      </c>
      <c r="E1417" s="19" t="s">
        <v>4548</v>
      </c>
      <c r="F1417" s="6" t="s">
        <v>4549</v>
      </c>
      <c r="G1417" s="6" t="s">
        <v>4502</v>
      </c>
      <c r="H1417" s="6" t="s">
        <v>3567</v>
      </c>
    </row>
    <row r="1418" spans="1:8" ht="12.75">
      <c r="A1418" s="18">
        <v>2022</v>
      </c>
      <c r="B1418" s="18">
        <v>87</v>
      </c>
      <c r="C1418" s="87" t="s">
        <v>2373</v>
      </c>
      <c r="D1418" s="48">
        <v>44721</v>
      </c>
      <c r="E1418" s="19" t="s">
        <v>4550</v>
      </c>
      <c r="F1418" s="6" t="s">
        <v>4551</v>
      </c>
      <c r="G1418" s="6" t="s">
        <v>3469</v>
      </c>
      <c r="H1418" s="6" t="s">
        <v>3288</v>
      </c>
    </row>
    <row r="1419" spans="1:8" ht="12.75">
      <c r="A1419" s="18">
        <v>2022</v>
      </c>
      <c r="B1419" s="18">
        <v>87</v>
      </c>
      <c r="C1419" s="87" t="s">
        <v>2373</v>
      </c>
      <c r="D1419" s="48">
        <v>44721</v>
      </c>
      <c r="E1419" s="19" t="s">
        <v>4103</v>
      </c>
      <c r="F1419" s="6" t="s">
        <v>4552</v>
      </c>
      <c r="G1419" s="6" t="s">
        <v>3469</v>
      </c>
      <c r="H1419" s="6" t="s">
        <v>3288</v>
      </c>
    </row>
    <row r="1420" spans="1:8" ht="12.75">
      <c r="A1420" s="18">
        <v>2022</v>
      </c>
      <c r="B1420" s="18">
        <v>87</v>
      </c>
      <c r="C1420" s="87" t="s">
        <v>2373</v>
      </c>
      <c r="D1420" s="48">
        <v>44721</v>
      </c>
      <c r="E1420" s="19" t="s">
        <v>4553</v>
      </c>
      <c r="F1420" s="6" t="s">
        <v>4554</v>
      </c>
      <c r="G1420" s="6" t="s">
        <v>3469</v>
      </c>
      <c r="H1420" s="6" t="s">
        <v>3288</v>
      </c>
    </row>
    <row r="1421" spans="1:8" ht="12.75">
      <c r="A1421" s="18">
        <v>2022</v>
      </c>
      <c r="B1421" s="18">
        <v>87</v>
      </c>
      <c r="C1421" s="87" t="s">
        <v>2373</v>
      </c>
      <c r="D1421" s="48">
        <v>44721</v>
      </c>
      <c r="E1421" s="19" t="s">
        <v>4555</v>
      </c>
      <c r="F1421" s="6" t="s">
        <v>4556</v>
      </c>
      <c r="G1421" s="6" t="s">
        <v>3469</v>
      </c>
      <c r="H1421" s="6" t="s">
        <v>3288</v>
      </c>
    </row>
    <row r="1422" spans="1:8" ht="12.75">
      <c r="A1422" s="18">
        <v>2022</v>
      </c>
      <c r="B1422" s="18">
        <v>87</v>
      </c>
      <c r="C1422" s="87" t="s">
        <v>2373</v>
      </c>
      <c r="D1422" s="48">
        <v>44721</v>
      </c>
      <c r="E1422" s="19" t="s">
        <v>4557</v>
      </c>
      <c r="F1422" s="6" t="s">
        <v>4558</v>
      </c>
      <c r="G1422" s="6" t="s">
        <v>3469</v>
      </c>
      <c r="H1422" s="6" t="s">
        <v>3288</v>
      </c>
    </row>
    <row r="1423" spans="1:8" ht="12.75">
      <c r="A1423" s="18">
        <v>2022</v>
      </c>
      <c r="B1423" s="18">
        <v>87</v>
      </c>
      <c r="C1423" s="87" t="s">
        <v>2373</v>
      </c>
      <c r="D1423" s="48">
        <v>44721</v>
      </c>
      <c r="E1423" s="19" t="s">
        <v>4559</v>
      </c>
      <c r="F1423" s="6" t="s">
        <v>4560</v>
      </c>
      <c r="G1423" s="6" t="s">
        <v>3469</v>
      </c>
      <c r="H1423" s="6" t="s">
        <v>3288</v>
      </c>
    </row>
    <row r="1424" spans="1:8" ht="12.75">
      <c r="A1424" s="18">
        <v>2022</v>
      </c>
      <c r="B1424" s="18">
        <v>88</v>
      </c>
      <c r="C1424" s="87" t="s">
        <v>53</v>
      </c>
      <c r="D1424" s="48">
        <v>44726</v>
      </c>
      <c r="E1424" s="19" t="s">
        <v>4561</v>
      </c>
      <c r="F1424" s="6" t="s">
        <v>4562</v>
      </c>
      <c r="G1424" s="6" t="s">
        <v>3328</v>
      </c>
      <c r="H1424" s="6" t="s">
        <v>3292</v>
      </c>
    </row>
    <row r="1425" spans="1:8" ht="12.75">
      <c r="A1425" s="18">
        <v>2022</v>
      </c>
      <c r="B1425" s="18">
        <v>88</v>
      </c>
      <c r="C1425" s="87" t="s">
        <v>53</v>
      </c>
      <c r="D1425" s="48">
        <v>44726</v>
      </c>
      <c r="E1425" s="19" t="s">
        <v>4563</v>
      </c>
      <c r="F1425" s="6" t="s">
        <v>4564</v>
      </c>
      <c r="G1425" s="6" t="s">
        <v>4565</v>
      </c>
      <c r="H1425" s="6" t="s">
        <v>3288</v>
      </c>
    </row>
    <row r="1426" spans="1:8" ht="12.75">
      <c r="A1426" s="18">
        <v>2022</v>
      </c>
      <c r="B1426" s="18">
        <v>88</v>
      </c>
      <c r="C1426" s="87" t="s">
        <v>53</v>
      </c>
      <c r="D1426" s="48">
        <v>44726</v>
      </c>
      <c r="E1426" s="19" t="s">
        <v>4566</v>
      </c>
      <c r="F1426" s="6" t="s">
        <v>4567</v>
      </c>
      <c r="G1426" s="6" t="s">
        <v>4565</v>
      </c>
      <c r="H1426" s="6" t="s">
        <v>3288</v>
      </c>
    </row>
    <row r="1427" spans="1:8" ht="12.75">
      <c r="A1427" s="18">
        <v>2022</v>
      </c>
      <c r="B1427" s="18">
        <v>88</v>
      </c>
      <c r="C1427" s="87" t="s">
        <v>53</v>
      </c>
      <c r="D1427" s="48">
        <v>44726</v>
      </c>
      <c r="E1427" s="19" t="s">
        <v>4568</v>
      </c>
      <c r="F1427" s="6" t="s">
        <v>4569</v>
      </c>
      <c r="G1427" s="6" t="s">
        <v>4565</v>
      </c>
      <c r="H1427" s="6" t="s">
        <v>3288</v>
      </c>
    </row>
    <row r="1428" spans="1:8" ht="12.75">
      <c r="A1428" s="18">
        <v>2022</v>
      </c>
      <c r="B1428" s="18">
        <v>88</v>
      </c>
      <c r="C1428" s="87" t="s">
        <v>53</v>
      </c>
      <c r="D1428" s="48">
        <v>44726</v>
      </c>
      <c r="E1428" s="19" t="s">
        <v>4570</v>
      </c>
      <c r="F1428" s="6" t="s">
        <v>4571</v>
      </c>
      <c r="G1428" s="6" t="s">
        <v>4565</v>
      </c>
      <c r="H1428" s="6" t="s">
        <v>3288</v>
      </c>
    </row>
    <row r="1429" spans="1:8" ht="12.75">
      <c r="A1429" s="18">
        <v>2022</v>
      </c>
      <c r="B1429" s="18">
        <v>88</v>
      </c>
      <c r="C1429" s="87" t="s">
        <v>53</v>
      </c>
      <c r="D1429" s="48">
        <v>44726</v>
      </c>
      <c r="E1429" s="19" t="s">
        <v>4572</v>
      </c>
      <c r="F1429" s="6" t="s">
        <v>4573</v>
      </c>
      <c r="G1429" s="6" t="s">
        <v>3328</v>
      </c>
      <c r="H1429" s="6" t="s">
        <v>3292</v>
      </c>
    </row>
    <row r="1430" spans="1:8" ht="12.75">
      <c r="A1430" s="18">
        <v>2022</v>
      </c>
      <c r="B1430" s="18">
        <v>89</v>
      </c>
      <c r="C1430" s="87" t="s">
        <v>2064</v>
      </c>
      <c r="D1430" s="48">
        <v>44726</v>
      </c>
      <c r="E1430" s="19" t="s">
        <v>4574</v>
      </c>
      <c r="F1430" s="6" t="s">
        <v>4575</v>
      </c>
      <c r="G1430" s="6" t="s">
        <v>3291</v>
      </c>
      <c r="H1430" s="6" t="s">
        <v>3292</v>
      </c>
    </row>
    <row r="1431" spans="1:8" ht="12.75">
      <c r="A1431" s="18">
        <v>2022</v>
      </c>
      <c r="B1431" s="18">
        <v>89</v>
      </c>
      <c r="C1431" s="87" t="s">
        <v>2064</v>
      </c>
      <c r="D1431" s="48">
        <v>44726</v>
      </c>
      <c r="E1431" s="19" t="s">
        <v>4576</v>
      </c>
      <c r="F1431" s="6" t="s">
        <v>4577</v>
      </c>
      <c r="G1431" s="6" t="s">
        <v>3291</v>
      </c>
      <c r="H1431" s="6" t="s">
        <v>3292</v>
      </c>
    </row>
    <row r="1432" spans="1:8" ht="12.75">
      <c r="A1432" s="18">
        <v>2022</v>
      </c>
      <c r="B1432" s="18">
        <v>89</v>
      </c>
      <c r="C1432" s="87" t="s">
        <v>2064</v>
      </c>
      <c r="D1432" s="48">
        <v>44726</v>
      </c>
      <c r="E1432" s="19" t="s">
        <v>4578</v>
      </c>
      <c r="F1432" s="6" t="s">
        <v>4579</v>
      </c>
      <c r="G1432" s="6" t="s">
        <v>3291</v>
      </c>
      <c r="H1432" s="6" t="s">
        <v>3292</v>
      </c>
    </row>
    <row r="1433" spans="1:8" ht="12.75">
      <c r="A1433" s="18">
        <v>2022</v>
      </c>
      <c r="B1433" s="18">
        <v>89</v>
      </c>
      <c r="C1433" s="87" t="s">
        <v>2064</v>
      </c>
      <c r="D1433" s="48">
        <v>44726</v>
      </c>
      <c r="E1433" s="19" t="s">
        <v>4580</v>
      </c>
      <c r="F1433" s="6" t="s">
        <v>4579</v>
      </c>
      <c r="G1433" s="6" t="s">
        <v>3291</v>
      </c>
      <c r="H1433" s="6" t="s">
        <v>3292</v>
      </c>
    </row>
    <row r="1434" spans="1:8" ht="12.75">
      <c r="A1434" s="18">
        <v>2022</v>
      </c>
      <c r="B1434" s="18">
        <v>89</v>
      </c>
      <c r="C1434" s="87" t="s">
        <v>2064</v>
      </c>
      <c r="D1434" s="48">
        <v>44726</v>
      </c>
      <c r="E1434" s="19" t="s">
        <v>4581</v>
      </c>
      <c r="F1434" s="6" t="s">
        <v>4582</v>
      </c>
      <c r="G1434" s="6" t="s">
        <v>3291</v>
      </c>
      <c r="H1434" s="6" t="s">
        <v>3292</v>
      </c>
    </row>
    <row r="1435" spans="1:8" ht="12.75">
      <c r="A1435" s="18">
        <v>2022</v>
      </c>
      <c r="B1435" s="18">
        <v>89</v>
      </c>
      <c r="C1435" s="87" t="s">
        <v>2064</v>
      </c>
      <c r="D1435" s="48">
        <v>44726</v>
      </c>
      <c r="E1435" s="19" t="s">
        <v>4133</v>
      </c>
      <c r="F1435" s="6" t="s">
        <v>3318</v>
      </c>
      <c r="G1435" s="6" t="s">
        <v>3291</v>
      </c>
      <c r="H1435" s="6" t="s">
        <v>3292</v>
      </c>
    </row>
    <row r="1436" spans="1:8" ht="12.75">
      <c r="A1436" s="18">
        <v>2022</v>
      </c>
      <c r="B1436" s="18">
        <v>91</v>
      </c>
      <c r="C1436" s="87" t="s">
        <v>37</v>
      </c>
      <c r="D1436" s="48">
        <v>44728</v>
      </c>
      <c r="E1436" s="19" t="s">
        <v>4583</v>
      </c>
      <c r="F1436" s="6" t="s">
        <v>4584</v>
      </c>
      <c r="G1436" s="6" t="s">
        <v>3446</v>
      </c>
      <c r="H1436" s="6" t="s">
        <v>3288</v>
      </c>
    </row>
    <row r="1437" spans="1:8" ht="12.75">
      <c r="A1437" s="18">
        <v>2022</v>
      </c>
      <c r="B1437" s="18">
        <v>91</v>
      </c>
      <c r="C1437" s="87" t="s">
        <v>37</v>
      </c>
      <c r="D1437" s="48">
        <v>44728</v>
      </c>
      <c r="E1437" s="19" t="s">
        <v>4585</v>
      </c>
      <c r="F1437" s="6" t="s">
        <v>4586</v>
      </c>
      <c r="G1437" s="6" t="s">
        <v>3446</v>
      </c>
      <c r="H1437" s="6" t="s">
        <v>3288</v>
      </c>
    </row>
    <row r="1438" spans="1:8" ht="12.75">
      <c r="A1438" s="18">
        <v>2022</v>
      </c>
      <c r="B1438" s="18">
        <v>91</v>
      </c>
      <c r="C1438" s="87" t="s">
        <v>37</v>
      </c>
      <c r="D1438" s="48">
        <v>44728</v>
      </c>
      <c r="E1438" s="19" t="s">
        <v>4587</v>
      </c>
      <c r="F1438" s="6" t="s">
        <v>4588</v>
      </c>
      <c r="G1438" s="6" t="s">
        <v>3446</v>
      </c>
      <c r="H1438" s="6" t="s">
        <v>3288</v>
      </c>
    </row>
    <row r="1439" spans="1:8" ht="12.75">
      <c r="A1439" s="18">
        <v>2022</v>
      </c>
      <c r="B1439" s="18">
        <v>93</v>
      </c>
      <c r="C1439" s="87" t="s">
        <v>2403</v>
      </c>
      <c r="D1439" s="48">
        <v>44733</v>
      </c>
      <c r="E1439" s="19" t="s">
        <v>4065</v>
      </c>
      <c r="F1439" s="6" t="s">
        <v>4066</v>
      </c>
      <c r="G1439" s="6" t="s">
        <v>4067</v>
      </c>
      <c r="H1439" s="6" t="s">
        <v>3292</v>
      </c>
    </row>
    <row r="1440" spans="1:8" ht="12.75">
      <c r="A1440" s="18">
        <v>2022</v>
      </c>
      <c r="B1440" s="18">
        <v>93</v>
      </c>
      <c r="C1440" s="87" t="s">
        <v>2403</v>
      </c>
      <c r="D1440" s="48">
        <v>44733</v>
      </c>
      <c r="E1440" s="19" t="s">
        <v>4589</v>
      </c>
      <c r="F1440" s="6" t="s">
        <v>4590</v>
      </c>
      <c r="G1440" s="6" t="s">
        <v>4502</v>
      </c>
      <c r="H1440" s="6" t="s">
        <v>3567</v>
      </c>
    </row>
    <row r="1441" spans="1:8" ht="12.75">
      <c r="A1441" s="18">
        <v>2022</v>
      </c>
      <c r="B1441" s="18">
        <v>93</v>
      </c>
      <c r="C1441" s="87" t="s">
        <v>2403</v>
      </c>
      <c r="D1441" s="48">
        <v>44733</v>
      </c>
      <c r="E1441" s="19" t="s">
        <v>4591</v>
      </c>
      <c r="F1441" s="6" t="s">
        <v>4592</v>
      </c>
      <c r="G1441" s="6" t="s">
        <v>4502</v>
      </c>
      <c r="H1441" s="6" t="s">
        <v>3567</v>
      </c>
    </row>
    <row r="1442" spans="1:8" ht="12.75">
      <c r="A1442" s="18">
        <v>2022</v>
      </c>
      <c r="B1442" s="18">
        <v>93</v>
      </c>
      <c r="C1442" s="87" t="s">
        <v>2403</v>
      </c>
      <c r="D1442" s="48">
        <v>44733</v>
      </c>
      <c r="E1442" s="19" t="s">
        <v>4593</v>
      </c>
      <c r="F1442" s="6" t="s">
        <v>4594</v>
      </c>
      <c r="G1442" s="6" t="s">
        <v>4502</v>
      </c>
      <c r="H1442" s="6" t="s">
        <v>3567</v>
      </c>
    </row>
    <row r="1443" spans="1:8" ht="12.75">
      <c r="A1443" s="18">
        <v>2022</v>
      </c>
      <c r="B1443" s="18">
        <v>93</v>
      </c>
      <c r="C1443" s="87" t="s">
        <v>2403</v>
      </c>
      <c r="D1443" s="48">
        <v>44733</v>
      </c>
      <c r="E1443" s="19" t="s">
        <v>4595</v>
      </c>
      <c r="F1443" s="6" t="s">
        <v>4596</v>
      </c>
      <c r="G1443" s="6" t="s">
        <v>4067</v>
      </c>
      <c r="H1443" s="6" t="s">
        <v>3292</v>
      </c>
    </row>
    <row r="1444" spans="1:8" ht="12.75">
      <c r="A1444" s="18">
        <v>2022</v>
      </c>
      <c r="B1444" s="18">
        <v>93</v>
      </c>
      <c r="C1444" s="87" t="s">
        <v>2403</v>
      </c>
      <c r="D1444" s="48">
        <v>44733</v>
      </c>
      <c r="E1444" s="19" t="s">
        <v>4597</v>
      </c>
      <c r="F1444" s="6" t="s">
        <v>4598</v>
      </c>
      <c r="G1444" s="6" t="s">
        <v>4502</v>
      </c>
      <c r="H1444" s="6" t="s">
        <v>3567</v>
      </c>
    </row>
    <row r="1445" spans="1:8" ht="12.75">
      <c r="A1445" s="18">
        <v>2022</v>
      </c>
      <c r="B1445" s="18">
        <v>96</v>
      </c>
      <c r="C1445" s="87" t="s">
        <v>73</v>
      </c>
      <c r="D1445" s="48">
        <v>44735</v>
      </c>
      <c r="E1445" s="19" t="s">
        <v>4599</v>
      </c>
      <c r="F1445" s="6" t="s">
        <v>4600</v>
      </c>
      <c r="G1445" s="6" t="s">
        <v>1319</v>
      </c>
      <c r="H1445" s="6" t="s">
        <v>3288</v>
      </c>
    </row>
    <row r="1446" spans="1:8" ht="12.75">
      <c r="A1446" s="18">
        <v>2022</v>
      </c>
      <c r="B1446" s="18">
        <v>98</v>
      </c>
      <c r="C1446" s="87" t="s">
        <v>26</v>
      </c>
      <c r="D1446" s="48">
        <v>44740</v>
      </c>
      <c r="E1446" s="19" t="s">
        <v>4601</v>
      </c>
      <c r="F1446" s="6" t="s">
        <v>4602</v>
      </c>
      <c r="G1446" s="6" t="s">
        <v>3389</v>
      </c>
      <c r="H1446" s="6" t="s">
        <v>3288</v>
      </c>
    </row>
    <row r="1447" spans="1:8" ht="12.75">
      <c r="A1447" s="18">
        <v>2022</v>
      </c>
      <c r="B1447" s="18">
        <v>98</v>
      </c>
      <c r="C1447" s="87" t="s">
        <v>26</v>
      </c>
      <c r="D1447" s="48">
        <v>44740</v>
      </c>
      <c r="E1447" s="19" t="s">
        <v>4603</v>
      </c>
      <c r="F1447" s="6" t="s">
        <v>4604</v>
      </c>
      <c r="G1447" s="6" t="s">
        <v>3389</v>
      </c>
      <c r="H1447" s="6" t="s">
        <v>3288</v>
      </c>
    </row>
    <row r="1448" spans="1:8" ht="12.75">
      <c r="A1448" s="18">
        <v>2022</v>
      </c>
      <c r="B1448" s="18">
        <v>98</v>
      </c>
      <c r="C1448" s="87" t="s">
        <v>26</v>
      </c>
      <c r="D1448" s="48">
        <v>44740</v>
      </c>
      <c r="E1448" s="19" t="s">
        <v>4605</v>
      </c>
      <c r="F1448" s="6" t="s">
        <v>4606</v>
      </c>
      <c r="G1448" s="6" t="s">
        <v>3389</v>
      </c>
      <c r="H1448" s="6" t="s">
        <v>3288</v>
      </c>
    </row>
    <row r="1449" spans="1:8" ht="12.75">
      <c r="A1449" s="18">
        <v>2022</v>
      </c>
      <c r="B1449" s="18">
        <v>100</v>
      </c>
      <c r="C1449" s="87" t="s">
        <v>190</v>
      </c>
      <c r="D1449" s="48">
        <v>44742</v>
      </c>
      <c r="E1449" s="19" t="s">
        <v>4607</v>
      </c>
      <c r="F1449" s="6" t="s">
        <v>4608</v>
      </c>
      <c r="G1449" s="6" t="s">
        <v>3512</v>
      </c>
      <c r="H1449" s="6" t="s">
        <v>3513</v>
      </c>
    </row>
    <row r="1450" spans="1:8" ht="12.75">
      <c r="A1450" s="18">
        <v>2022</v>
      </c>
      <c r="B1450" s="18">
        <v>100</v>
      </c>
      <c r="C1450" s="87" t="s">
        <v>190</v>
      </c>
      <c r="D1450" s="48">
        <v>44742</v>
      </c>
      <c r="E1450" s="19" t="s">
        <v>4609</v>
      </c>
      <c r="F1450" s="6" t="s">
        <v>4610</v>
      </c>
      <c r="G1450" s="6" t="s">
        <v>3512</v>
      </c>
      <c r="H1450" s="6" t="s">
        <v>3513</v>
      </c>
    </row>
    <row r="1451" spans="1:8" ht="12.75">
      <c r="A1451" s="18">
        <v>2022</v>
      </c>
      <c r="B1451" s="18">
        <v>100</v>
      </c>
      <c r="C1451" s="87" t="s">
        <v>190</v>
      </c>
      <c r="D1451" s="48">
        <v>44742</v>
      </c>
      <c r="E1451" s="19" t="s">
        <v>4611</v>
      </c>
      <c r="F1451" s="6" t="s">
        <v>4612</v>
      </c>
      <c r="G1451" s="6" t="s">
        <v>3512</v>
      </c>
      <c r="H1451" s="6" t="s">
        <v>3513</v>
      </c>
    </row>
    <row r="1452" spans="1:8" ht="12.75">
      <c r="A1452" s="18">
        <v>2022</v>
      </c>
      <c r="B1452" s="18">
        <v>104</v>
      </c>
      <c r="C1452" s="87" t="s">
        <v>2074</v>
      </c>
      <c r="D1452" s="48">
        <v>44768</v>
      </c>
      <c r="E1452" s="19" t="s">
        <v>4613</v>
      </c>
      <c r="F1452" s="6" t="s">
        <v>4614</v>
      </c>
      <c r="G1452" s="6" t="s">
        <v>3993</v>
      </c>
      <c r="H1452" s="6" t="s">
        <v>3513</v>
      </c>
    </row>
    <row r="1453" spans="1:8" ht="12.75">
      <c r="A1453" s="18">
        <v>2022</v>
      </c>
      <c r="B1453" s="18">
        <v>104</v>
      </c>
      <c r="C1453" s="87" t="s">
        <v>2074</v>
      </c>
      <c r="D1453" s="48">
        <v>44768</v>
      </c>
      <c r="E1453" s="19" t="s">
        <v>3989</v>
      </c>
      <c r="F1453" s="6" t="s">
        <v>3990</v>
      </c>
      <c r="G1453" s="6" t="s">
        <v>3306</v>
      </c>
      <c r="H1453" s="6" t="s">
        <v>3292</v>
      </c>
    </row>
    <row r="1454" spans="1:8" ht="12.75">
      <c r="A1454" s="18">
        <v>2022</v>
      </c>
      <c r="B1454" s="18">
        <v>107</v>
      </c>
      <c r="C1454" s="87" t="s">
        <v>2074</v>
      </c>
      <c r="D1454" s="48">
        <v>44775</v>
      </c>
      <c r="E1454" s="19" t="s">
        <v>4615</v>
      </c>
      <c r="F1454" s="6" t="s">
        <v>4616</v>
      </c>
      <c r="G1454" s="6" t="s">
        <v>3446</v>
      </c>
      <c r="H1454" s="6" t="s">
        <v>3288</v>
      </c>
    </row>
    <row r="1455" spans="1:8" ht="12.75">
      <c r="A1455" s="18">
        <v>2022</v>
      </c>
      <c r="B1455" s="18">
        <v>107</v>
      </c>
      <c r="C1455" s="87" t="s">
        <v>2074</v>
      </c>
      <c r="D1455" s="48">
        <v>44775</v>
      </c>
      <c r="E1455" s="19" t="s">
        <v>4617</v>
      </c>
      <c r="F1455" s="6" t="s">
        <v>4618</v>
      </c>
      <c r="G1455" s="6" t="s">
        <v>3446</v>
      </c>
      <c r="H1455" s="6" t="s">
        <v>3288</v>
      </c>
    </row>
    <row r="1456" spans="1:8" ht="12.75">
      <c r="A1456" s="18">
        <v>2022</v>
      </c>
      <c r="B1456" s="18">
        <v>107</v>
      </c>
      <c r="C1456" s="87" t="s">
        <v>2074</v>
      </c>
      <c r="D1456" s="48">
        <v>44775</v>
      </c>
      <c r="E1456" s="19" t="s">
        <v>4619</v>
      </c>
      <c r="F1456" s="6" t="s">
        <v>4620</v>
      </c>
      <c r="G1456" s="6" t="s">
        <v>3446</v>
      </c>
      <c r="H1456" s="6" t="s">
        <v>3288</v>
      </c>
    </row>
    <row r="1457" spans="1:8" ht="12.75">
      <c r="A1457" s="18">
        <v>2022</v>
      </c>
      <c r="B1457" s="18">
        <v>107</v>
      </c>
      <c r="C1457" s="87" t="s">
        <v>2074</v>
      </c>
      <c r="D1457" s="48">
        <v>44775</v>
      </c>
      <c r="E1457" s="19" t="s">
        <v>4621</v>
      </c>
      <c r="F1457" s="6" t="s">
        <v>4622</v>
      </c>
      <c r="G1457" s="6" t="s">
        <v>3446</v>
      </c>
      <c r="H1457" s="6" t="s">
        <v>3288</v>
      </c>
    </row>
    <row r="1458" spans="1:8" ht="12.75">
      <c r="A1458" s="18">
        <v>2022</v>
      </c>
      <c r="B1458" s="18">
        <v>107</v>
      </c>
      <c r="C1458" s="87" t="s">
        <v>2074</v>
      </c>
      <c r="D1458" s="48">
        <v>44775</v>
      </c>
      <c r="E1458" s="19" t="s">
        <v>4623</v>
      </c>
      <c r="F1458" s="6" t="s">
        <v>4624</v>
      </c>
      <c r="G1458" s="6" t="s">
        <v>3446</v>
      </c>
      <c r="H1458" s="6" t="s">
        <v>3288</v>
      </c>
    </row>
    <row r="1459" spans="1:8" ht="12.75">
      <c r="A1459" s="18">
        <v>2022</v>
      </c>
      <c r="B1459" s="18">
        <v>107</v>
      </c>
      <c r="C1459" s="87" t="s">
        <v>2074</v>
      </c>
      <c r="D1459" s="48">
        <v>44775</v>
      </c>
      <c r="E1459" s="19" t="s">
        <v>4625</v>
      </c>
      <c r="F1459" s="6" t="s">
        <v>4626</v>
      </c>
      <c r="G1459" s="6" t="s">
        <v>3446</v>
      </c>
      <c r="H1459" s="6" t="s">
        <v>3288</v>
      </c>
    </row>
    <row r="1460" spans="1:8" ht="12.75">
      <c r="A1460" s="18">
        <v>2022</v>
      </c>
      <c r="B1460" s="18">
        <v>109</v>
      </c>
      <c r="C1460" s="87" t="s">
        <v>2466</v>
      </c>
      <c r="D1460" s="48">
        <v>44775</v>
      </c>
      <c r="E1460" s="19" t="s">
        <v>4627</v>
      </c>
      <c r="F1460" s="6" t="s">
        <v>4431</v>
      </c>
      <c r="G1460" s="6" t="s">
        <v>3291</v>
      </c>
      <c r="H1460" s="6" t="s">
        <v>3292</v>
      </c>
    </row>
    <row r="1461" spans="1:8" ht="12.75">
      <c r="A1461" s="18">
        <v>2022</v>
      </c>
      <c r="B1461" s="18">
        <v>109</v>
      </c>
      <c r="C1461" s="87" t="s">
        <v>2466</v>
      </c>
      <c r="D1461" s="48">
        <v>44775</v>
      </c>
      <c r="E1461" s="19" t="s">
        <v>4628</v>
      </c>
      <c r="F1461" s="6" t="s">
        <v>4629</v>
      </c>
      <c r="G1461" s="6" t="s">
        <v>3291</v>
      </c>
      <c r="H1461" s="6" t="s">
        <v>3292</v>
      </c>
    </row>
    <row r="1462" spans="1:8" ht="12.75">
      <c r="A1462" s="18">
        <v>2022</v>
      </c>
      <c r="B1462" s="18">
        <v>109</v>
      </c>
      <c r="C1462" s="87" t="s">
        <v>2466</v>
      </c>
      <c r="D1462" s="48">
        <v>44775</v>
      </c>
      <c r="E1462" s="19" t="s">
        <v>4630</v>
      </c>
      <c r="F1462" s="6" t="s">
        <v>4631</v>
      </c>
      <c r="G1462" s="6" t="s">
        <v>3291</v>
      </c>
      <c r="H1462" s="6" t="s">
        <v>3292</v>
      </c>
    </row>
    <row r="1463" spans="1:8" ht="12.75">
      <c r="A1463" s="18">
        <v>2022</v>
      </c>
      <c r="B1463" s="18">
        <v>109</v>
      </c>
      <c r="C1463" s="87" t="s">
        <v>2466</v>
      </c>
      <c r="D1463" s="48">
        <v>44775</v>
      </c>
      <c r="E1463" s="19" t="s">
        <v>4632</v>
      </c>
      <c r="F1463" s="6" t="s">
        <v>4633</v>
      </c>
      <c r="G1463" s="6" t="s">
        <v>3291</v>
      </c>
      <c r="H1463" s="6" t="s">
        <v>3292</v>
      </c>
    </row>
    <row r="1464" spans="1:8" ht="12.75">
      <c r="A1464" s="18">
        <v>2022</v>
      </c>
      <c r="B1464" s="18">
        <v>109</v>
      </c>
      <c r="C1464" s="87" t="s">
        <v>2466</v>
      </c>
      <c r="D1464" s="48">
        <v>44775</v>
      </c>
      <c r="E1464" s="19" t="s">
        <v>4634</v>
      </c>
      <c r="F1464" s="6" t="s">
        <v>4635</v>
      </c>
      <c r="G1464" s="6" t="s">
        <v>3291</v>
      </c>
      <c r="H1464" s="6" t="s">
        <v>3292</v>
      </c>
    </row>
    <row r="1465" spans="1:8" ht="12.75">
      <c r="A1465" s="18">
        <v>2022</v>
      </c>
      <c r="B1465" s="18">
        <v>109</v>
      </c>
      <c r="C1465" s="87" t="s">
        <v>2466</v>
      </c>
      <c r="D1465" s="48">
        <v>44775</v>
      </c>
      <c r="E1465" s="19" t="s">
        <v>4636</v>
      </c>
      <c r="F1465" s="6" t="s">
        <v>4637</v>
      </c>
      <c r="G1465" s="6" t="s">
        <v>3351</v>
      </c>
      <c r="H1465" s="6" t="s">
        <v>3292</v>
      </c>
    </row>
    <row r="1466" spans="1:8" ht="12.75">
      <c r="A1466" s="18">
        <v>2022</v>
      </c>
      <c r="B1466" s="18">
        <v>109</v>
      </c>
      <c r="C1466" s="87" t="s">
        <v>2466</v>
      </c>
      <c r="D1466" s="48">
        <v>44775</v>
      </c>
      <c r="E1466" s="19" t="s">
        <v>4638</v>
      </c>
      <c r="F1466" s="6" t="s">
        <v>4639</v>
      </c>
      <c r="G1466" s="6" t="s">
        <v>3351</v>
      </c>
      <c r="H1466" s="6" t="s">
        <v>3292</v>
      </c>
    </row>
    <row r="1467" spans="1:8" ht="12.75">
      <c r="A1467" s="18">
        <v>2022</v>
      </c>
      <c r="B1467" s="18">
        <v>109</v>
      </c>
      <c r="C1467" s="87" t="s">
        <v>2466</v>
      </c>
      <c r="D1467" s="48">
        <v>44775</v>
      </c>
      <c r="E1467" s="19" t="s">
        <v>4640</v>
      </c>
      <c r="F1467" s="6" t="s">
        <v>4641</v>
      </c>
      <c r="G1467" s="6" t="s">
        <v>3291</v>
      </c>
      <c r="H1467" s="6" t="s">
        <v>3292</v>
      </c>
    </row>
    <row r="1468" spans="1:8" ht="12.75">
      <c r="A1468" s="18">
        <v>2022</v>
      </c>
      <c r="B1468" s="18">
        <v>111</v>
      </c>
      <c r="C1468" s="87" t="s">
        <v>55</v>
      </c>
      <c r="D1468" s="48">
        <v>44777</v>
      </c>
      <c r="E1468" s="19" t="s">
        <v>3344</v>
      </c>
      <c r="F1468" s="6" t="s">
        <v>3345</v>
      </c>
      <c r="G1468" s="6" t="s">
        <v>3311</v>
      </c>
      <c r="H1468" s="6" t="s">
        <v>3292</v>
      </c>
    </row>
    <row r="1469" spans="1:8" ht="12.75">
      <c r="A1469" s="18">
        <v>2022</v>
      </c>
      <c r="B1469" s="18">
        <v>111</v>
      </c>
      <c r="C1469" s="87" t="s">
        <v>55</v>
      </c>
      <c r="D1469" s="48">
        <v>44777</v>
      </c>
      <c r="E1469" s="19" t="s">
        <v>4642</v>
      </c>
      <c r="F1469" s="6" t="s">
        <v>4643</v>
      </c>
      <c r="G1469" s="6" t="s">
        <v>3311</v>
      </c>
      <c r="H1469" s="6" t="s">
        <v>3292</v>
      </c>
    </row>
    <row r="1470" spans="1:8" ht="12.75">
      <c r="A1470" s="18">
        <v>2022</v>
      </c>
      <c r="B1470" s="18">
        <v>111</v>
      </c>
      <c r="C1470" s="87" t="s">
        <v>55</v>
      </c>
      <c r="D1470" s="48">
        <v>44777</v>
      </c>
      <c r="E1470" s="19" t="s">
        <v>4644</v>
      </c>
      <c r="F1470" s="6" t="s">
        <v>4645</v>
      </c>
      <c r="G1470" s="6" t="s">
        <v>3311</v>
      </c>
      <c r="H1470" s="6" t="s">
        <v>3292</v>
      </c>
    </row>
    <row r="1471" spans="1:8" ht="12.75">
      <c r="A1471" s="18">
        <v>2022</v>
      </c>
      <c r="B1471" s="18">
        <v>111</v>
      </c>
      <c r="C1471" s="87" t="s">
        <v>55</v>
      </c>
      <c r="D1471" s="48">
        <v>44777</v>
      </c>
      <c r="E1471" s="19" t="s">
        <v>4646</v>
      </c>
      <c r="F1471" s="6" t="s">
        <v>4647</v>
      </c>
      <c r="G1471" s="6" t="s">
        <v>3311</v>
      </c>
      <c r="H1471" s="6" t="s">
        <v>3292</v>
      </c>
    </row>
    <row r="1472" spans="1:8" ht="12.75">
      <c r="A1472" s="18">
        <v>2022</v>
      </c>
      <c r="B1472" s="18">
        <v>111</v>
      </c>
      <c r="C1472" s="87" t="s">
        <v>55</v>
      </c>
      <c r="D1472" s="48">
        <v>44777</v>
      </c>
      <c r="E1472" s="19" t="s">
        <v>4648</v>
      </c>
      <c r="F1472" s="6" t="s">
        <v>4649</v>
      </c>
      <c r="G1472" s="6" t="s">
        <v>3311</v>
      </c>
      <c r="H1472" s="6" t="s">
        <v>3292</v>
      </c>
    </row>
    <row r="1473" spans="1:8" ht="12.75">
      <c r="A1473" s="18">
        <v>2022</v>
      </c>
      <c r="B1473" s="18">
        <v>111</v>
      </c>
      <c r="C1473" s="87" t="s">
        <v>55</v>
      </c>
      <c r="D1473" s="48">
        <v>44777</v>
      </c>
      <c r="E1473" s="19" t="s">
        <v>4650</v>
      </c>
      <c r="F1473" s="6" t="s">
        <v>4651</v>
      </c>
      <c r="G1473" s="6" t="s">
        <v>3311</v>
      </c>
      <c r="H1473" s="6" t="s">
        <v>3292</v>
      </c>
    </row>
    <row r="1474" spans="1:8" ht="12.75">
      <c r="A1474" s="18">
        <v>2022</v>
      </c>
      <c r="B1474" s="18">
        <v>111</v>
      </c>
      <c r="C1474" s="87" t="s">
        <v>55</v>
      </c>
      <c r="D1474" s="48">
        <v>44777</v>
      </c>
      <c r="E1474" s="19" t="s">
        <v>4652</v>
      </c>
      <c r="F1474" s="6" t="s">
        <v>4653</v>
      </c>
      <c r="G1474" s="6" t="s">
        <v>3311</v>
      </c>
      <c r="H1474" s="6" t="s">
        <v>3292</v>
      </c>
    </row>
    <row r="1475" spans="1:8" ht="12.75">
      <c r="A1475" s="18">
        <v>2022</v>
      </c>
      <c r="B1475" s="18">
        <v>111</v>
      </c>
      <c r="C1475" s="87" t="s">
        <v>55</v>
      </c>
      <c r="D1475" s="48">
        <v>44777</v>
      </c>
      <c r="E1475" s="19" t="s">
        <v>4654</v>
      </c>
      <c r="F1475" s="6" t="s">
        <v>4655</v>
      </c>
      <c r="G1475" s="6" t="s">
        <v>3311</v>
      </c>
      <c r="H1475" s="6" t="s">
        <v>3292</v>
      </c>
    </row>
    <row r="1476" spans="1:8" ht="12.75">
      <c r="A1476" s="18">
        <v>2022</v>
      </c>
      <c r="B1476" s="18">
        <v>114</v>
      </c>
      <c r="C1476" s="87" t="s">
        <v>2064</v>
      </c>
      <c r="D1476" s="48">
        <v>44782</v>
      </c>
      <c r="E1476" s="19" t="s">
        <v>4133</v>
      </c>
      <c r="F1476" s="6" t="s">
        <v>3318</v>
      </c>
      <c r="G1476" s="6" t="s">
        <v>3291</v>
      </c>
      <c r="H1476" s="6" t="s">
        <v>3292</v>
      </c>
    </row>
    <row r="1477" spans="1:8" ht="12.75">
      <c r="A1477" s="18">
        <v>2022</v>
      </c>
      <c r="B1477" s="18">
        <v>114</v>
      </c>
      <c r="C1477" s="87" t="s">
        <v>2064</v>
      </c>
      <c r="D1477" s="48">
        <v>44782</v>
      </c>
      <c r="E1477" s="19" t="s">
        <v>4656</v>
      </c>
      <c r="F1477" s="6" t="s">
        <v>4657</v>
      </c>
      <c r="G1477" s="6" t="s">
        <v>3291</v>
      </c>
      <c r="H1477" s="6" t="s">
        <v>3292</v>
      </c>
    </row>
    <row r="1478" spans="1:8" ht="12.75">
      <c r="A1478" s="18">
        <v>2022</v>
      </c>
      <c r="B1478" s="18">
        <v>116</v>
      </c>
      <c r="C1478" s="87" t="s">
        <v>45</v>
      </c>
      <c r="D1478" s="48">
        <v>44783</v>
      </c>
      <c r="E1478" s="19" t="s">
        <v>4658</v>
      </c>
      <c r="F1478" s="6" t="s">
        <v>4659</v>
      </c>
      <c r="G1478" s="6" t="s">
        <v>3325</v>
      </c>
      <c r="H1478" s="6" t="s">
        <v>3292</v>
      </c>
    </row>
    <row r="1479" spans="1:8" ht="12.75">
      <c r="A1479" s="18">
        <v>2022</v>
      </c>
      <c r="B1479" s="18">
        <v>118</v>
      </c>
      <c r="C1479" s="87" t="s">
        <v>370</v>
      </c>
      <c r="D1479" s="48">
        <v>44784</v>
      </c>
      <c r="E1479" s="19" t="s">
        <v>4236</v>
      </c>
      <c r="F1479" s="6" t="s">
        <v>4660</v>
      </c>
      <c r="G1479" s="6" t="s">
        <v>4543</v>
      </c>
      <c r="H1479" s="6" t="s">
        <v>3292</v>
      </c>
    </row>
    <row r="1480" spans="1:8" ht="12.75">
      <c r="A1480" s="18">
        <v>2022</v>
      </c>
      <c r="B1480" s="18">
        <v>118</v>
      </c>
      <c r="C1480" s="87" t="s">
        <v>370</v>
      </c>
      <c r="D1480" s="48">
        <v>44784</v>
      </c>
      <c r="E1480" s="19" t="s">
        <v>4661</v>
      </c>
      <c r="F1480" s="6" t="s">
        <v>4660</v>
      </c>
      <c r="G1480" s="6" t="s">
        <v>4543</v>
      </c>
      <c r="H1480" s="6" t="s">
        <v>3292</v>
      </c>
    </row>
    <row r="1481" spans="1:8" ht="12.75">
      <c r="A1481" s="18">
        <v>2022</v>
      </c>
      <c r="B1481" s="18">
        <v>127</v>
      </c>
      <c r="C1481" s="87" t="s">
        <v>28</v>
      </c>
      <c r="D1481" s="48">
        <v>44798</v>
      </c>
      <c r="E1481" s="19" t="s">
        <v>4382</v>
      </c>
      <c r="F1481" s="6" t="s">
        <v>4662</v>
      </c>
      <c r="G1481" s="6" t="s">
        <v>3432</v>
      </c>
      <c r="H1481" s="6" t="s">
        <v>3292</v>
      </c>
    </row>
    <row r="1482" spans="1:8" ht="12.75">
      <c r="A1482" s="18">
        <v>2022</v>
      </c>
      <c r="B1482" s="18">
        <v>128</v>
      </c>
      <c r="C1482" s="87" t="s">
        <v>2074</v>
      </c>
      <c r="D1482" s="48">
        <v>44803</v>
      </c>
      <c r="E1482" s="19" t="s">
        <v>4663</v>
      </c>
      <c r="F1482" s="6" t="s">
        <v>4664</v>
      </c>
      <c r="G1482" s="6" t="s">
        <v>3446</v>
      </c>
      <c r="H1482" s="6" t="s">
        <v>3288</v>
      </c>
    </row>
    <row r="1483" spans="1:8" ht="12.75">
      <c r="A1483" s="18">
        <v>2022</v>
      </c>
      <c r="B1483" s="18">
        <v>128</v>
      </c>
      <c r="C1483" s="87" t="s">
        <v>2074</v>
      </c>
      <c r="D1483" s="48">
        <v>44803</v>
      </c>
      <c r="E1483" s="19" t="s">
        <v>4665</v>
      </c>
      <c r="F1483" s="6" t="s">
        <v>4620</v>
      </c>
      <c r="G1483" s="6" t="s">
        <v>3446</v>
      </c>
      <c r="H1483" s="6" t="s">
        <v>3288</v>
      </c>
    </row>
    <row r="1484" spans="1:8" ht="12.75">
      <c r="A1484" s="18">
        <v>2022</v>
      </c>
      <c r="B1484" s="18">
        <v>131</v>
      </c>
      <c r="C1484" s="87" t="s">
        <v>39</v>
      </c>
      <c r="D1484" s="48">
        <v>44803</v>
      </c>
      <c r="E1484" s="19" t="s">
        <v>4447</v>
      </c>
      <c r="F1484" s="6" t="s">
        <v>4666</v>
      </c>
      <c r="G1484" s="6" t="s">
        <v>3291</v>
      </c>
      <c r="H1484" s="6" t="s">
        <v>3292</v>
      </c>
    </row>
    <row r="1485" spans="1:8" ht="12.75">
      <c r="A1485" s="18">
        <v>2022</v>
      </c>
      <c r="B1485" s="18">
        <v>131</v>
      </c>
      <c r="C1485" s="87" t="s">
        <v>39</v>
      </c>
      <c r="D1485" s="48">
        <v>44803</v>
      </c>
      <c r="E1485" s="19" t="s">
        <v>3666</v>
      </c>
      <c r="F1485" s="6" t="s">
        <v>4667</v>
      </c>
      <c r="G1485" s="6" t="s">
        <v>3291</v>
      </c>
      <c r="H1485" s="6" t="s">
        <v>3292</v>
      </c>
    </row>
    <row r="1486" spans="1:8" ht="12.75">
      <c r="A1486" s="18">
        <v>2022</v>
      </c>
      <c r="B1486" s="18">
        <v>131</v>
      </c>
      <c r="C1486" s="87" t="s">
        <v>39</v>
      </c>
      <c r="D1486" s="48">
        <v>44803</v>
      </c>
      <c r="E1486" s="19" t="s">
        <v>4668</v>
      </c>
      <c r="F1486" s="6" t="s">
        <v>4669</v>
      </c>
      <c r="G1486" s="6" t="s">
        <v>3291</v>
      </c>
      <c r="H1486" s="6" t="s">
        <v>3292</v>
      </c>
    </row>
    <row r="1487" spans="1:8" ht="12.75">
      <c r="A1487" s="18">
        <v>2022</v>
      </c>
      <c r="B1487" s="18">
        <v>131</v>
      </c>
      <c r="C1487" s="87" t="s">
        <v>39</v>
      </c>
      <c r="D1487" s="48">
        <v>44803</v>
      </c>
      <c r="E1487" s="19" t="s">
        <v>4670</v>
      </c>
      <c r="F1487" s="6" t="s">
        <v>4671</v>
      </c>
      <c r="G1487" s="6" t="s">
        <v>3291</v>
      </c>
      <c r="H1487" s="6" t="s">
        <v>3292</v>
      </c>
    </row>
    <row r="1488" spans="1:8" ht="12.75">
      <c r="A1488" s="18">
        <v>2022</v>
      </c>
      <c r="B1488" s="18">
        <v>136</v>
      </c>
      <c r="C1488" s="87" t="s">
        <v>2579</v>
      </c>
      <c r="D1488" s="48">
        <v>44810</v>
      </c>
      <c r="E1488" s="19" t="s">
        <v>3703</v>
      </c>
      <c r="F1488" s="6" t="s">
        <v>3704</v>
      </c>
      <c r="G1488" s="6" t="s">
        <v>3325</v>
      </c>
      <c r="H1488" s="6" t="s">
        <v>3292</v>
      </c>
    </row>
    <row r="1489" spans="1:8" ht="12.75">
      <c r="A1489" s="18">
        <v>2022</v>
      </c>
      <c r="B1489" s="18">
        <v>138</v>
      </c>
      <c r="C1489" s="87" t="s">
        <v>2074</v>
      </c>
      <c r="D1489" s="48">
        <v>44811</v>
      </c>
      <c r="E1489" s="19" t="s">
        <v>4672</v>
      </c>
      <c r="F1489" s="6" t="s">
        <v>4673</v>
      </c>
      <c r="G1489" s="6" t="s">
        <v>3993</v>
      </c>
      <c r="H1489" s="6" t="s">
        <v>3513</v>
      </c>
    </row>
    <row r="1490" spans="1:8" ht="12.75">
      <c r="A1490" s="18">
        <v>2022</v>
      </c>
      <c r="B1490" s="18">
        <v>138</v>
      </c>
      <c r="C1490" s="87" t="s">
        <v>2074</v>
      </c>
      <c r="D1490" s="48">
        <v>44811</v>
      </c>
      <c r="E1490" s="19" t="s">
        <v>4674</v>
      </c>
      <c r="F1490" s="6" t="s">
        <v>4675</v>
      </c>
      <c r="G1490" s="6" t="s">
        <v>3439</v>
      </c>
      <c r="H1490" s="6" t="s">
        <v>3288</v>
      </c>
    </row>
    <row r="1491" spans="1:8" ht="12.75">
      <c r="A1491" s="18">
        <v>2022</v>
      </c>
      <c r="B1491" s="18">
        <v>138</v>
      </c>
      <c r="C1491" s="87" t="s">
        <v>2074</v>
      </c>
      <c r="D1491" s="48">
        <v>44811</v>
      </c>
      <c r="E1491" s="19" t="s">
        <v>3447</v>
      </c>
      <c r="F1491" s="6" t="s">
        <v>4676</v>
      </c>
      <c r="G1491" s="6" t="s">
        <v>3446</v>
      </c>
      <c r="H1491" s="6" t="s">
        <v>3288</v>
      </c>
    </row>
    <row r="1492" spans="1:8" ht="12.75">
      <c r="A1492" s="18">
        <v>2022</v>
      </c>
      <c r="B1492" s="18">
        <v>138</v>
      </c>
      <c r="C1492" s="87" t="s">
        <v>2074</v>
      </c>
      <c r="D1492" s="48">
        <v>44811</v>
      </c>
      <c r="E1492" s="19" t="s">
        <v>4677</v>
      </c>
      <c r="F1492" s="6" t="s">
        <v>4678</v>
      </c>
      <c r="G1492" s="6" t="s">
        <v>3389</v>
      </c>
      <c r="H1492" s="6" t="s">
        <v>3288</v>
      </c>
    </row>
    <row r="1493" spans="1:8" ht="12.75">
      <c r="A1493" s="18">
        <v>2022</v>
      </c>
      <c r="B1493" s="18">
        <v>138</v>
      </c>
      <c r="C1493" s="87" t="s">
        <v>2074</v>
      </c>
      <c r="D1493" s="48">
        <v>44811</v>
      </c>
      <c r="E1493" s="19" t="s">
        <v>4679</v>
      </c>
      <c r="F1493" s="6" t="s">
        <v>4680</v>
      </c>
      <c r="G1493" s="6" t="s">
        <v>3389</v>
      </c>
      <c r="H1493" s="6" t="s">
        <v>3288</v>
      </c>
    </row>
    <row r="1494" spans="1:8" ht="12.75">
      <c r="A1494" s="18">
        <v>2022</v>
      </c>
      <c r="B1494" s="18">
        <v>141</v>
      </c>
      <c r="C1494" s="87" t="s">
        <v>1980</v>
      </c>
      <c r="D1494" s="48">
        <v>44812</v>
      </c>
      <c r="E1494" s="19" t="s">
        <v>3544</v>
      </c>
      <c r="F1494" s="6" t="s">
        <v>4420</v>
      </c>
      <c r="G1494" s="6" t="s">
        <v>3546</v>
      </c>
      <c r="H1494" s="6" t="s">
        <v>3292</v>
      </c>
    </row>
    <row r="1495" spans="1:8" ht="12.75">
      <c r="A1495" s="18">
        <v>2022</v>
      </c>
      <c r="B1495" s="18">
        <v>141</v>
      </c>
      <c r="C1495" s="87" t="s">
        <v>1980</v>
      </c>
      <c r="D1495" s="48">
        <v>44812</v>
      </c>
      <c r="E1495" s="19" t="s">
        <v>4421</v>
      </c>
      <c r="F1495" s="6" t="s">
        <v>3548</v>
      </c>
      <c r="G1495" s="6" t="s">
        <v>3546</v>
      </c>
      <c r="H1495" s="6" t="s">
        <v>3292</v>
      </c>
    </row>
    <row r="1496" spans="1:8" ht="12.75">
      <c r="A1496" s="18">
        <v>2022</v>
      </c>
      <c r="B1496" s="18">
        <v>142</v>
      </c>
      <c r="C1496" s="87" t="s">
        <v>39</v>
      </c>
      <c r="D1496" s="48">
        <v>44817</v>
      </c>
      <c r="E1496" s="19" t="s">
        <v>4681</v>
      </c>
      <c r="F1496" s="6" t="s">
        <v>4682</v>
      </c>
      <c r="G1496" s="6" t="s">
        <v>3291</v>
      </c>
      <c r="H1496" s="6" t="s">
        <v>3292</v>
      </c>
    </row>
    <row r="1497" spans="1:8" ht="12.75">
      <c r="A1497" s="18">
        <v>2022</v>
      </c>
      <c r="B1497" s="18">
        <v>142</v>
      </c>
      <c r="C1497" s="87" t="s">
        <v>39</v>
      </c>
      <c r="D1497" s="48">
        <v>44817</v>
      </c>
      <c r="E1497" s="19" t="s">
        <v>4683</v>
      </c>
      <c r="F1497" s="6" t="s">
        <v>4684</v>
      </c>
      <c r="G1497" s="6" t="s">
        <v>3291</v>
      </c>
      <c r="H1497" s="6" t="s">
        <v>3292</v>
      </c>
    </row>
    <row r="1498" spans="1:8" ht="12.75">
      <c r="A1498" s="18">
        <v>2022</v>
      </c>
      <c r="B1498" s="18">
        <v>142</v>
      </c>
      <c r="C1498" s="87" t="s">
        <v>39</v>
      </c>
      <c r="D1498" s="48">
        <v>44817</v>
      </c>
      <c r="E1498" s="19" t="s">
        <v>4685</v>
      </c>
      <c r="F1498" s="6" t="s">
        <v>4686</v>
      </c>
      <c r="G1498" s="6" t="s">
        <v>3291</v>
      </c>
      <c r="H1498" s="6" t="s">
        <v>3292</v>
      </c>
    </row>
    <row r="1499" spans="1:8" ht="12.75">
      <c r="A1499" s="18">
        <v>2022</v>
      </c>
      <c r="B1499" s="18">
        <v>142</v>
      </c>
      <c r="C1499" s="87" t="s">
        <v>39</v>
      </c>
      <c r="D1499" s="48">
        <v>44817</v>
      </c>
      <c r="E1499" s="19" t="s">
        <v>4687</v>
      </c>
      <c r="F1499" s="6" t="s">
        <v>4688</v>
      </c>
      <c r="G1499" s="6" t="s">
        <v>3291</v>
      </c>
      <c r="H1499" s="6" t="s">
        <v>3292</v>
      </c>
    </row>
    <row r="1500" spans="1:8" ht="12.75">
      <c r="A1500" s="18">
        <v>2022</v>
      </c>
      <c r="B1500" s="18">
        <v>142</v>
      </c>
      <c r="C1500" s="87" t="s">
        <v>39</v>
      </c>
      <c r="D1500" s="48">
        <v>44817</v>
      </c>
      <c r="E1500" s="19" t="s">
        <v>4689</v>
      </c>
      <c r="F1500" s="6" t="s">
        <v>4688</v>
      </c>
      <c r="G1500" s="6" t="s">
        <v>3291</v>
      </c>
      <c r="H1500" s="6" t="s">
        <v>3292</v>
      </c>
    </row>
    <row r="1501" spans="1:8" ht="12.75">
      <c r="A1501" s="18">
        <v>2022</v>
      </c>
      <c r="B1501" s="18">
        <v>148</v>
      </c>
      <c r="C1501" s="87" t="s">
        <v>41</v>
      </c>
      <c r="D1501" s="48">
        <v>44824</v>
      </c>
      <c r="E1501" s="19" t="s">
        <v>4690</v>
      </c>
      <c r="F1501" s="6" t="s">
        <v>4691</v>
      </c>
      <c r="G1501" s="6" t="s">
        <v>4692</v>
      </c>
      <c r="H1501" s="6" t="s">
        <v>3513</v>
      </c>
    </row>
    <row r="1502" spans="1:8" ht="12.75">
      <c r="A1502" s="18">
        <v>2022</v>
      </c>
      <c r="B1502" s="18">
        <v>148</v>
      </c>
      <c r="C1502" s="87" t="s">
        <v>41</v>
      </c>
      <c r="D1502" s="48">
        <v>44824</v>
      </c>
      <c r="E1502" s="19" t="s">
        <v>4693</v>
      </c>
      <c r="F1502" s="6" t="s">
        <v>4694</v>
      </c>
      <c r="G1502" s="6" t="s">
        <v>3303</v>
      </c>
      <c r="H1502" s="6" t="s">
        <v>3292</v>
      </c>
    </row>
    <row r="1503" spans="1:8" ht="12.75">
      <c r="A1503" s="18">
        <v>2022</v>
      </c>
      <c r="B1503" s="18">
        <v>148</v>
      </c>
      <c r="C1503" s="87" t="s">
        <v>41</v>
      </c>
      <c r="D1503" s="48">
        <v>44824</v>
      </c>
      <c r="E1503" s="19" t="s">
        <v>4695</v>
      </c>
      <c r="F1503" s="6" t="s">
        <v>4696</v>
      </c>
      <c r="G1503" s="6" t="s">
        <v>3303</v>
      </c>
      <c r="H1503" s="6" t="s">
        <v>3292</v>
      </c>
    </row>
    <row r="1504" spans="1:8" ht="12.75">
      <c r="A1504" s="18">
        <v>2022</v>
      </c>
      <c r="B1504" s="18">
        <v>150</v>
      </c>
      <c r="C1504" s="87" t="s">
        <v>471</v>
      </c>
      <c r="D1504" s="48">
        <v>44831</v>
      </c>
      <c r="E1504" s="19" t="s">
        <v>4697</v>
      </c>
      <c r="F1504" s="6" t="s">
        <v>4698</v>
      </c>
      <c r="G1504" s="6" t="s">
        <v>1319</v>
      </c>
      <c r="H1504" s="6" t="s">
        <v>3288</v>
      </c>
    </row>
    <row r="1505" spans="1:8" ht="12.75">
      <c r="A1505" s="18">
        <v>2022</v>
      </c>
      <c r="B1505" s="18">
        <v>151</v>
      </c>
      <c r="C1505" s="87" t="s">
        <v>2054</v>
      </c>
      <c r="D1505" s="48">
        <v>44831</v>
      </c>
      <c r="E1505" s="19" t="s">
        <v>4699</v>
      </c>
      <c r="F1505" s="6" t="s">
        <v>3398</v>
      </c>
      <c r="G1505" s="6" t="s">
        <v>3328</v>
      </c>
      <c r="H1505" s="6" t="s">
        <v>3292</v>
      </c>
    </row>
    <row r="1506" spans="1:8" ht="12.75">
      <c r="A1506" s="18">
        <v>2022</v>
      </c>
      <c r="B1506" s="18">
        <v>152</v>
      </c>
      <c r="C1506" s="87" t="s">
        <v>2650</v>
      </c>
      <c r="D1506" s="48">
        <v>44831</v>
      </c>
      <c r="E1506" s="19" t="s">
        <v>4700</v>
      </c>
      <c r="F1506" s="6" t="s">
        <v>4701</v>
      </c>
      <c r="G1506" s="6" t="s">
        <v>4502</v>
      </c>
      <c r="H1506" s="6" t="s">
        <v>3567</v>
      </c>
    </row>
    <row r="1507" spans="1:8" ht="12.75">
      <c r="A1507" s="18">
        <v>2022</v>
      </c>
      <c r="B1507" s="18">
        <v>152</v>
      </c>
      <c r="C1507" s="87" t="s">
        <v>2650</v>
      </c>
      <c r="D1507" s="48">
        <v>44831</v>
      </c>
      <c r="E1507" s="19" t="s">
        <v>4702</v>
      </c>
      <c r="F1507" s="6" t="s">
        <v>4703</v>
      </c>
      <c r="G1507" s="6" t="s">
        <v>4502</v>
      </c>
      <c r="H1507" s="6" t="s">
        <v>3810</v>
      </c>
    </row>
    <row r="1508" spans="1:8" ht="12.75">
      <c r="A1508" s="18">
        <v>2022</v>
      </c>
      <c r="B1508" s="18">
        <v>153</v>
      </c>
      <c r="C1508" s="87" t="s">
        <v>471</v>
      </c>
      <c r="D1508" s="48">
        <v>44832</v>
      </c>
      <c r="E1508" s="19" t="s">
        <v>4704</v>
      </c>
      <c r="F1508" s="6" t="s">
        <v>4705</v>
      </c>
      <c r="G1508" s="6" t="s">
        <v>3409</v>
      </c>
      <c r="H1508" s="6" t="s">
        <v>3288</v>
      </c>
    </row>
    <row r="1509" spans="1:8" ht="12.75">
      <c r="A1509" s="18">
        <v>2022</v>
      </c>
      <c r="B1509" s="18">
        <v>153</v>
      </c>
      <c r="C1509" s="87" t="s">
        <v>471</v>
      </c>
      <c r="D1509" s="48">
        <v>44832</v>
      </c>
      <c r="E1509" s="19" t="s">
        <v>4706</v>
      </c>
      <c r="F1509" s="6" t="s">
        <v>4707</v>
      </c>
      <c r="G1509" s="6" t="s">
        <v>3409</v>
      </c>
      <c r="H1509" s="6" t="s">
        <v>3288</v>
      </c>
    </row>
    <row r="1510" spans="1:8" ht="12.75">
      <c r="A1510" s="18">
        <v>2022</v>
      </c>
      <c r="B1510" s="18">
        <v>153</v>
      </c>
      <c r="C1510" s="87" t="s">
        <v>471</v>
      </c>
      <c r="D1510" s="48">
        <v>44832</v>
      </c>
      <c r="E1510" s="19" t="s">
        <v>4708</v>
      </c>
      <c r="F1510" s="6" t="s">
        <v>4709</v>
      </c>
      <c r="G1510" s="6" t="s">
        <v>3409</v>
      </c>
      <c r="H1510" s="6" t="s">
        <v>3288</v>
      </c>
    </row>
    <row r="1511" spans="1:8" ht="12.75">
      <c r="A1511" s="18">
        <v>2022</v>
      </c>
      <c r="B1511" s="18">
        <v>156</v>
      </c>
      <c r="C1511" s="87" t="s">
        <v>39</v>
      </c>
      <c r="D1511" s="48">
        <v>44838</v>
      </c>
      <c r="E1511" s="19" t="s">
        <v>4430</v>
      </c>
      <c r="F1511" s="6" t="s">
        <v>4431</v>
      </c>
      <c r="G1511" s="6" t="s">
        <v>3291</v>
      </c>
      <c r="H1511" s="6" t="s">
        <v>3292</v>
      </c>
    </row>
    <row r="1512" spans="1:8" ht="12.75">
      <c r="A1512" s="18">
        <v>2022</v>
      </c>
      <c r="B1512" s="18">
        <v>156</v>
      </c>
      <c r="C1512" s="87" t="s">
        <v>39</v>
      </c>
      <c r="D1512" s="48">
        <v>44838</v>
      </c>
      <c r="E1512" s="19" t="s">
        <v>4710</v>
      </c>
      <c r="F1512" s="6" t="s">
        <v>4711</v>
      </c>
      <c r="G1512" s="6" t="s">
        <v>3291</v>
      </c>
      <c r="H1512" s="6" t="s">
        <v>3292</v>
      </c>
    </row>
    <row r="1513" spans="1:8" ht="12.75">
      <c r="A1513" s="18">
        <v>2022</v>
      </c>
      <c r="B1513" s="18">
        <v>156</v>
      </c>
      <c r="C1513" s="87" t="s">
        <v>39</v>
      </c>
      <c r="D1513" s="48">
        <v>44838</v>
      </c>
      <c r="E1513" s="19" t="s">
        <v>4712</v>
      </c>
      <c r="F1513" s="6" t="s">
        <v>4713</v>
      </c>
      <c r="G1513" s="6" t="s">
        <v>3291</v>
      </c>
      <c r="H1513" s="6" t="s">
        <v>3292</v>
      </c>
    </row>
    <row r="1514" spans="1:8" ht="12.75">
      <c r="A1514" s="18">
        <v>2022</v>
      </c>
      <c r="B1514" s="18">
        <v>156</v>
      </c>
      <c r="C1514" s="87" t="s">
        <v>39</v>
      </c>
      <c r="D1514" s="48">
        <v>44838</v>
      </c>
      <c r="E1514" s="19" t="s">
        <v>4628</v>
      </c>
      <c r="F1514" s="6" t="s">
        <v>4629</v>
      </c>
      <c r="G1514" s="6" t="s">
        <v>3291</v>
      </c>
      <c r="H1514" s="6" t="s">
        <v>3292</v>
      </c>
    </row>
    <row r="1515" spans="1:8" ht="12.75">
      <c r="A1515" s="18">
        <v>2022</v>
      </c>
      <c r="B1515" s="18">
        <v>156</v>
      </c>
      <c r="C1515" s="87" t="s">
        <v>39</v>
      </c>
      <c r="D1515" s="48">
        <v>44838</v>
      </c>
      <c r="E1515" s="19" t="s">
        <v>4714</v>
      </c>
      <c r="F1515" s="6" t="s">
        <v>4715</v>
      </c>
      <c r="G1515" s="6" t="s">
        <v>3291</v>
      </c>
      <c r="H1515" s="6" t="s">
        <v>3292</v>
      </c>
    </row>
    <row r="1516" spans="1:8" ht="12.75">
      <c r="A1516" s="18">
        <v>2022</v>
      </c>
      <c r="B1516" s="18">
        <v>156</v>
      </c>
      <c r="C1516" s="87" t="s">
        <v>39</v>
      </c>
      <c r="D1516" s="48">
        <v>44838</v>
      </c>
      <c r="E1516" s="19" t="s">
        <v>4630</v>
      </c>
      <c r="F1516" s="6" t="s">
        <v>4631</v>
      </c>
      <c r="G1516" s="6" t="s">
        <v>3291</v>
      </c>
      <c r="H1516" s="6" t="s">
        <v>3292</v>
      </c>
    </row>
    <row r="1517" spans="1:8" ht="12.75">
      <c r="A1517" s="18">
        <v>2022</v>
      </c>
      <c r="B1517" s="18">
        <v>156</v>
      </c>
      <c r="C1517" s="87" t="s">
        <v>39</v>
      </c>
      <c r="D1517" s="48">
        <v>44838</v>
      </c>
      <c r="E1517" s="19" t="s">
        <v>4716</v>
      </c>
      <c r="F1517" s="6" t="s">
        <v>4717</v>
      </c>
      <c r="G1517" s="6" t="s">
        <v>3291</v>
      </c>
      <c r="H1517" s="6" t="s">
        <v>3292</v>
      </c>
    </row>
    <row r="1518" spans="1:8" ht="12.75">
      <c r="A1518" s="18">
        <v>2022</v>
      </c>
      <c r="B1518" s="18">
        <v>157</v>
      </c>
      <c r="C1518" s="87" t="s">
        <v>2676</v>
      </c>
      <c r="D1518" s="48">
        <v>44839</v>
      </c>
      <c r="E1518" s="19" t="s">
        <v>3758</v>
      </c>
      <c r="F1518" s="6" t="s">
        <v>4718</v>
      </c>
      <c r="G1518" s="6" t="s">
        <v>3409</v>
      </c>
      <c r="H1518" s="6" t="s">
        <v>3288</v>
      </c>
    </row>
    <row r="1519" spans="1:8" ht="12.75">
      <c r="A1519" s="18">
        <v>2022</v>
      </c>
      <c r="B1519" s="18">
        <v>157</v>
      </c>
      <c r="C1519" s="87" t="s">
        <v>2676</v>
      </c>
      <c r="D1519" s="48">
        <v>44839</v>
      </c>
      <c r="E1519" s="19" t="s">
        <v>4719</v>
      </c>
      <c r="F1519" s="6" t="s">
        <v>4720</v>
      </c>
      <c r="G1519" s="6" t="s">
        <v>3409</v>
      </c>
      <c r="H1519" s="6" t="s">
        <v>3288</v>
      </c>
    </row>
    <row r="1520" spans="1:8" ht="12.75">
      <c r="A1520" s="18">
        <v>2022</v>
      </c>
      <c r="B1520" s="18">
        <v>157</v>
      </c>
      <c r="C1520" s="87" t="s">
        <v>2676</v>
      </c>
      <c r="D1520" s="48">
        <v>44839</v>
      </c>
      <c r="E1520" s="19" t="s">
        <v>4721</v>
      </c>
      <c r="F1520" s="6" t="s">
        <v>4722</v>
      </c>
      <c r="G1520" s="6" t="s">
        <v>3409</v>
      </c>
      <c r="H1520" s="6" t="s">
        <v>3288</v>
      </c>
    </row>
    <row r="1521" spans="1:8" ht="12.75">
      <c r="A1521" s="18">
        <v>2022</v>
      </c>
      <c r="B1521" s="18">
        <v>157</v>
      </c>
      <c r="C1521" s="87" t="s">
        <v>2676</v>
      </c>
      <c r="D1521" s="48">
        <v>44839</v>
      </c>
      <c r="E1521" s="19" t="s">
        <v>4723</v>
      </c>
      <c r="F1521" s="6" t="s">
        <v>4724</v>
      </c>
      <c r="G1521" s="6" t="s">
        <v>3409</v>
      </c>
      <c r="H1521" s="6" t="s">
        <v>3288</v>
      </c>
    </row>
    <row r="1522" spans="1:8" ht="12.75">
      <c r="A1522" s="18">
        <v>2022</v>
      </c>
      <c r="B1522" s="18">
        <v>157</v>
      </c>
      <c r="C1522" s="87" t="s">
        <v>2676</v>
      </c>
      <c r="D1522" s="48">
        <v>44839</v>
      </c>
      <c r="E1522" s="19" t="s">
        <v>4725</v>
      </c>
      <c r="F1522" s="6" t="s">
        <v>4726</v>
      </c>
      <c r="G1522" s="6" t="s">
        <v>3409</v>
      </c>
      <c r="H1522" s="6" t="s">
        <v>3288</v>
      </c>
    </row>
    <row r="1523" spans="1:8" ht="12.75">
      <c r="A1523" s="18">
        <v>2022</v>
      </c>
      <c r="B1523" s="18">
        <v>157</v>
      </c>
      <c r="C1523" s="87" t="s">
        <v>2676</v>
      </c>
      <c r="D1523" s="48">
        <v>44839</v>
      </c>
      <c r="E1523" s="19" t="s">
        <v>4727</v>
      </c>
      <c r="F1523" s="6" t="s">
        <v>4728</v>
      </c>
      <c r="G1523" s="6" t="s">
        <v>3409</v>
      </c>
      <c r="H1523" s="6" t="s">
        <v>3288</v>
      </c>
    </row>
    <row r="1524" spans="1:8" ht="12.75">
      <c r="A1524" s="18">
        <v>2022</v>
      </c>
      <c r="B1524" s="18">
        <v>157</v>
      </c>
      <c r="C1524" s="87" t="s">
        <v>2676</v>
      </c>
      <c r="D1524" s="48">
        <v>44839</v>
      </c>
      <c r="E1524" s="19" t="s">
        <v>4729</v>
      </c>
      <c r="F1524" s="6" t="s">
        <v>4730</v>
      </c>
      <c r="G1524" s="6" t="s">
        <v>3409</v>
      </c>
      <c r="H1524" s="6" t="s">
        <v>3288</v>
      </c>
    </row>
    <row r="1525" spans="1:8" ht="12.75">
      <c r="A1525" s="18">
        <v>2022</v>
      </c>
      <c r="B1525" s="18">
        <v>158</v>
      </c>
      <c r="C1525" s="87" t="s">
        <v>2681</v>
      </c>
      <c r="D1525" s="48">
        <v>44840</v>
      </c>
      <c r="E1525" s="19" t="s">
        <v>4731</v>
      </c>
      <c r="F1525" s="6" t="s">
        <v>4732</v>
      </c>
      <c r="G1525" s="6" t="s">
        <v>4692</v>
      </c>
      <c r="H1525" s="6" t="s">
        <v>3513</v>
      </c>
    </row>
    <row r="1526" spans="1:8" ht="12.75">
      <c r="A1526" s="18">
        <v>2022</v>
      </c>
      <c r="B1526" s="18">
        <v>159</v>
      </c>
      <c r="C1526" s="87" t="s">
        <v>148</v>
      </c>
      <c r="D1526" s="48">
        <v>44840</v>
      </c>
      <c r="E1526" s="19" t="s">
        <v>3994</v>
      </c>
      <c r="F1526" s="6" t="s">
        <v>4733</v>
      </c>
      <c r="G1526" s="6" t="s">
        <v>3309</v>
      </c>
      <c r="H1526" s="6" t="s">
        <v>3292</v>
      </c>
    </row>
    <row r="1527" spans="1:8" ht="12.75">
      <c r="A1527" s="18">
        <v>2022</v>
      </c>
      <c r="B1527" s="18">
        <v>159</v>
      </c>
      <c r="C1527" s="87" t="s">
        <v>148</v>
      </c>
      <c r="D1527" s="48">
        <v>44840</v>
      </c>
      <c r="E1527" s="19" t="s">
        <v>3998</v>
      </c>
      <c r="F1527" s="6" t="s">
        <v>4734</v>
      </c>
      <c r="G1527" s="6" t="s">
        <v>3309</v>
      </c>
      <c r="H1527" s="6" t="s">
        <v>3292</v>
      </c>
    </row>
    <row r="1528" spans="1:8" ht="12.75">
      <c r="A1528" s="18">
        <v>2022</v>
      </c>
      <c r="B1528" s="18">
        <v>159</v>
      </c>
      <c r="C1528" s="87" t="s">
        <v>148</v>
      </c>
      <c r="D1528" s="48">
        <v>44840</v>
      </c>
      <c r="E1528" s="19" t="s">
        <v>4735</v>
      </c>
      <c r="F1528" s="6" t="s">
        <v>4736</v>
      </c>
      <c r="G1528" s="6" t="s">
        <v>3309</v>
      </c>
      <c r="H1528" s="6" t="s">
        <v>3292</v>
      </c>
    </row>
    <row r="1529" spans="1:8" ht="12.75">
      <c r="A1529" s="18">
        <v>2022</v>
      </c>
      <c r="B1529" s="18">
        <v>159</v>
      </c>
      <c r="C1529" s="87" t="s">
        <v>148</v>
      </c>
      <c r="D1529" s="48">
        <v>44840</v>
      </c>
      <c r="E1529" s="19" t="s">
        <v>4737</v>
      </c>
      <c r="F1529" s="6" t="s">
        <v>4738</v>
      </c>
      <c r="G1529" s="6" t="s">
        <v>3309</v>
      </c>
      <c r="H1529" s="6" t="s">
        <v>3292</v>
      </c>
    </row>
    <row r="1530" spans="1:8" ht="12.75">
      <c r="A1530" s="18">
        <v>2022</v>
      </c>
      <c r="B1530" s="18">
        <v>160</v>
      </c>
      <c r="C1530" s="87" t="s">
        <v>47</v>
      </c>
      <c r="D1530" s="59">
        <v>44845</v>
      </c>
      <c r="E1530" s="19" t="s">
        <v>4739</v>
      </c>
      <c r="F1530" s="6" t="s">
        <v>4740</v>
      </c>
      <c r="G1530" s="6" t="s">
        <v>4502</v>
      </c>
      <c r="H1530" s="6" t="s">
        <v>3567</v>
      </c>
    </row>
    <row r="1531" spans="1:8" ht="12.75">
      <c r="A1531" s="18">
        <v>2022</v>
      </c>
      <c r="B1531" s="18">
        <v>164</v>
      </c>
      <c r="C1531" s="87" t="s">
        <v>37</v>
      </c>
      <c r="D1531" s="59">
        <v>44847</v>
      </c>
      <c r="E1531" s="19" t="s">
        <v>4741</v>
      </c>
      <c r="F1531" s="6" t="s">
        <v>4742</v>
      </c>
      <c r="G1531" s="6" t="s">
        <v>3409</v>
      </c>
      <c r="H1531" s="6" t="s">
        <v>3288</v>
      </c>
    </row>
    <row r="1532" spans="1:8" ht="12.75">
      <c r="A1532" s="18">
        <v>2022</v>
      </c>
      <c r="B1532" s="18">
        <v>164</v>
      </c>
      <c r="C1532" s="87" t="s">
        <v>37</v>
      </c>
      <c r="D1532" s="59">
        <v>44847</v>
      </c>
      <c r="E1532" s="19" t="s">
        <v>4743</v>
      </c>
      <c r="F1532" s="6" t="s">
        <v>4744</v>
      </c>
      <c r="G1532" s="6" t="s">
        <v>3409</v>
      </c>
      <c r="H1532" s="6" t="s">
        <v>3288</v>
      </c>
    </row>
    <row r="1533" spans="1:8" ht="12.75">
      <c r="A1533" s="18">
        <v>2022</v>
      </c>
      <c r="B1533" s="18">
        <v>164</v>
      </c>
      <c r="C1533" s="87" t="s">
        <v>37</v>
      </c>
      <c r="D1533" s="59">
        <v>44847</v>
      </c>
      <c r="E1533" s="19" t="s">
        <v>4745</v>
      </c>
      <c r="F1533" s="6" t="s">
        <v>4746</v>
      </c>
      <c r="G1533" s="6" t="s">
        <v>3409</v>
      </c>
      <c r="H1533" s="6" t="s">
        <v>3288</v>
      </c>
    </row>
    <row r="1534" spans="1:8" ht="12.75">
      <c r="A1534" s="18">
        <v>2022</v>
      </c>
      <c r="B1534" s="18">
        <v>164</v>
      </c>
      <c r="C1534" s="87" t="s">
        <v>37</v>
      </c>
      <c r="D1534" s="59">
        <v>44847</v>
      </c>
      <c r="E1534" s="19" t="s">
        <v>4747</v>
      </c>
      <c r="F1534" s="6" t="s">
        <v>4748</v>
      </c>
      <c r="G1534" s="6" t="s">
        <v>3409</v>
      </c>
      <c r="H1534" s="6" t="s">
        <v>3288</v>
      </c>
    </row>
    <row r="1535" spans="1:8" ht="12.75">
      <c r="A1535" s="18">
        <v>2022</v>
      </c>
      <c r="B1535" s="18">
        <v>164</v>
      </c>
      <c r="C1535" s="87" t="s">
        <v>37</v>
      </c>
      <c r="D1535" s="59">
        <v>44847</v>
      </c>
      <c r="E1535" s="19" t="s">
        <v>4749</v>
      </c>
      <c r="F1535" s="6" t="s">
        <v>4750</v>
      </c>
      <c r="G1535" s="6" t="s">
        <v>3409</v>
      </c>
      <c r="H1535" s="6" t="s">
        <v>3288</v>
      </c>
    </row>
    <row r="1536" spans="1:8" ht="12.75">
      <c r="A1536" s="18">
        <v>2022</v>
      </c>
      <c r="B1536" s="18">
        <v>164</v>
      </c>
      <c r="C1536" s="87" t="s">
        <v>37</v>
      </c>
      <c r="D1536" s="59">
        <v>44847</v>
      </c>
      <c r="E1536" s="19" t="s">
        <v>4751</v>
      </c>
      <c r="F1536" s="6" t="s">
        <v>4752</v>
      </c>
      <c r="G1536" s="6" t="s">
        <v>3409</v>
      </c>
      <c r="H1536" s="6" t="s">
        <v>3288</v>
      </c>
    </row>
    <row r="1537" spans="1:8" ht="12.75">
      <c r="A1537" s="18">
        <v>2022</v>
      </c>
      <c r="B1537" s="18">
        <v>165</v>
      </c>
      <c r="C1537" s="87" t="s">
        <v>2676</v>
      </c>
      <c r="D1537" s="59">
        <v>44847</v>
      </c>
      <c r="E1537" s="19" t="s">
        <v>4753</v>
      </c>
      <c r="F1537" s="6" t="s">
        <v>3704</v>
      </c>
      <c r="G1537" s="6" t="s">
        <v>3325</v>
      </c>
      <c r="H1537" s="6" t="s">
        <v>3292</v>
      </c>
    </row>
    <row r="1538" spans="1:8" ht="12.75">
      <c r="A1538" s="18">
        <v>2022</v>
      </c>
      <c r="B1538" s="18">
        <v>168</v>
      </c>
      <c r="C1538" s="87" t="s">
        <v>148</v>
      </c>
      <c r="D1538" s="59">
        <v>44854</v>
      </c>
      <c r="E1538" s="19" t="s">
        <v>4754</v>
      </c>
      <c r="F1538" s="6" t="s">
        <v>4755</v>
      </c>
      <c r="G1538" s="6" t="s">
        <v>3309</v>
      </c>
      <c r="H1538" s="6" t="s">
        <v>3292</v>
      </c>
    </row>
    <row r="1539" spans="1:8" ht="12.75">
      <c r="A1539" s="18">
        <v>2022</v>
      </c>
      <c r="B1539" s="18">
        <v>169</v>
      </c>
      <c r="C1539" s="87" t="s">
        <v>47</v>
      </c>
      <c r="D1539" s="59">
        <v>44859</v>
      </c>
      <c r="E1539" s="19" t="s">
        <v>4756</v>
      </c>
      <c r="F1539" s="6" t="s">
        <v>4757</v>
      </c>
      <c r="G1539" s="6" t="s">
        <v>4502</v>
      </c>
      <c r="H1539" s="6" t="s">
        <v>3567</v>
      </c>
    </row>
    <row r="1540" spans="1:8" ht="12.75">
      <c r="A1540" s="18">
        <v>2022</v>
      </c>
      <c r="B1540" s="18">
        <v>171</v>
      </c>
      <c r="C1540" s="87" t="s">
        <v>39</v>
      </c>
      <c r="D1540" s="59">
        <v>44859</v>
      </c>
      <c r="E1540" s="19" t="s">
        <v>4758</v>
      </c>
      <c r="F1540" s="6" t="s">
        <v>4759</v>
      </c>
      <c r="G1540" s="6" t="s">
        <v>3291</v>
      </c>
      <c r="H1540" s="6" t="s">
        <v>3292</v>
      </c>
    </row>
    <row r="1541" spans="1:8" ht="12.75">
      <c r="A1541" s="18">
        <v>2022</v>
      </c>
      <c r="B1541" s="18">
        <v>171</v>
      </c>
      <c r="C1541" s="87" t="s">
        <v>39</v>
      </c>
      <c r="D1541" s="59">
        <v>44859</v>
      </c>
      <c r="E1541" s="19" t="s">
        <v>4760</v>
      </c>
      <c r="F1541" s="6" t="s">
        <v>4761</v>
      </c>
      <c r="G1541" s="6" t="s">
        <v>3291</v>
      </c>
      <c r="H1541" s="6" t="s">
        <v>3292</v>
      </c>
    </row>
    <row r="1542" spans="1:8" ht="12.75">
      <c r="A1542" s="18">
        <v>2022</v>
      </c>
      <c r="B1542" s="18">
        <v>171</v>
      </c>
      <c r="C1542" s="87" t="s">
        <v>39</v>
      </c>
      <c r="D1542" s="59">
        <v>44859</v>
      </c>
      <c r="E1542" s="19" t="s">
        <v>4762</v>
      </c>
      <c r="F1542" s="6" t="s">
        <v>4763</v>
      </c>
      <c r="G1542" s="6" t="s">
        <v>3291</v>
      </c>
      <c r="H1542" s="6" t="s">
        <v>3292</v>
      </c>
    </row>
    <row r="1543" spans="1:8" ht="12.75">
      <c r="A1543" s="18">
        <v>2022</v>
      </c>
      <c r="B1543" s="18">
        <v>176</v>
      </c>
      <c r="C1543" s="87" t="s">
        <v>51</v>
      </c>
      <c r="D1543" s="59">
        <v>44861</v>
      </c>
      <c r="E1543" s="19" t="s">
        <v>4764</v>
      </c>
      <c r="F1543" s="6" t="s">
        <v>4765</v>
      </c>
      <c r="G1543" s="6" t="s">
        <v>3446</v>
      </c>
      <c r="H1543" s="6" t="s">
        <v>3288</v>
      </c>
    </row>
    <row r="1544" spans="1:8" ht="12.75">
      <c r="A1544" s="18">
        <v>2022</v>
      </c>
      <c r="B1544" s="18">
        <v>176</v>
      </c>
      <c r="C1544" s="87" t="s">
        <v>51</v>
      </c>
      <c r="D1544" s="59">
        <v>44861</v>
      </c>
      <c r="E1544" s="19" t="s">
        <v>4766</v>
      </c>
      <c r="F1544" s="6" t="s">
        <v>4767</v>
      </c>
      <c r="G1544" s="6" t="s">
        <v>4565</v>
      </c>
      <c r="H1544" s="6" t="s">
        <v>3288</v>
      </c>
    </row>
    <row r="1545" spans="1:8" ht="12.75">
      <c r="A1545" s="18">
        <v>2022</v>
      </c>
      <c r="B1545" s="18">
        <v>176</v>
      </c>
      <c r="C1545" s="87" t="s">
        <v>51</v>
      </c>
      <c r="D1545" s="59">
        <v>44861</v>
      </c>
      <c r="E1545" s="19" t="s">
        <v>4768</v>
      </c>
      <c r="F1545" s="6" t="s">
        <v>4769</v>
      </c>
      <c r="G1545" s="6" t="s">
        <v>3439</v>
      </c>
      <c r="H1545" s="6" t="s">
        <v>3288</v>
      </c>
    </row>
    <row r="1546" spans="1:8" ht="12.75">
      <c r="A1546" s="18">
        <v>2022</v>
      </c>
      <c r="B1546" s="18">
        <v>177</v>
      </c>
      <c r="C1546" s="87" t="s">
        <v>37</v>
      </c>
      <c r="D1546" s="48">
        <v>44866</v>
      </c>
      <c r="E1546" s="19" t="s">
        <v>3978</v>
      </c>
      <c r="F1546" s="6" t="s">
        <v>4770</v>
      </c>
      <c r="G1546" s="6" t="s">
        <v>3439</v>
      </c>
      <c r="H1546" s="6" t="s">
        <v>3288</v>
      </c>
    </row>
    <row r="1547" spans="1:8" ht="12.75">
      <c r="A1547" s="18">
        <v>2022</v>
      </c>
      <c r="B1547" s="18">
        <v>177</v>
      </c>
      <c r="C1547" s="87" t="s">
        <v>37</v>
      </c>
      <c r="D1547" s="48">
        <v>44866</v>
      </c>
      <c r="E1547" s="19" t="s">
        <v>4771</v>
      </c>
      <c r="F1547" s="6" t="s">
        <v>4772</v>
      </c>
      <c r="G1547" s="6" t="s">
        <v>3389</v>
      </c>
      <c r="H1547" s="6" t="s">
        <v>3288</v>
      </c>
    </row>
    <row r="1548" spans="1:8" ht="12.75">
      <c r="A1548" s="18">
        <v>2022</v>
      </c>
      <c r="B1548" s="18">
        <v>177</v>
      </c>
      <c r="C1548" s="87" t="s">
        <v>37</v>
      </c>
      <c r="D1548" s="48">
        <v>44866</v>
      </c>
      <c r="E1548" s="19" t="s">
        <v>4773</v>
      </c>
      <c r="F1548" s="6" t="s">
        <v>4774</v>
      </c>
      <c r="G1548" s="6" t="s">
        <v>4565</v>
      </c>
      <c r="H1548" s="6" t="s">
        <v>3288</v>
      </c>
    </row>
    <row r="1549" spans="1:8" ht="12.75">
      <c r="A1549" s="18">
        <v>2022</v>
      </c>
      <c r="B1549" s="18">
        <v>177</v>
      </c>
      <c r="C1549" s="87" t="s">
        <v>37</v>
      </c>
      <c r="D1549" s="48">
        <v>44866</v>
      </c>
      <c r="E1549" s="19" t="s">
        <v>4775</v>
      </c>
      <c r="F1549" s="6" t="s">
        <v>4776</v>
      </c>
      <c r="G1549" s="6" t="s">
        <v>3389</v>
      </c>
      <c r="H1549" s="6" t="s">
        <v>3288</v>
      </c>
    </row>
    <row r="1550" spans="1:8" ht="12.75">
      <c r="A1550" s="18">
        <v>2022</v>
      </c>
      <c r="B1550" s="18">
        <v>177</v>
      </c>
      <c r="C1550" s="87" t="s">
        <v>37</v>
      </c>
      <c r="D1550" s="48">
        <v>44866</v>
      </c>
      <c r="E1550" s="19" t="s">
        <v>4777</v>
      </c>
      <c r="F1550" s="6" t="s">
        <v>4778</v>
      </c>
      <c r="G1550" s="6" t="s">
        <v>3469</v>
      </c>
      <c r="H1550" s="6" t="s">
        <v>3288</v>
      </c>
    </row>
    <row r="1551" spans="1:8" ht="12.75">
      <c r="A1551" s="18">
        <v>2022</v>
      </c>
      <c r="B1551" s="18">
        <v>177</v>
      </c>
      <c r="C1551" s="87" t="s">
        <v>37</v>
      </c>
      <c r="D1551" s="48">
        <v>44866</v>
      </c>
      <c r="E1551" s="19" t="s">
        <v>4779</v>
      </c>
      <c r="F1551" s="6" t="s">
        <v>4780</v>
      </c>
      <c r="G1551" s="6" t="s">
        <v>3469</v>
      </c>
      <c r="H1551" s="6" t="s">
        <v>3288</v>
      </c>
    </row>
    <row r="1552" spans="1:8" ht="12.75">
      <c r="A1552" s="18">
        <v>2022</v>
      </c>
      <c r="B1552" s="18">
        <v>178</v>
      </c>
      <c r="C1552" s="87" t="s">
        <v>55</v>
      </c>
      <c r="D1552" s="48">
        <v>44866</v>
      </c>
      <c r="E1552" s="19" t="s">
        <v>4781</v>
      </c>
      <c r="F1552" s="6" t="s">
        <v>4782</v>
      </c>
      <c r="G1552" s="6" t="s">
        <v>3409</v>
      </c>
      <c r="H1552" s="6" t="s">
        <v>3288</v>
      </c>
    </row>
    <row r="1553" spans="1:8" ht="12.75">
      <c r="A1553" s="18">
        <v>2022</v>
      </c>
      <c r="B1553" s="18">
        <v>179</v>
      </c>
      <c r="C1553" s="87" t="s">
        <v>47</v>
      </c>
      <c r="D1553" s="48">
        <v>44866</v>
      </c>
      <c r="E1553" s="19" t="s">
        <v>4783</v>
      </c>
      <c r="F1553" s="6" t="s">
        <v>4784</v>
      </c>
      <c r="G1553" s="6" t="s">
        <v>4502</v>
      </c>
      <c r="H1553" s="6" t="s">
        <v>3567</v>
      </c>
    </row>
    <row r="1554" spans="1:8" ht="12.75">
      <c r="A1554" s="18">
        <v>2022</v>
      </c>
      <c r="B1554" s="18">
        <v>182</v>
      </c>
      <c r="C1554" s="87" t="s">
        <v>41</v>
      </c>
      <c r="D1554" s="48">
        <v>44873</v>
      </c>
      <c r="E1554" s="19" t="s">
        <v>4063</v>
      </c>
      <c r="F1554" s="6" t="s">
        <v>4891</v>
      </c>
      <c r="G1554" s="6" t="s">
        <v>1319</v>
      </c>
      <c r="H1554" s="6" t="s">
        <v>3288</v>
      </c>
    </row>
    <row r="1555" spans="1:8" ht="12.75">
      <c r="A1555" s="18">
        <v>2022</v>
      </c>
      <c r="B1555" s="18">
        <v>182</v>
      </c>
      <c r="C1555" s="87" t="s">
        <v>41</v>
      </c>
      <c r="D1555" s="48">
        <v>44873</v>
      </c>
      <c r="E1555" s="19" t="s">
        <v>4892</v>
      </c>
      <c r="F1555" s="6" t="s">
        <v>4891</v>
      </c>
      <c r="G1555" s="6" t="s">
        <v>1319</v>
      </c>
      <c r="H1555" s="6" t="s">
        <v>3288</v>
      </c>
    </row>
    <row r="1556" spans="1:8" ht="12.75">
      <c r="A1556" s="18">
        <v>2022</v>
      </c>
      <c r="B1556" s="18">
        <v>182</v>
      </c>
      <c r="C1556" s="87" t="s">
        <v>41</v>
      </c>
      <c r="D1556" s="48">
        <v>44873</v>
      </c>
      <c r="E1556" s="19" t="s">
        <v>4893</v>
      </c>
      <c r="F1556" s="6" t="s">
        <v>4894</v>
      </c>
      <c r="G1556" s="6" t="s">
        <v>1319</v>
      </c>
      <c r="H1556" s="6" t="s">
        <v>3288</v>
      </c>
    </row>
    <row r="1557" spans="1:8" ht="12.75">
      <c r="A1557" s="18">
        <v>2022</v>
      </c>
      <c r="B1557" s="18">
        <v>182</v>
      </c>
      <c r="C1557" s="87" t="s">
        <v>41</v>
      </c>
      <c r="D1557" s="48">
        <v>44873</v>
      </c>
      <c r="E1557" s="19" t="s">
        <v>4895</v>
      </c>
      <c r="F1557" s="6" t="s">
        <v>4894</v>
      </c>
      <c r="G1557" s="6" t="s">
        <v>1319</v>
      </c>
      <c r="H1557" s="6" t="s">
        <v>3288</v>
      </c>
    </row>
    <row r="1558" spans="1:8" ht="12.75">
      <c r="A1558" s="18">
        <v>2022</v>
      </c>
      <c r="B1558" s="18">
        <v>183</v>
      </c>
      <c r="C1558" s="87" t="s">
        <v>148</v>
      </c>
      <c r="D1558" s="48">
        <v>44873</v>
      </c>
      <c r="E1558" s="19" t="s">
        <v>4896</v>
      </c>
      <c r="F1558" s="6" t="s">
        <v>4897</v>
      </c>
      <c r="G1558" s="6" t="s">
        <v>3309</v>
      </c>
      <c r="H1558" s="6" t="s">
        <v>3292</v>
      </c>
    </row>
    <row r="1559" spans="1:8" ht="12.75">
      <c r="A1559" s="18">
        <v>2022</v>
      </c>
      <c r="B1559" s="18">
        <v>185</v>
      </c>
      <c r="C1559" s="87" t="s">
        <v>28</v>
      </c>
      <c r="D1559" s="59">
        <v>44875</v>
      </c>
      <c r="E1559" s="19" t="s">
        <v>4785</v>
      </c>
      <c r="F1559" s="6" t="s">
        <v>4786</v>
      </c>
      <c r="G1559" s="6" t="s">
        <v>3432</v>
      </c>
      <c r="H1559" s="6" t="s">
        <v>3292</v>
      </c>
    </row>
    <row r="1560" spans="1:8" ht="12.75">
      <c r="A1560" s="18">
        <v>2022</v>
      </c>
      <c r="B1560" s="18">
        <v>185</v>
      </c>
      <c r="C1560" s="87" t="s">
        <v>28</v>
      </c>
      <c r="D1560" s="59">
        <v>44875</v>
      </c>
      <c r="E1560" s="19" t="s">
        <v>4382</v>
      </c>
      <c r="F1560" s="6" t="s">
        <v>4787</v>
      </c>
      <c r="G1560" s="6" t="s">
        <v>3432</v>
      </c>
      <c r="H1560" s="6" t="s">
        <v>3292</v>
      </c>
    </row>
    <row r="1561" spans="1:8" ht="12.75">
      <c r="A1561" s="18">
        <v>2022</v>
      </c>
      <c r="B1561" s="18">
        <v>186</v>
      </c>
      <c r="C1561" s="87" t="s">
        <v>47</v>
      </c>
      <c r="D1561" s="59">
        <v>44875</v>
      </c>
      <c r="E1561" s="19" t="s">
        <v>4788</v>
      </c>
      <c r="F1561" s="6" t="s">
        <v>4789</v>
      </c>
      <c r="G1561" s="6" t="s">
        <v>4502</v>
      </c>
      <c r="H1561" s="6" t="s">
        <v>3567</v>
      </c>
    </row>
    <row r="1562" spans="1:8" ht="12.75">
      <c r="A1562" s="18">
        <v>2022</v>
      </c>
      <c r="B1562" s="18">
        <v>187</v>
      </c>
      <c r="C1562" s="87" t="s">
        <v>148</v>
      </c>
      <c r="D1562" s="59">
        <v>44875</v>
      </c>
      <c r="E1562" s="19" t="s">
        <v>4143</v>
      </c>
      <c r="F1562" s="6" t="s">
        <v>4144</v>
      </c>
      <c r="G1562" s="6" t="s">
        <v>3309</v>
      </c>
      <c r="H1562" s="6" t="s">
        <v>3292</v>
      </c>
    </row>
    <row r="1563" spans="1:8" ht="12.75">
      <c r="A1563" s="18">
        <v>2022</v>
      </c>
      <c r="B1563" s="18">
        <v>187</v>
      </c>
      <c r="C1563" s="87" t="s">
        <v>148</v>
      </c>
      <c r="D1563" s="59">
        <v>44875</v>
      </c>
      <c r="E1563" s="19" t="s">
        <v>4145</v>
      </c>
      <c r="F1563" s="6" t="s">
        <v>4146</v>
      </c>
      <c r="G1563" s="6" t="s">
        <v>3309</v>
      </c>
      <c r="H1563" s="6" t="s">
        <v>3292</v>
      </c>
    </row>
    <row r="1564" spans="1:8" ht="12.75">
      <c r="A1564" s="18">
        <v>2022</v>
      </c>
      <c r="B1564" s="18">
        <v>187</v>
      </c>
      <c r="C1564" s="87" t="s">
        <v>148</v>
      </c>
      <c r="D1564" s="59">
        <v>44875</v>
      </c>
      <c r="E1564" s="19" t="s">
        <v>4147</v>
      </c>
      <c r="F1564" s="6" t="s">
        <v>4790</v>
      </c>
      <c r="G1564" s="6" t="s">
        <v>3309</v>
      </c>
      <c r="H1564" s="6" t="s">
        <v>3292</v>
      </c>
    </row>
    <row r="1565" spans="1:8" ht="12.75">
      <c r="A1565" s="18">
        <v>2022</v>
      </c>
      <c r="B1565" s="18">
        <v>187</v>
      </c>
      <c r="C1565" s="87" t="s">
        <v>148</v>
      </c>
      <c r="D1565" s="59">
        <v>44875</v>
      </c>
      <c r="E1565" s="19" t="s">
        <v>4149</v>
      </c>
      <c r="F1565" s="6" t="s">
        <v>4791</v>
      </c>
      <c r="G1565" s="6" t="s">
        <v>3309</v>
      </c>
      <c r="H1565" s="6" t="s">
        <v>3292</v>
      </c>
    </row>
    <row r="1566" spans="1:8" ht="12.75">
      <c r="A1566" s="18">
        <v>2022</v>
      </c>
      <c r="B1566" s="18">
        <v>187</v>
      </c>
      <c r="C1566" s="87" t="s">
        <v>148</v>
      </c>
      <c r="D1566" s="59">
        <v>44875</v>
      </c>
      <c r="E1566" s="19" t="s">
        <v>4792</v>
      </c>
      <c r="F1566" s="6" t="s">
        <v>4793</v>
      </c>
      <c r="G1566" s="6" t="s">
        <v>3309</v>
      </c>
      <c r="H1566" s="6" t="s">
        <v>3292</v>
      </c>
    </row>
    <row r="1567" spans="1:8" ht="12.75">
      <c r="A1567" s="18">
        <v>2022</v>
      </c>
      <c r="B1567" s="18">
        <v>187</v>
      </c>
      <c r="C1567" s="87" t="s">
        <v>148</v>
      </c>
      <c r="D1567" s="59">
        <v>44875</v>
      </c>
      <c r="E1567" s="19" t="s">
        <v>4794</v>
      </c>
      <c r="F1567" s="6" t="s">
        <v>4795</v>
      </c>
      <c r="G1567" s="6" t="s">
        <v>3309</v>
      </c>
      <c r="H1567" s="6" t="s">
        <v>3292</v>
      </c>
    </row>
    <row r="1568" spans="1:8" ht="12.75">
      <c r="A1568" s="18">
        <v>2022</v>
      </c>
      <c r="B1568" s="18">
        <v>187</v>
      </c>
      <c r="C1568" s="87" t="s">
        <v>148</v>
      </c>
      <c r="D1568" s="59">
        <v>44875</v>
      </c>
      <c r="E1568" s="19" t="s">
        <v>4796</v>
      </c>
      <c r="F1568" s="6" t="s">
        <v>4797</v>
      </c>
      <c r="G1568" s="6" t="s">
        <v>3309</v>
      </c>
      <c r="H1568" s="6" t="s">
        <v>3292</v>
      </c>
    </row>
    <row r="1569" spans="1:8" ht="12.75">
      <c r="A1569" s="18">
        <v>2022</v>
      </c>
      <c r="B1569" s="18">
        <v>187</v>
      </c>
      <c r="C1569" s="87" t="s">
        <v>148</v>
      </c>
      <c r="D1569" s="59">
        <v>44875</v>
      </c>
      <c r="E1569" s="19" t="s">
        <v>4798</v>
      </c>
      <c r="F1569" s="6" t="s">
        <v>4799</v>
      </c>
      <c r="G1569" s="6" t="s">
        <v>3309</v>
      </c>
      <c r="H1569" s="6" t="s">
        <v>3292</v>
      </c>
    </row>
    <row r="1570" spans="1:8" ht="12.75">
      <c r="A1570" s="18">
        <v>2022</v>
      </c>
      <c r="B1570" s="18">
        <v>187</v>
      </c>
      <c r="C1570" s="87" t="s">
        <v>148</v>
      </c>
      <c r="D1570" s="59">
        <v>44875</v>
      </c>
      <c r="E1570" s="19" t="s">
        <v>4800</v>
      </c>
      <c r="F1570" s="6" t="s">
        <v>4801</v>
      </c>
      <c r="G1570" s="6" t="s">
        <v>3309</v>
      </c>
      <c r="H1570" s="6" t="s">
        <v>3292</v>
      </c>
    </row>
    <row r="1571" spans="1:8" ht="12.75">
      <c r="A1571" s="18">
        <v>2022</v>
      </c>
      <c r="B1571" s="18">
        <v>187</v>
      </c>
      <c r="C1571" s="87" t="s">
        <v>148</v>
      </c>
      <c r="D1571" s="59">
        <v>44875</v>
      </c>
      <c r="E1571" s="19" t="s">
        <v>4802</v>
      </c>
      <c r="F1571" s="6" t="s">
        <v>4803</v>
      </c>
      <c r="G1571" s="6" t="s">
        <v>3309</v>
      </c>
      <c r="H1571" s="6" t="s">
        <v>3292</v>
      </c>
    </row>
    <row r="1572" spans="1:8" ht="12.75">
      <c r="A1572" s="18">
        <v>2022</v>
      </c>
      <c r="B1572" s="18">
        <v>187</v>
      </c>
      <c r="C1572" s="87" t="s">
        <v>148</v>
      </c>
      <c r="D1572" s="59">
        <v>44875</v>
      </c>
      <c r="E1572" s="19" t="s">
        <v>4804</v>
      </c>
      <c r="F1572" s="6" t="s">
        <v>4805</v>
      </c>
      <c r="G1572" s="6" t="s">
        <v>3309</v>
      </c>
      <c r="H1572" s="6" t="s">
        <v>3292</v>
      </c>
    </row>
    <row r="1573" spans="1:8" ht="12.75">
      <c r="A1573" s="18">
        <v>2022</v>
      </c>
      <c r="B1573" s="18">
        <v>188</v>
      </c>
      <c r="C1573" s="87" t="s">
        <v>2011</v>
      </c>
      <c r="D1573" s="59">
        <v>44880</v>
      </c>
      <c r="E1573" s="19" t="s">
        <v>4806</v>
      </c>
      <c r="F1573" s="6" t="s">
        <v>3345</v>
      </c>
      <c r="G1573" s="6" t="s">
        <v>3311</v>
      </c>
      <c r="H1573" s="6" t="s">
        <v>3292</v>
      </c>
    </row>
    <row r="1574" spans="1:8" ht="12.75">
      <c r="A1574" s="18">
        <v>2022</v>
      </c>
      <c r="B1574" s="18">
        <v>188</v>
      </c>
      <c r="C1574" s="87" t="s">
        <v>2011</v>
      </c>
      <c r="D1574" s="59">
        <v>44880</v>
      </c>
      <c r="E1574" s="19" t="s">
        <v>3780</v>
      </c>
      <c r="F1574" s="6" t="s">
        <v>3781</v>
      </c>
      <c r="G1574" s="6" t="s">
        <v>3311</v>
      </c>
      <c r="H1574" s="6" t="s">
        <v>3292</v>
      </c>
    </row>
    <row r="1575" spans="1:8" ht="12.75">
      <c r="A1575" s="18">
        <v>2022</v>
      </c>
      <c r="B1575" s="18">
        <v>188</v>
      </c>
      <c r="C1575" s="87" t="s">
        <v>2011</v>
      </c>
      <c r="D1575" s="59">
        <v>44880</v>
      </c>
      <c r="E1575" s="19" t="s">
        <v>4648</v>
      </c>
      <c r="F1575" s="6" t="s">
        <v>4807</v>
      </c>
      <c r="G1575" s="6" t="s">
        <v>3311</v>
      </c>
      <c r="H1575" s="6" t="s">
        <v>3292</v>
      </c>
    </row>
    <row r="1576" spans="1:8" ht="12.75">
      <c r="A1576" s="18">
        <v>2022</v>
      </c>
      <c r="B1576" s="18">
        <v>188</v>
      </c>
      <c r="C1576" s="87" t="s">
        <v>2011</v>
      </c>
      <c r="D1576" s="59">
        <v>44880</v>
      </c>
      <c r="E1576" s="19" t="s">
        <v>4808</v>
      </c>
      <c r="F1576" s="6" t="s">
        <v>4809</v>
      </c>
      <c r="G1576" s="6" t="s">
        <v>3311</v>
      </c>
      <c r="H1576" s="6" t="s">
        <v>3292</v>
      </c>
    </row>
    <row r="1577" spans="1:8" ht="12.75">
      <c r="A1577" s="18">
        <v>2022</v>
      </c>
      <c r="B1577" s="18">
        <v>188</v>
      </c>
      <c r="C1577" s="87" t="s">
        <v>2011</v>
      </c>
      <c r="D1577" s="59">
        <v>44880</v>
      </c>
      <c r="E1577" s="19" t="s">
        <v>4646</v>
      </c>
      <c r="F1577" s="6" t="s">
        <v>4810</v>
      </c>
      <c r="G1577" s="6" t="s">
        <v>3311</v>
      </c>
      <c r="H1577" s="6" t="s">
        <v>3292</v>
      </c>
    </row>
    <row r="1578" spans="1:8" ht="12.75">
      <c r="A1578" s="18">
        <v>2022</v>
      </c>
      <c r="B1578" s="18">
        <v>188</v>
      </c>
      <c r="C1578" s="87" t="s">
        <v>2011</v>
      </c>
      <c r="D1578" s="59">
        <v>44880</v>
      </c>
      <c r="E1578" s="19" t="s">
        <v>4811</v>
      </c>
      <c r="F1578" s="6" t="s">
        <v>4645</v>
      </c>
      <c r="G1578" s="6" t="s">
        <v>3311</v>
      </c>
      <c r="H1578" s="6" t="s">
        <v>3292</v>
      </c>
    </row>
    <row r="1579" spans="1:8" ht="12.75">
      <c r="A1579" s="18">
        <v>2022</v>
      </c>
      <c r="B1579" s="18">
        <v>188</v>
      </c>
      <c r="C1579" s="87" t="s">
        <v>2011</v>
      </c>
      <c r="D1579" s="59">
        <v>44880</v>
      </c>
      <c r="E1579" s="19" t="s">
        <v>4812</v>
      </c>
      <c r="F1579" s="6" t="s">
        <v>4813</v>
      </c>
      <c r="G1579" s="6" t="s">
        <v>3311</v>
      </c>
      <c r="H1579" s="6" t="s">
        <v>3292</v>
      </c>
    </row>
    <row r="1580" spans="1:8" ht="12.75">
      <c r="A1580" s="18">
        <v>2022</v>
      </c>
      <c r="B1580" s="18">
        <v>188</v>
      </c>
      <c r="C1580" s="87" t="s">
        <v>2011</v>
      </c>
      <c r="D1580" s="59">
        <v>44880</v>
      </c>
      <c r="E1580" s="19" t="s">
        <v>4814</v>
      </c>
      <c r="F1580" s="6" t="s">
        <v>4815</v>
      </c>
      <c r="G1580" s="6" t="s">
        <v>3311</v>
      </c>
      <c r="H1580" s="6" t="s">
        <v>3292</v>
      </c>
    </row>
    <row r="1581" spans="1:8" ht="12.75">
      <c r="A1581" s="18">
        <v>2022</v>
      </c>
      <c r="B1581" s="18">
        <v>189</v>
      </c>
      <c r="C1581" s="87" t="s">
        <v>39</v>
      </c>
      <c r="D1581" s="59">
        <v>44880</v>
      </c>
      <c r="E1581" s="19" t="s">
        <v>4574</v>
      </c>
      <c r="F1581" s="6" t="s">
        <v>4666</v>
      </c>
      <c r="G1581" s="6" t="s">
        <v>3291</v>
      </c>
      <c r="H1581" s="6" t="s">
        <v>3292</v>
      </c>
    </row>
    <row r="1582" spans="1:8" ht="12.75">
      <c r="A1582" s="18">
        <v>2022</v>
      </c>
      <c r="B1582" s="18">
        <v>189</v>
      </c>
      <c r="C1582" s="87" t="s">
        <v>39</v>
      </c>
      <c r="D1582" s="59">
        <v>44880</v>
      </c>
      <c r="E1582" s="19" t="s">
        <v>4816</v>
      </c>
      <c r="F1582" s="6" t="s">
        <v>4817</v>
      </c>
      <c r="G1582" s="6" t="s">
        <v>3291</v>
      </c>
      <c r="H1582" s="6" t="s">
        <v>3292</v>
      </c>
    </row>
    <row r="1583" spans="1:8" ht="12.75">
      <c r="A1583" s="18">
        <v>2022</v>
      </c>
      <c r="B1583" s="18">
        <v>189</v>
      </c>
      <c r="C1583" s="87" t="s">
        <v>39</v>
      </c>
      <c r="D1583" s="59">
        <v>44880</v>
      </c>
      <c r="E1583" s="19" t="s">
        <v>3664</v>
      </c>
      <c r="F1583" s="6" t="s">
        <v>4818</v>
      </c>
      <c r="G1583" s="6" t="s">
        <v>3291</v>
      </c>
      <c r="H1583" s="6" t="s">
        <v>3292</v>
      </c>
    </row>
    <row r="1584" spans="1:8" ht="12.75">
      <c r="A1584" s="18">
        <v>2022</v>
      </c>
      <c r="B1584" s="18">
        <v>189</v>
      </c>
      <c r="C1584" s="87" t="s">
        <v>39</v>
      </c>
      <c r="D1584" s="59">
        <v>44880</v>
      </c>
      <c r="E1584" s="19" t="s">
        <v>4578</v>
      </c>
      <c r="F1584" s="6" t="s">
        <v>4819</v>
      </c>
      <c r="G1584" s="6" t="s">
        <v>3291</v>
      </c>
      <c r="H1584" s="6" t="s">
        <v>3292</v>
      </c>
    </row>
    <row r="1585" spans="1:8" ht="12.75">
      <c r="A1585" s="18">
        <v>2022</v>
      </c>
      <c r="B1585" s="18">
        <v>189</v>
      </c>
      <c r="C1585" s="87" t="s">
        <v>39</v>
      </c>
      <c r="D1585" s="59">
        <v>44880</v>
      </c>
      <c r="E1585" s="19" t="s">
        <v>4580</v>
      </c>
      <c r="F1585" s="6" t="s">
        <v>4579</v>
      </c>
      <c r="G1585" s="6" t="s">
        <v>3291</v>
      </c>
      <c r="H1585" s="6" t="s">
        <v>3292</v>
      </c>
    </row>
    <row r="1586" spans="1:8" ht="12.75">
      <c r="A1586" s="18">
        <v>2022</v>
      </c>
      <c r="B1586" s="18">
        <v>189</v>
      </c>
      <c r="C1586" s="87" t="s">
        <v>39</v>
      </c>
      <c r="D1586" s="59">
        <v>44880</v>
      </c>
      <c r="E1586" s="19" t="s">
        <v>3666</v>
      </c>
      <c r="F1586" s="6" t="s">
        <v>4667</v>
      </c>
      <c r="G1586" s="6" t="s">
        <v>3291</v>
      </c>
      <c r="H1586" s="6" t="s">
        <v>3292</v>
      </c>
    </row>
    <row r="1587" spans="1:8" ht="12.75">
      <c r="A1587" s="18">
        <v>2022</v>
      </c>
      <c r="B1587" s="18">
        <v>190</v>
      </c>
      <c r="C1587" s="87" t="s">
        <v>2011</v>
      </c>
      <c r="D1587" s="59">
        <v>44881</v>
      </c>
      <c r="E1587" s="19" t="s">
        <v>3989</v>
      </c>
      <c r="F1587" s="6" t="s">
        <v>3302</v>
      </c>
      <c r="G1587" s="6" t="s">
        <v>3306</v>
      </c>
      <c r="H1587" s="6" t="s">
        <v>3292</v>
      </c>
    </row>
    <row r="1588" spans="1:8" ht="12.75">
      <c r="A1588" s="18">
        <v>2022</v>
      </c>
      <c r="B1588" s="18">
        <v>190</v>
      </c>
      <c r="C1588" s="87" t="s">
        <v>2011</v>
      </c>
      <c r="D1588" s="59">
        <v>44881</v>
      </c>
      <c r="E1588" s="19" t="s">
        <v>4821</v>
      </c>
      <c r="F1588" s="6" t="s">
        <v>3990</v>
      </c>
      <c r="G1588" s="6" t="s">
        <v>3306</v>
      </c>
      <c r="H1588" s="6" t="s">
        <v>3292</v>
      </c>
    </row>
    <row r="1589" spans="1:8" ht="12.75">
      <c r="A1589" s="18">
        <v>2022</v>
      </c>
      <c r="B1589" s="18">
        <v>190</v>
      </c>
      <c r="C1589" s="87" t="s">
        <v>2011</v>
      </c>
      <c r="D1589" s="59">
        <v>44881</v>
      </c>
      <c r="E1589" s="19" t="s">
        <v>4822</v>
      </c>
      <c r="F1589" s="6" t="s">
        <v>4823</v>
      </c>
      <c r="G1589" s="6" t="s">
        <v>3993</v>
      </c>
      <c r="H1589" s="6" t="s">
        <v>3513</v>
      </c>
    </row>
    <row r="1590" spans="1:8" ht="12.75">
      <c r="A1590" s="18">
        <v>2022</v>
      </c>
      <c r="B1590" s="18">
        <v>190</v>
      </c>
      <c r="C1590" s="87" t="s">
        <v>2011</v>
      </c>
      <c r="D1590" s="59">
        <v>44881</v>
      </c>
      <c r="E1590" s="19" t="s">
        <v>4521</v>
      </c>
      <c r="F1590" s="6" t="s">
        <v>3381</v>
      </c>
      <c r="G1590" s="6" t="s">
        <v>3306</v>
      </c>
      <c r="H1590" s="6" t="s">
        <v>3292</v>
      </c>
    </row>
    <row r="1591" spans="1:8" ht="12.75">
      <c r="A1591" s="18">
        <v>2022</v>
      </c>
      <c r="B1591" s="18">
        <v>191</v>
      </c>
      <c r="C1591" s="87" t="s">
        <v>2011</v>
      </c>
      <c r="D1591" s="59">
        <v>44882</v>
      </c>
      <c r="E1591" s="19" t="s">
        <v>3312</v>
      </c>
      <c r="F1591" s="6" t="s">
        <v>3302</v>
      </c>
      <c r="G1591" s="6" t="s">
        <v>3313</v>
      </c>
      <c r="H1591" s="6" t="s">
        <v>3292</v>
      </c>
    </row>
    <row r="1592" spans="1:8" ht="12.75">
      <c r="A1592" s="18">
        <v>2022</v>
      </c>
      <c r="B1592" s="18">
        <v>191</v>
      </c>
      <c r="C1592" s="87" t="s">
        <v>2011</v>
      </c>
      <c r="D1592" s="59">
        <v>44882</v>
      </c>
      <c r="E1592" s="19" t="s">
        <v>3844</v>
      </c>
      <c r="F1592" s="6" t="s">
        <v>4449</v>
      </c>
      <c r="G1592" s="6" t="s">
        <v>3313</v>
      </c>
      <c r="H1592" s="6" t="s">
        <v>3292</v>
      </c>
    </row>
    <row r="1593" spans="1:8" ht="12.75">
      <c r="A1593" s="18">
        <v>2022</v>
      </c>
      <c r="B1593" s="18">
        <v>191</v>
      </c>
      <c r="C1593" s="87" t="s">
        <v>2011</v>
      </c>
      <c r="D1593" s="59">
        <v>44882</v>
      </c>
      <c r="E1593" s="19" t="s">
        <v>3846</v>
      </c>
      <c r="F1593" s="6" t="s">
        <v>3355</v>
      </c>
      <c r="G1593" s="6" t="s">
        <v>3313</v>
      </c>
      <c r="H1593" s="6" t="s">
        <v>3292</v>
      </c>
    </row>
    <row r="1594" spans="1:8" ht="12.75">
      <c r="A1594" s="18">
        <v>2022</v>
      </c>
      <c r="B1594" s="18">
        <v>191</v>
      </c>
      <c r="C1594" s="87" t="s">
        <v>2011</v>
      </c>
      <c r="D1594" s="59">
        <v>44882</v>
      </c>
      <c r="E1594" s="19" t="s">
        <v>4824</v>
      </c>
      <c r="F1594" s="6" t="s">
        <v>3957</v>
      </c>
      <c r="G1594" s="6" t="s">
        <v>3313</v>
      </c>
      <c r="H1594" s="6" t="s">
        <v>3292</v>
      </c>
    </row>
    <row r="1595" spans="1:8" ht="12.75">
      <c r="A1595" s="18">
        <v>2022</v>
      </c>
      <c r="B1595" s="18">
        <v>191</v>
      </c>
      <c r="C1595" s="87" t="s">
        <v>2011</v>
      </c>
      <c r="D1595" s="59">
        <v>44882</v>
      </c>
      <c r="E1595" s="19" t="s">
        <v>4825</v>
      </c>
      <c r="F1595" s="6" t="s">
        <v>4826</v>
      </c>
      <c r="G1595" s="6" t="s">
        <v>3313</v>
      </c>
      <c r="H1595" s="6" t="s">
        <v>3292</v>
      </c>
    </row>
    <row r="1596" spans="1:8" ht="12.75">
      <c r="A1596" s="18">
        <v>2022</v>
      </c>
      <c r="B1596" s="18">
        <v>191</v>
      </c>
      <c r="C1596" s="87" t="s">
        <v>2011</v>
      </c>
      <c r="D1596" s="59">
        <v>44882</v>
      </c>
      <c r="E1596" s="19" t="s">
        <v>4452</v>
      </c>
      <c r="F1596" s="6" t="s">
        <v>3843</v>
      </c>
      <c r="G1596" s="6" t="s">
        <v>3313</v>
      </c>
      <c r="H1596" s="6" t="s">
        <v>3292</v>
      </c>
    </row>
    <row r="1597" spans="1:8" ht="12.75">
      <c r="A1597" s="18">
        <v>2022</v>
      </c>
      <c r="B1597" s="18">
        <v>194</v>
      </c>
      <c r="C1597" s="87" t="s">
        <v>2838</v>
      </c>
      <c r="D1597" s="59">
        <v>44887</v>
      </c>
      <c r="E1597" s="19" t="s">
        <v>4825</v>
      </c>
      <c r="F1597" s="6" t="s">
        <v>4826</v>
      </c>
      <c r="G1597" s="6" t="s">
        <v>3313</v>
      </c>
      <c r="H1597" s="6" t="s">
        <v>3292</v>
      </c>
    </row>
    <row r="1598" spans="1:8" ht="12.75">
      <c r="A1598" s="18">
        <v>2022</v>
      </c>
      <c r="B1598" s="18">
        <v>194</v>
      </c>
      <c r="C1598" s="87" t="s">
        <v>2838</v>
      </c>
      <c r="D1598" s="59">
        <v>44887</v>
      </c>
      <c r="E1598" s="19" t="s">
        <v>3846</v>
      </c>
      <c r="F1598" s="6" t="s">
        <v>3355</v>
      </c>
      <c r="G1598" s="6" t="s">
        <v>3313</v>
      </c>
      <c r="H1598" s="6" t="s">
        <v>3292</v>
      </c>
    </row>
    <row r="1599" spans="1:8" ht="12.75">
      <c r="A1599" s="18">
        <v>2022</v>
      </c>
      <c r="B1599" s="18">
        <v>196</v>
      </c>
      <c r="C1599" s="87" t="s">
        <v>2011</v>
      </c>
      <c r="D1599" s="59">
        <v>44889</v>
      </c>
      <c r="E1599" s="19" t="s">
        <v>4827</v>
      </c>
      <c r="F1599" s="6" t="s">
        <v>3302</v>
      </c>
      <c r="G1599" s="6" t="s">
        <v>3309</v>
      </c>
      <c r="H1599" s="6" t="s">
        <v>3292</v>
      </c>
    </row>
    <row r="1600" spans="1:8" ht="12.75">
      <c r="A1600" s="18">
        <v>2022</v>
      </c>
      <c r="B1600" s="18">
        <v>196</v>
      </c>
      <c r="C1600" s="87" t="s">
        <v>2011</v>
      </c>
      <c r="D1600" s="59">
        <v>44889</v>
      </c>
      <c r="E1600" s="19" t="s">
        <v>4828</v>
      </c>
      <c r="F1600" s="6" t="s">
        <v>4829</v>
      </c>
      <c r="G1600" s="6" t="s">
        <v>3309</v>
      </c>
      <c r="H1600" s="6" t="s">
        <v>3292</v>
      </c>
    </row>
    <row r="1601" spans="1:8" ht="12.75">
      <c r="A1601" s="18">
        <v>2022</v>
      </c>
      <c r="B1601" s="18">
        <v>196</v>
      </c>
      <c r="C1601" s="87" t="s">
        <v>2011</v>
      </c>
      <c r="D1601" s="59">
        <v>44889</v>
      </c>
      <c r="E1601" s="19" t="s">
        <v>4830</v>
      </c>
      <c r="F1601" s="6" t="s">
        <v>4831</v>
      </c>
      <c r="G1601" s="6" t="s">
        <v>3309</v>
      </c>
      <c r="H1601" s="6" t="s">
        <v>3292</v>
      </c>
    </row>
    <row r="1602" spans="1:8" ht="12.75">
      <c r="A1602" s="18">
        <v>2022</v>
      </c>
      <c r="B1602" s="18">
        <v>196</v>
      </c>
      <c r="C1602" s="87" t="s">
        <v>2011</v>
      </c>
      <c r="D1602" s="59">
        <v>44889</v>
      </c>
      <c r="E1602" s="19" t="s">
        <v>4832</v>
      </c>
      <c r="F1602" s="6" t="s">
        <v>4833</v>
      </c>
      <c r="G1602" s="6" t="s">
        <v>3309</v>
      </c>
      <c r="H1602" s="6" t="s">
        <v>3292</v>
      </c>
    </row>
    <row r="1603" spans="1:8" ht="12.75">
      <c r="A1603" s="18">
        <v>2022</v>
      </c>
      <c r="B1603" s="18">
        <v>196</v>
      </c>
      <c r="C1603" s="87" t="s">
        <v>2011</v>
      </c>
      <c r="D1603" s="59">
        <v>44889</v>
      </c>
      <c r="E1603" s="19" t="s">
        <v>4735</v>
      </c>
      <c r="F1603" s="6" t="s">
        <v>3854</v>
      </c>
      <c r="G1603" s="6" t="s">
        <v>3309</v>
      </c>
      <c r="H1603" s="6" t="s">
        <v>3292</v>
      </c>
    </row>
    <row r="1604" spans="1:8" ht="12.75">
      <c r="A1604" s="18">
        <v>2022</v>
      </c>
      <c r="B1604" s="18">
        <v>196</v>
      </c>
      <c r="C1604" s="87" t="s">
        <v>2011</v>
      </c>
      <c r="D1604" s="59">
        <v>44889</v>
      </c>
      <c r="E1604" s="19" t="s">
        <v>4834</v>
      </c>
      <c r="F1604" s="6" t="s">
        <v>4835</v>
      </c>
      <c r="G1604" s="6" t="s">
        <v>3309</v>
      </c>
      <c r="H1604" s="6" t="s">
        <v>3292</v>
      </c>
    </row>
    <row r="1605" spans="1:8" ht="12.75">
      <c r="A1605" s="18">
        <v>2022</v>
      </c>
      <c r="B1605" s="18">
        <v>196</v>
      </c>
      <c r="C1605" s="87" t="s">
        <v>2011</v>
      </c>
      <c r="D1605" s="59">
        <v>44889</v>
      </c>
      <c r="E1605" s="19" t="s">
        <v>4003</v>
      </c>
      <c r="F1605" s="6" t="s">
        <v>4004</v>
      </c>
      <c r="G1605" s="6" t="s">
        <v>3309</v>
      </c>
      <c r="H1605" s="6" t="s">
        <v>3292</v>
      </c>
    </row>
    <row r="1606" spans="1:8" ht="12.75">
      <c r="A1606" s="18">
        <v>2022</v>
      </c>
      <c r="B1606" s="18">
        <v>196</v>
      </c>
      <c r="C1606" s="87" t="s">
        <v>2011</v>
      </c>
      <c r="D1606" s="59">
        <v>44889</v>
      </c>
      <c r="E1606" s="19" t="s">
        <v>4836</v>
      </c>
      <c r="F1606" s="6" t="s">
        <v>4837</v>
      </c>
      <c r="G1606" s="6" t="s">
        <v>3309</v>
      </c>
      <c r="H1606" s="6" t="s">
        <v>3292</v>
      </c>
    </row>
    <row r="1607" spans="1:8" ht="12.75">
      <c r="A1607" s="18">
        <v>2022</v>
      </c>
      <c r="B1607" s="18">
        <v>196</v>
      </c>
      <c r="C1607" s="87" t="s">
        <v>2011</v>
      </c>
      <c r="D1607" s="59">
        <v>44889</v>
      </c>
      <c r="E1607" s="19" t="s">
        <v>4754</v>
      </c>
      <c r="F1607" s="6" t="s">
        <v>4755</v>
      </c>
      <c r="G1607" s="6" t="s">
        <v>3309</v>
      </c>
      <c r="H1607" s="6" t="s">
        <v>3292</v>
      </c>
    </row>
    <row r="1608" spans="1:8" ht="12.75">
      <c r="A1608" s="18">
        <v>2022</v>
      </c>
      <c r="B1608" s="18">
        <v>196</v>
      </c>
      <c r="C1608" s="87" t="s">
        <v>2011</v>
      </c>
      <c r="D1608" s="59">
        <v>44889</v>
      </c>
      <c r="E1608" s="19" t="s">
        <v>4838</v>
      </c>
      <c r="F1608" s="6" t="s">
        <v>4839</v>
      </c>
      <c r="G1608" s="6" t="s">
        <v>3309</v>
      </c>
      <c r="H1608" s="6" t="s">
        <v>3292</v>
      </c>
    </row>
    <row r="1609" spans="1:8" ht="12.75">
      <c r="A1609" s="18">
        <v>2022</v>
      </c>
      <c r="B1609" s="18">
        <v>196</v>
      </c>
      <c r="C1609" s="87" t="s">
        <v>2011</v>
      </c>
      <c r="D1609" s="59">
        <v>44889</v>
      </c>
      <c r="E1609" s="19" t="s">
        <v>4840</v>
      </c>
      <c r="F1609" s="6" t="s">
        <v>4841</v>
      </c>
      <c r="G1609" s="6" t="s">
        <v>3309</v>
      </c>
      <c r="H1609" s="6" t="s">
        <v>3292</v>
      </c>
    </row>
    <row r="1610" spans="1:8" ht="12.75">
      <c r="A1610" s="18">
        <v>2022</v>
      </c>
      <c r="B1610" s="18">
        <v>196</v>
      </c>
      <c r="C1610" s="87" t="s">
        <v>2011</v>
      </c>
      <c r="D1610" s="59">
        <v>44889</v>
      </c>
      <c r="E1610" s="19" t="s">
        <v>3998</v>
      </c>
      <c r="F1610" s="6" t="s">
        <v>3999</v>
      </c>
      <c r="G1610" s="6" t="s">
        <v>3309</v>
      </c>
      <c r="H1610" s="6" t="s">
        <v>3292</v>
      </c>
    </row>
    <row r="1611" spans="1:8" ht="12.75">
      <c r="A1611" s="18">
        <v>2022</v>
      </c>
      <c r="B1611" s="18">
        <v>196</v>
      </c>
      <c r="C1611" s="87" t="s">
        <v>2011</v>
      </c>
      <c r="D1611" s="59">
        <v>44889</v>
      </c>
      <c r="E1611" s="19" t="s">
        <v>4842</v>
      </c>
      <c r="F1611" s="6" t="s">
        <v>4843</v>
      </c>
      <c r="G1611" s="6" t="s">
        <v>3309</v>
      </c>
      <c r="H1611" s="6" t="s">
        <v>3292</v>
      </c>
    </row>
    <row r="1612" spans="1:8" ht="12.75">
      <c r="A1612" s="18">
        <v>2022</v>
      </c>
      <c r="B1612" s="18">
        <v>196</v>
      </c>
      <c r="C1612" s="87" t="s">
        <v>2011</v>
      </c>
      <c r="D1612" s="59">
        <v>44889</v>
      </c>
      <c r="E1612" s="19" t="s">
        <v>4844</v>
      </c>
      <c r="F1612" s="6" t="s">
        <v>4845</v>
      </c>
      <c r="G1612" s="6" t="s">
        <v>3309</v>
      </c>
      <c r="H1612" s="6" t="s">
        <v>3292</v>
      </c>
    </row>
    <row r="1613" spans="1:8" ht="12.75">
      <c r="A1613" s="18">
        <v>2022</v>
      </c>
      <c r="B1613" s="18">
        <v>196</v>
      </c>
      <c r="C1613" s="87" t="s">
        <v>2011</v>
      </c>
      <c r="D1613" s="59">
        <v>44889</v>
      </c>
      <c r="E1613" s="19" t="s">
        <v>4143</v>
      </c>
      <c r="F1613" s="6" t="s">
        <v>4144</v>
      </c>
      <c r="G1613" s="6" t="s">
        <v>3309</v>
      </c>
      <c r="H1613" s="6" t="s">
        <v>3292</v>
      </c>
    </row>
    <row r="1614" spans="1:8" ht="12.75">
      <c r="A1614" s="18">
        <v>2022</v>
      </c>
      <c r="B1614" s="18">
        <v>196</v>
      </c>
      <c r="C1614" s="87" t="s">
        <v>2011</v>
      </c>
      <c r="D1614" s="59">
        <v>44889</v>
      </c>
      <c r="E1614" s="19" t="s">
        <v>4145</v>
      </c>
      <c r="F1614" s="6" t="s">
        <v>4146</v>
      </c>
      <c r="G1614" s="6" t="s">
        <v>3309</v>
      </c>
      <c r="H1614" s="6" t="s">
        <v>3292</v>
      </c>
    </row>
    <row r="1615" spans="1:8" ht="12.75">
      <c r="A1615" s="18">
        <v>2022</v>
      </c>
      <c r="B1615" s="18">
        <v>196</v>
      </c>
      <c r="C1615" s="87" t="s">
        <v>2011</v>
      </c>
      <c r="D1615" s="59">
        <v>44889</v>
      </c>
      <c r="E1615" s="19" t="s">
        <v>4846</v>
      </c>
      <c r="F1615" s="6" t="s">
        <v>4847</v>
      </c>
      <c r="G1615" s="6" t="s">
        <v>3309</v>
      </c>
      <c r="H1615" s="6" t="s">
        <v>3292</v>
      </c>
    </row>
    <row r="1616" spans="1:8" ht="12.75">
      <c r="A1616" s="18">
        <v>2022</v>
      </c>
      <c r="B1616" s="18">
        <v>196</v>
      </c>
      <c r="C1616" s="87" t="s">
        <v>2011</v>
      </c>
      <c r="D1616" s="59">
        <v>44889</v>
      </c>
      <c r="E1616" s="19" t="s">
        <v>4848</v>
      </c>
      <c r="F1616" s="6" t="s">
        <v>4849</v>
      </c>
      <c r="G1616" s="6" t="s">
        <v>3309</v>
      </c>
      <c r="H1616" s="6" t="s">
        <v>3292</v>
      </c>
    </row>
    <row r="1617" spans="1:8" ht="12.75">
      <c r="A1617" s="18">
        <v>2022</v>
      </c>
      <c r="B1617" s="18">
        <v>196</v>
      </c>
      <c r="C1617" s="87" t="s">
        <v>2011</v>
      </c>
      <c r="D1617" s="59">
        <v>44889</v>
      </c>
      <c r="E1617" s="19" t="s">
        <v>3332</v>
      </c>
      <c r="F1617" s="6" t="s">
        <v>4850</v>
      </c>
      <c r="G1617" s="6" t="s">
        <v>3309</v>
      </c>
      <c r="H1617" s="6" t="s">
        <v>3292</v>
      </c>
    </row>
    <row r="1618" spans="1:8" ht="12.75">
      <c r="A1618" s="18">
        <v>2022</v>
      </c>
      <c r="B1618" s="18">
        <v>196</v>
      </c>
      <c r="C1618" s="87" t="s">
        <v>2011</v>
      </c>
      <c r="D1618" s="59">
        <v>44889</v>
      </c>
      <c r="E1618" s="19" t="s">
        <v>4851</v>
      </c>
      <c r="F1618" s="6" t="s">
        <v>4852</v>
      </c>
      <c r="G1618" s="6" t="s">
        <v>3309</v>
      </c>
      <c r="H1618" s="6" t="s">
        <v>3292</v>
      </c>
    </row>
    <row r="1619" spans="1:8" ht="12.75">
      <c r="A1619" s="18">
        <v>2022</v>
      </c>
      <c r="B1619" s="18">
        <v>196</v>
      </c>
      <c r="C1619" s="87" t="s">
        <v>2011</v>
      </c>
      <c r="D1619" s="59">
        <v>44889</v>
      </c>
      <c r="E1619" s="19" t="s">
        <v>4853</v>
      </c>
      <c r="F1619" s="6" t="s">
        <v>4854</v>
      </c>
      <c r="G1619" s="6" t="s">
        <v>3309</v>
      </c>
      <c r="H1619" s="6" t="s">
        <v>3292</v>
      </c>
    </row>
    <row r="1620" spans="1:8" ht="12.75">
      <c r="A1620" s="18">
        <v>2022</v>
      </c>
      <c r="B1620" s="18">
        <v>196</v>
      </c>
      <c r="C1620" s="87" t="s">
        <v>2011</v>
      </c>
      <c r="D1620" s="59">
        <v>44889</v>
      </c>
      <c r="E1620" s="19" t="s">
        <v>3324</v>
      </c>
      <c r="F1620" s="6" t="s">
        <v>3302</v>
      </c>
      <c r="G1620" s="6" t="s">
        <v>3325</v>
      </c>
      <c r="H1620" s="6" t="s">
        <v>3292</v>
      </c>
    </row>
    <row r="1621" spans="1:8" ht="12.75">
      <c r="A1621" s="18">
        <v>2022</v>
      </c>
      <c r="B1621" s="18">
        <v>196</v>
      </c>
      <c r="C1621" s="87" t="s">
        <v>2011</v>
      </c>
      <c r="D1621" s="59">
        <v>44889</v>
      </c>
      <c r="E1621" s="19" t="s">
        <v>3703</v>
      </c>
      <c r="F1621" s="6" t="s">
        <v>3704</v>
      </c>
      <c r="G1621" s="6" t="s">
        <v>3325</v>
      </c>
      <c r="H1621" s="6" t="s">
        <v>3292</v>
      </c>
    </row>
    <row r="1622" spans="1:8" ht="12.75">
      <c r="A1622" s="18">
        <v>2022</v>
      </c>
      <c r="B1622" s="18">
        <v>196</v>
      </c>
      <c r="C1622" s="87" t="s">
        <v>2011</v>
      </c>
      <c r="D1622" s="59">
        <v>44889</v>
      </c>
      <c r="E1622" s="19" t="s">
        <v>4855</v>
      </c>
      <c r="F1622" s="6" t="s">
        <v>4856</v>
      </c>
      <c r="G1622" s="6" t="s">
        <v>3325</v>
      </c>
      <c r="H1622" s="6" t="s">
        <v>3292</v>
      </c>
    </row>
    <row r="1623" spans="1:8" ht="12.75">
      <c r="A1623" s="18">
        <v>2022</v>
      </c>
      <c r="B1623" s="18">
        <v>196</v>
      </c>
      <c r="C1623" s="87" t="s">
        <v>2011</v>
      </c>
      <c r="D1623" s="59">
        <v>44889</v>
      </c>
      <c r="E1623" s="19" t="s">
        <v>4857</v>
      </c>
      <c r="F1623" s="6" t="s">
        <v>4858</v>
      </c>
      <c r="G1623" s="6" t="s">
        <v>3325</v>
      </c>
      <c r="H1623" s="6" t="s">
        <v>3292</v>
      </c>
    </row>
    <row r="1624" spans="1:8" ht="12.75">
      <c r="A1624" s="18">
        <v>2022</v>
      </c>
      <c r="B1624" s="18">
        <v>196</v>
      </c>
      <c r="C1624" s="87" t="s">
        <v>2011</v>
      </c>
      <c r="D1624" s="59">
        <v>44889</v>
      </c>
      <c r="E1624" s="19" t="s">
        <v>4288</v>
      </c>
      <c r="F1624" s="6" t="s">
        <v>4289</v>
      </c>
      <c r="G1624" s="6" t="s">
        <v>3325</v>
      </c>
      <c r="H1624" s="6" t="s">
        <v>3292</v>
      </c>
    </row>
    <row r="1625" spans="1:8" ht="12.75">
      <c r="A1625" s="18">
        <v>2022</v>
      </c>
      <c r="B1625" s="18">
        <v>196</v>
      </c>
      <c r="C1625" s="87" t="s">
        <v>2011</v>
      </c>
      <c r="D1625" s="59">
        <v>44889</v>
      </c>
      <c r="E1625" s="19" t="s">
        <v>4859</v>
      </c>
      <c r="F1625" s="6" t="s">
        <v>3554</v>
      </c>
      <c r="G1625" s="6" t="s">
        <v>3325</v>
      </c>
      <c r="H1625" s="6" t="s">
        <v>3292</v>
      </c>
    </row>
    <row r="1626" spans="1:8" ht="12.75">
      <c r="A1626" s="18">
        <v>2022</v>
      </c>
      <c r="B1626" s="18">
        <v>196</v>
      </c>
      <c r="C1626" s="87" t="s">
        <v>2011</v>
      </c>
      <c r="D1626" s="59">
        <v>44889</v>
      </c>
      <c r="E1626" s="19" t="s">
        <v>4860</v>
      </c>
      <c r="F1626" s="6" t="s">
        <v>4861</v>
      </c>
      <c r="G1626" s="6" t="s">
        <v>3325</v>
      </c>
      <c r="H1626" s="6" t="s">
        <v>3292</v>
      </c>
    </row>
    <row r="1627" spans="1:8" ht="12.75">
      <c r="A1627" s="18">
        <v>2022</v>
      </c>
      <c r="B1627" s="18">
        <v>196</v>
      </c>
      <c r="C1627" s="87" t="s">
        <v>2011</v>
      </c>
      <c r="D1627" s="59">
        <v>44889</v>
      </c>
      <c r="E1627" s="19" t="s">
        <v>4862</v>
      </c>
      <c r="F1627" s="6" t="s">
        <v>4659</v>
      </c>
      <c r="G1627" s="6" t="s">
        <v>3325</v>
      </c>
      <c r="H1627" s="6" t="s">
        <v>3292</v>
      </c>
    </row>
    <row r="1628" spans="1:8" ht="12.75">
      <c r="A1628" s="18">
        <v>2022</v>
      </c>
      <c r="B1628" s="18">
        <v>196</v>
      </c>
      <c r="C1628" s="87" t="s">
        <v>2011</v>
      </c>
      <c r="D1628" s="59">
        <v>44889</v>
      </c>
      <c r="E1628" s="19" t="s">
        <v>4863</v>
      </c>
      <c r="F1628" s="6" t="s">
        <v>4864</v>
      </c>
      <c r="G1628" s="6" t="s">
        <v>3325</v>
      </c>
      <c r="H1628" s="6" t="s">
        <v>3292</v>
      </c>
    </row>
    <row r="1629" spans="1:8" ht="12.75">
      <c r="A1629" s="18">
        <v>2022</v>
      </c>
      <c r="B1629" s="18">
        <v>196</v>
      </c>
      <c r="C1629" s="87" t="s">
        <v>2011</v>
      </c>
      <c r="D1629" s="59">
        <v>44889</v>
      </c>
      <c r="E1629" s="19" t="s">
        <v>4865</v>
      </c>
      <c r="F1629" s="6" t="s">
        <v>3302</v>
      </c>
      <c r="G1629" s="6" t="s">
        <v>3353</v>
      </c>
      <c r="H1629" s="6" t="s">
        <v>3292</v>
      </c>
    </row>
    <row r="1630" spans="1:8" ht="12.75">
      <c r="A1630" s="18">
        <v>2022</v>
      </c>
      <c r="B1630" s="18">
        <v>196</v>
      </c>
      <c r="C1630" s="87" t="s">
        <v>2011</v>
      </c>
      <c r="D1630" s="59">
        <v>44889</v>
      </c>
      <c r="E1630" s="19" t="s">
        <v>4866</v>
      </c>
      <c r="F1630" s="6" t="s">
        <v>4867</v>
      </c>
      <c r="G1630" s="6" t="s">
        <v>3353</v>
      </c>
      <c r="H1630" s="6" t="s">
        <v>3292</v>
      </c>
    </row>
    <row r="1631" spans="1:8" ht="12.75">
      <c r="A1631" s="18">
        <v>2022</v>
      </c>
      <c r="B1631" s="18">
        <v>196</v>
      </c>
      <c r="C1631" s="87" t="s">
        <v>2011</v>
      </c>
      <c r="D1631" s="59">
        <v>44889</v>
      </c>
      <c r="E1631" s="19" t="s">
        <v>4868</v>
      </c>
      <c r="F1631" s="6" t="s">
        <v>4869</v>
      </c>
      <c r="G1631" s="6" t="s">
        <v>3353</v>
      </c>
      <c r="H1631" s="6" t="s">
        <v>3292</v>
      </c>
    </row>
    <row r="1632" spans="1:8" ht="12.75">
      <c r="A1632" s="18">
        <v>2022</v>
      </c>
      <c r="B1632" s="18">
        <v>198</v>
      </c>
      <c r="C1632" s="87" t="s">
        <v>2011</v>
      </c>
      <c r="D1632" s="59">
        <v>44894</v>
      </c>
      <c r="E1632" s="19" t="s">
        <v>4389</v>
      </c>
      <c r="F1632" s="6" t="s">
        <v>3302</v>
      </c>
      <c r="G1632" s="6" t="s">
        <v>3432</v>
      </c>
      <c r="H1632" s="6" t="s">
        <v>3292</v>
      </c>
    </row>
    <row r="1633" spans="1:8" ht="12.75">
      <c r="A1633" s="18">
        <v>2022</v>
      </c>
      <c r="B1633" s="18">
        <v>198</v>
      </c>
      <c r="C1633" s="87" t="s">
        <v>2011</v>
      </c>
      <c r="D1633" s="59">
        <v>44894</v>
      </c>
      <c r="E1633" s="19" t="s">
        <v>4870</v>
      </c>
      <c r="F1633" s="6" t="s">
        <v>4871</v>
      </c>
      <c r="G1633" s="6" t="s">
        <v>3432</v>
      </c>
      <c r="H1633" s="6" t="s">
        <v>3292</v>
      </c>
    </row>
    <row r="1634" spans="1:8" ht="12.75">
      <c r="A1634" s="18">
        <v>2022</v>
      </c>
      <c r="B1634" s="18">
        <v>198</v>
      </c>
      <c r="C1634" s="87" t="s">
        <v>2011</v>
      </c>
      <c r="D1634" s="59">
        <v>44894</v>
      </c>
      <c r="E1634" s="19" t="s">
        <v>4785</v>
      </c>
      <c r="F1634" s="6" t="s">
        <v>4786</v>
      </c>
      <c r="G1634" s="6" t="s">
        <v>3309</v>
      </c>
      <c r="H1634" s="6" t="s">
        <v>3292</v>
      </c>
    </row>
    <row r="1635" spans="1:8" ht="12.75">
      <c r="A1635" s="18">
        <v>2022</v>
      </c>
      <c r="B1635" s="18">
        <v>198</v>
      </c>
      <c r="C1635" s="87" t="s">
        <v>2011</v>
      </c>
      <c r="D1635" s="59">
        <v>44894</v>
      </c>
      <c r="E1635" s="19" t="s">
        <v>4872</v>
      </c>
      <c r="F1635" s="6" t="s">
        <v>4873</v>
      </c>
      <c r="G1635" s="6" t="s">
        <v>3432</v>
      </c>
      <c r="H1635" s="6" t="s">
        <v>3292</v>
      </c>
    </row>
    <row r="1636" spans="1:8" ht="12.75">
      <c r="A1636" s="18">
        <v>2022</v>
      </c>
      <c r="B1636" s="18">
        <v>198</v>
      </c>
      <c r="C1636" s="87" t="s">
        <v>2011</v>
      </c>
      <c r="D1636" s="59">
        <v>44894</v>
      </c>
      <c r="E1636" s="19" t="s">
        <v>3430</v>
      </c>
      <c r="F1636" s="6" t="s">
        <v>3431</v>
      </c>
      <c r="G1636" s="6" t="s">
        <v>3432</v>
      </c>
      <c r="H1636" s="6" t="s">
        <v>3292</v>
      </c>
    </row>
    <row r="1637" spans="1:8" ht="12.75">
      <c r="A1637" s="18">
        <v>2022</v>
      </c>
      <c r="B1637" s="18">
        <v>198</v>
      </c>
      <c r="C1637" s="87" t="s">
        <v>2011</v>
      </c>
      <c r="D1637" s="59">
        <v>44894</v>
      </c>
      <c r="E1637" s="19" t="s">
        <v>3735</v>
      </c>
      <c r="F1637" s="6" t="s">
        <v>3302</v>
      </c>
      <c r="G1637" s="6" t="s">
        <v>3720</v>
      </c>
      <c r="H1637" s="6" t="s">
        <v>3292</v>
      </c>
    </row>
    <row r="1638" spans="1:8" ht="12.75">
      <c r="A1638" s="18">
        <v>2022</v>
      </c>
      <c r="B1638" s="18">
        <v>198</v>
      </c>
      <c r="C1638" s="87" t="s">
        <v>2011</v>
      </c>
      <c r="D1638" s="59">
        <v>44894</v>
      </c>
      <c r="E1638" s="19" t="s">
        <v>4325</v>
      </c>
      <c r="F1638" s="6" t="s">
        <v>4461</v>
      </c>
      <c r="G1638" s="6" t="s">
        <v>3720</v>
      </c>
      <c r="H1638" s="6" t="s">
        <v>3292</v>
      </c>
    </row>
    <row r="1639" spans="1:8" ht="12.75">
      <c r="A1639" s="18">
        <v>2022</v>
      </c>
      <c r="B1639" s="18">
        <v>198</v>
      </c>
      <c r="C1639" s="87" t="s">
        <v>2011</v>
      </c>
      <c r="D1639" s="59">
        <v>44894</v>
      </c>
      <c r="E1639" s="19" t="s">
        <v>4874</v>
      </c>
      <c r="F1639" s="6" t="s">
        <v>4460</v>
      </c>
      <c r="G1639" s="6" t="s">
        <v>3720</v>
      </c>
      <c r="H1639" s="6" t="s">
        <v>3292</v>
      </c>
    </row>
    <row r="1640" spans="1:8" ht="12.75">
      <c r="A1640" s="18">
        <v>2022</v>
      </c>
      <c r="B1640" s="18">
        <v>198</v>
      </c>
      <c r="C1640" s="87" t="s">
        <v>2011</v>
      </c>
      <c r="D1640" s="59">
        <v>44894</v>
      </c>
      <c r="E1640" s="19" t="s">
        <v>4457</v>
      </c>
      <c r="F1640" s="6" t="s">
        <v>4458</v>
      </c>
      <c r="G1640" s="6" t="s">
        <v>3720</v>
      </c>
      <c r="H1640" s="6" t="s">
        <v>3292</v>
      </c>
    </row>
    <row r="1641" spans="1:8" ht="12.75">
      <c r="A1641" s="18">
        <v>2022</v>
      </c>
      <c r="B1641" s="18">
        <v>198</v>
      </c>
      <c r="C1641" s="87" t="s">
        <v>2011</v>
      </c>
      <c r="D1641" s="59">
        <v>44894</v>
      </c>
      <c r="E1641" s="19" t="s">
        <v>4875</v>
      </c>
      <c r="F1641" s="6" t="s">
        <v>4876</v>
      </c>
      <c r="G1641" s="6" t="s">
        <v>3720</v>
      </c>
      <c r="H1641" s="6" t="s">
        <v>3292</v>
      </c>
    </row>
    <row r="1642" spans="1:8" ht="12.75">
      <c r="A1642" s="18">
        <v>2022</v>
      </c>
      <c r="B1642" s="18">
        <v>198</v>
      </c>
      <c r="C1642" s="87" t="s">
        <v>2011</v>
      </c>
      <c r="D1642" s="59">
        <v>44894</v>
      </c>
      <c r="E1642" s="19" t="s">
        <v>4877</v>
      </c>
      <c r="F1642" s="6" t="s">
        <v>4878</v>
      </c>
      <c r="G1642" s="6" t="s">
        <v>3720</v>
      </c>
      <c r="H1642" s="6" t="s">
        <v>3292</v>
      </c>
    </row>
    <row r="1643" spans="1:8" ht="12.75">
      <c r="A1643" s="18">
        <v>2022</v>
      </c>
      <c r="B1643" s="18">
        <v>198</v>
      </c>
      <c r="C1643" s="87" t="s">
        <v>2011</v>
      </c>
      <c r="D1643" s="59">
        <v>44894</v>
      </c>
      <c r="E1643" s="19" t="s">
        <v>4879</v>
      </c>
      <c r="F1643" s="6" t="s">
        <v>4880</v>
      </c>
      <c r="G1643" s="6" t="s">
        <v>3720</v>
      </c>
      <c r="H1643" s="6" t="s">
        <v>3292</v>
      </c>
    </row>
    <row r="1644" spans="1:8" ht="12.75">
      <c r="A1644" s="18">
        <v>2022</v>
      </c>
      <c r="B1644" s="18">
        <v>198</v>
      </c>
      <c r="C1644" s="87" t="s">
        <v>2011</v>
      </c>
      <c r="D1644" s="59">
        <v>44894</v>
      </c>
      <c r="E1644" s="19" t="s">
        <v>4881</v>
      </c>
      <c r="F1644" s="6" t="s">
        <v>4882</v>
      </c>
      <c r="G1644" s="6" t="s">
        <v>3720</v>
      </c>
      <c r="H1644" s="6" t="s">
        <v>3292</v>
      </c>
    </row>
    <row r="1645" spans="1:8" ht="12.75">
      <c r="A1645" s="18">
        <v>2022</v>
      </c>
      <c r="B1645" s="18">
        <v>198</v>
      </c>
      <c r="C1645" s="87" t="s">
        <v>2011</v>
      </c>
      <c r="D1645" s="59">
        <v>44894</v>
      </c>
      <c r="E1645" s="19" t="s">
        <v>4883</v>
      </c>
      <c r="F1645" s="6" t="s">
        <v>4884</v>
      </c>
      <c r="G1645" s="6" t="s">
        <v>3720</v>
      </c>
      <c r="H1645" s="6" t="s">
        <v>3292</v>
      </c>
    </row>
    <row r="1646" spans="1:8" ht="12.75">
      <c r="A1646" s="18">
        <v>2022</v>
      </c>
      <c r="B1646" s="18">
        <v>198</v>
      </c>
      <c r="C1646" s="87" t="s">
        <v>2011</v>
      </c>
      <c r="D1646" s="59">
        <v>44894</v>
      </c>
      <c r="E1646" s="19" t="s">
        <v>4327</v>
      </c>
      <c r="F1646" s="6" t="s">
        <v>4885</v>
      </c>
      <c r="G1646" s="6" t="s">
        <v>3720</v>
      </c>
      <c r="H1646" s="6" t="s">
        <v>3292</v>
      </c>
    </row>
    <row r="1647" spans="1:8" ht="12.75">
      <c r="A1647" s="18">
        <v>2022</v>
      </c>
      <c r="B1647" s="18">
        <v>203</v>
      </c>
      <c r="C1647" s="87" t="s">
        <v>47</v>
      </c>
      <c r="D1647" s="48">
        <v>44901</v>
      </c>
      <c r="E1647" s="19" t="s">
        <v>4886</v>
      </c>
      <c r="F1647" s="6" t="s">
        <v>4887</v>
      </c>
      <c r="G1647" s="6" t="s">
        <v>4502</v>
      </c>
      <c r="H1647" s="6" t="s">
        <v>3567</v>
      </c>
    </row>
    <row r="1648" spans="1:8" ht="12.75">
      <c r="A1648" s="18">
        <v>2022</v>
      </c>
      <c r="B1648" s="18">
        <v>203</v>
      </c>
      <c r="C1648" s="87" t="s">
        <v>47</v>
      </c>
      <c r="D1648" s="48">
        <v>44901</v>
      </c>
      <c r="E1648" s="19" t="s">
        <v>4888</v>
      </c>
      <c r="F1648" s="6" t="s">
        <v>4889</v>
      </c>
      <c r="G1648" s="6" t="s">
        <v>4502</v>
      </c>
      <c r="H1648" s="6" t="s">
        <v>3567</v>
      </c>
    </row>
    <row r="1649" spans="1:8" ht="12.75">
      <c r="A1649" s="18">
        <v>2022</v>
      </c>
      <c r="B1649" s="18">
        <v>204</v>
      </c>
      <c r="C1649" s="87" t="s">
        <v>2074</v>
      </c>
      <c r="D1649" s="48">
        <v>44902</v>
      </c>
      <c r="E1649" s="19" t="s">
        <v>4890</v>
      </c>
      <c r="F1649" s="6" t="s">
        <v>3302</v>
      </c>
      <c r="G1649" s="6" t="s">
        <v>3306</v>
      </c>
      <c r="H1649" s="6" t="s">
        <v>3292</v>
      </c>
    </row>
    <row r="1650" spans="1:8" ht="12.75">
      <c r="A1650" s="18">
        <v>2022</v>
      </c>
      <c r="B1650" s="18">
        <v>205</v>
      </c>
      <c r="C1650" s="87" t="s">
        <v>47</v>
      </c>
      <c r="D1650" s="59">
        <v>44908</v>
      </c>
      <c r="E1650" s="19" t="s">
        <v>4898</v>
      </c>
      <c r="F1650" s="6" t="s">
        <v>4899</v>
      </c>
      <c r="G1650" s="6" t="s">
        <v>3303</v>
      </c>
      <c r="H1650" s="6" t="s">
        <v>3567</v>
      </c>
    </row>
    <row r="1651" spans="1:8" ht="12.75">
      <c r="A1651" s="18">
        <v>2022</v>
      </c>
      <c r="B1651" s="18">
        <v>207</v>
      </c>
      <c r="C1651" s="87" t="s">
        <v>47</v>
      </c>
      <c r="D1651" s="59">
        <v>44910</v>
      </c>
      <c r="E1651" s="19" t="s">
        <v>4900</v>
      </c>
      <c r="F1651" s="6" t="s">
        <v>4901</v>
      </c>
      <c r="G1651" s="6" t="s">
        <v>4502</v>
      </c>
      <c r="H1651" s="6" t="s">
        <v>3567</v>
      </c>
    </row>
    <row r="1652" spans="1:8" ht="12.75">
      <c r="A1652" s="18">
        <v>2022</v>
      </c>
      <c r="B1652" s="18">
        <v>209</v>
      </c>
      <c r="C1652" s="87" t="s">
        <v>47</v>
      </c>
      <c r="D1652" s="59">
        <v>44922</v>
      </c>
      <c r="E1652" s="19" t="s">
        <v>4902</v>
      </c>
      <c r="F1652" s="6" t="s">
        <v>4903</v>
      </c>
      <c r="G1652" s="6" t="s">
        <v>4502</v>
      </c>
      <c r="H1652" s="6" t="s">
        <v>3567</v>
      </c>
    </row>
    <row r="1653" spans="1:8" ht="12.75">
      <c r="A1653" s="18">
        <v>2023</v>
      </c>
      <c r="B1653" s="18">
        <v>3</v>
      </c>
      <c r="C1653" s="87" t="s">
        <v>47</v>
      </c>
      <c r="D1653" s="48">
        <v>44964</v>
      </c>
      <c r="E1653" s="19" t="s">
        <v>4904</v>
      </c>
      <c r="F1653" s="6" t="s">
        <v>4905</v>
      </c>
      <c r="G1653" s="6" t="s">
        <v>4502</v>
      </c>
      <c r="H1653" s="6" t="s">
        <v>3567</v>
      </c>
    </row>
    <row r="1654" spans="1:8" ht="12.75">
      <c r="A1654" s="18">
        <v>2023</v>
      </c>
      <c r="B1654" s="18">
        <v>6</v>
      </c>
      <c r="C1654" s="87" t="s">
        <v>47</v>
      </c>
      <c r="D1654" s="48">
        <v>44971</v>
      </c>
      <c r="E1654" s="19" t="s">
        <v>4906</v>
      </c>
      <c r="F1654" s="6" t="s">
        <v>3565</v>
      </c>
      <c r="G1654" s="6" t="s">
        <v>4502</v>
      </c>
      <c r="H1654" s="6" t="s">
        <v>3567</v>
      </c>
    </row>
    <row r="1655" spans="1:8" ht="12.75">
      <c r="A1655" s="18">
        <v>2023</v>
      </c>
      <c r="B1655" s="18">
        <v>8</v>
      </c>
      <c r="C1655" s="87" t="s">
        <v>47</v>
      </c>
      <c r="D1655" s="48">
        <v>44973</v>
      </c>
      <c r="E1655" s="19" t="s">
        <v>4907</v>
      </c>
      <c r="F1655" s="6" t="s">
        <v>4908</v>
      </c>
      <c r="G1655" s="6" t="s">
        <v>4502</v>
      </c>
      <c r="H1655" s="6" t="s">
        <v>3567</v>
      </c>
    </row>
    <row r="1656" spans="1:8" ht="12.75">
      <c r="A1656" s="18">
        <v>2023</v>
      </c>
      <c r="B1656" s="18">
        <v>11</v>
      </c>
      <c r="C1656" s="87" t="s">
        <v>47</v>
      </c>
      <c r="D1656" s="48">
        <v>44985</v>
      </c>
      <c r="E1656" s="19" t="s">
        <v>4909</v>
      </c>
      <c r="F1656" s="6" t="s">
        <v>3878</v>
      </c>
      <c r="G1656" s="6" t="s">
        <v>4502</v>
      </c>
      <c r="H1656" s="6" t="s">
        <v>3567</v>
      </c>
    </row>
    <row r="1657" spans="1:8" ht="12.75">
      <c r="A1657" s="18">
        <v>2023</v>
      </c>
      <c r="B1657" s="18">
        <v>11</v>
      </c>
      <c r="C1657" s="87" t="s">
        <v>47</v>
      </c>
      <c r="D1657" s="48">
        <v>44985</v>
      </c>
      <c r="E1657" s="19" t="s">
        <v>4910</v>
      </c>
      <c r="F1657" s="6" t="s">
        <v>3565</v>
      </c>
      <c r="G1657" s="6" t="s">
        <v>4502</v>
      </c>
      <c r="H1657" s="6" t="s">
        <v>3567</v>
      </c>
    </row>
    <row r="1658" spans="1:8" ht="12.75">
      <c r="A1658" s="18">
        <v>2023</v>
      </c>
      <c r="B1658" s="18">
        <v>15</v>
      </c>
      <c r="C1658" s="87" t="s">
        <v>148</v>
      </c>
      <c r="D1658" s="48">
        <v>44987</v>
      </c>
      <c r="E1658" s="19" t="s">
        <v>4911</v>
      </c>
      <c r="F1658" s="6" t="s">
        <v>4912</v>
      </c>
      <c r="G1658" s="6" t="s">
        <v>3309</v>
      </c>
      <c r="H1658" s="6" t="s">
        <v>3292</v>
      </c>
    </row>
    <row r="1659" spans="1:8" ht="12.75">
      <c r="A1659" s="18">
        <v>2023</v>
      </c>
      <c r="B1659" s="18">
        <v>15</v>
      </c>
      <c r="C1659" s="87" t="s">
        <v>148</v>
      </c>
      <c r="D1659" s="48">
        <v>44987</v>
      </c>
      <c r="E1659" s="19" t="s">
        <v>3994</v>
      </c>
      <c r="F1659" s="6" t="s">
        <v>3995</v>
      </c>
      <c r="G1659" s="6" t="s">
        <v>3309</v>
      </c>
      <c r="H1659" s="6" t="s">
        <v>3292</v>
      </c>
    </row>
    <row r="1660" spans="1:8" ht="12.75">
      <c r="A1660" s="18">
        <v>2023</v>
      </c>
      <c r="B1660" s="18">
        <v>15</v>
      </c>
      <c r="C1660" s="87" t="s">
        <v>148</v>
      </c>
      <c r="D1660" s="48">
        <v>44987</v>
      </c>
      <c r="E1660" s="19" t="s">
        <v>4913</v>
      </c>
      <c r="F1660" s="6" t="s">
        <v>4914</v>
      </c>
      <c r="G1660" s="6" t="s">
        <v>3309</v>
      </c>
      <c r="H1660" s="6" t="s">
        <v>3292</v>
      </c>
    </row>
    <row r="1661" spans="1:8" ht="12.75">
      <c r="A1661" s="18">
        <v>2023</v>
      </c>
      <c r="B1661" s="18">
        <v>15</v>
      </c>
      <c r="C1661" s="87" t="s">
        <v>148</v>
      </c>
      <c r="D1661" s="48">
        <v>44987</v>
      </c>
      <c r="E1661" s="19" t="s">
        <v>3853</v>
      </c>
      <c r="F1661" s="6" t="s">
        <v>3854</v>
      </c>
      <c r="G1661" s="6" t="s">
        <v>3309</v>
      </c>
      <c r="H1661" s="6" t="s">
        <v>3292</v>
      </c>
    </row>
    <row r="1662" spans="1:8" ht="12.75">
      <c r="A1662" s="18">
        <v>2023</v>
      </c>
      <c r="B1662" s="18">
        <v>17</v>
      </c>
      <c r="C1662" s="87" t="s">
        <v>47</v>
      </c>
      <c r="D1662" s="48">
        <v>44994</v>
      </c>
      <c r="E1662" s="19" t="s">
        <v>4915</v>
      </c>
      <c r="F1662" s="6" t="s">
        <v>4916</v>
      </c>
      <c r="G1662" s="6" t="s">
        <v>4502</v>
      </c>
      <c r="H1662" s="6" t="s">
        <v>3567</v>
      </c>
    </row>
    <row r="1663" spans="1:8" ht="12.75">
      <c r="A1663" s="18">
        <v>2023</v>
      </c>
      <c r="B1663" s="18">
        <v>17</v>
      </c>
      <c r="C1663" s="87" t="s">
        <v>47</v>
      </c>
      <c r="D1663" s="48">
        <v>44994</v>
      </c>
      <c r="E1663" s="19" t="s">
        <v>4917</v>
      </c>
      <c r="F1663" s="6" t="s">
        <v>4918</v>
      </c>
      <c r="G1663" s="6" t="s">
        <v>4502</v>
      </c>
      <c r="H1663" s="6" t="s">
        <v>3567</v>
      </c>
    </row>
    <row r="1664" spans="1:8" ht="12.75">
      <c r="A1664" s="18">
        <v>2023</v>
      </c>
      <c r="B1664" s="18">
        <v>18</v>
      </c>
      <c r="C1664" s="87" t="s">
        <v>2959</v>
      </c>
      <c r="D1664" s="48">
        <v>44999</v>
      </c>
      <c r="E1664" s="19" t="s">
        <v>4456</v>
      </c>
      <c r="F1664" s="6" t="s">
        <v>3302</v>
      </c>
      <c r="G1664" s="6" t="s">
        <v>3720</v>
      </c>
      <c r="H1664" s="6" t="s">
        <v>3292</v>
      </c>
    </row>
    <row r="1665" spans="1:8" ht="12.75">
      <c r="A1665" s="18">
        <v>2023</v>
      </c>
      <c r="B1665" s="18">
        <v>18</v>
      </c>
      <c r="C1665" s="87" t="s">
        <v>2959</v>
      </c>
      <c r="D1665" s="48">
        <v>44999</v>
      </c>
      <c r="E1665" s="19" t="s">
        <v>4919</v>
      </c>
      <c r="F1665" s="6" t="s">
        <v>3302</v>
      </c>
      <c r="G1665" s="6" t="s">
        <v>4095</v>
      </c>
      <c r="H1665" s="6" t="s">
        <v>3292</v>
      </c>
    </row>
    <row r="1666" spans="1:8" ht="12.75">
      <c r="A1666" s="18">
        <v>2023</v>
      </c>
      <c r="B1666" s="18">
        <v>18</v>
      </c>
      <c r="C1666" s="87" t="s">
        <v>2959</v>
      </c>
      <c r="D1666" s="48">
        <v>44999</v>
      </c>
      <c r="E1666" s="19" t="s">
        <v>4459</v>
      </c>
      <c r="F1666" s="6" t="s">
        <v>4460</v>
      </c>
      <c r="G1666" s="6" t="s">
        <v>3720</v>
      </c>
      <c r="H1666" s="6" t="s">
        <v>3292</v>
      </c>
    </row>
    <row r="1667" spans="1:8" ht="12.75">
      <c r="A1667" s="18">
        <v>2023</v>
      </c>
      <c r="B1667" s="18">
        <v>19</v>
      </c>
      <c r="C1667" s="87" t="s">
        <v>47</v>
      </c>
      <c r="D1667" s="48">
        <v>44999</v>
      </c>
      <c r="E1667" s="19" t="s">
        <v>4920</v>
      </c>
      <c r="F1667" s="6" t="s">
        <v>4921</v>
      </c>
      <c r="G1667" s="6" t="s">
        <v>4502</v>
      </c>
      <c r="H1667" s="6" t="s">
        <v>3567</v>
      </c>
    </row>
    <row r="1668" spans="1:8" ht="12.75">
      <c r="A1668" s="18">
        <v>2023</v>
      </c>
      <c r="B1668" s="18">
        <v>19</v>
      </c>
      <c r="C1668" s="87" t="s">
        <v>47</v>
      </c>
      <c r="D1668" s="48">
        <v>44999</v>
      </c>
      <c r="E1668" s="19" t="s">
        <v>4922</v>
      </c>
      <c r="F1668" s="6" t="s">
        <v>4923</v>
      </c>
      <c r="G1668" s="6" t="s">
        <v>4502</v>
      </c>
      <c r="H1668" s="6" t="s">
        <v>3567</v>
      </c>
    </row>
    <row r="1669" spans="1:8" ht="12.75">
      <c r="A1669" s="18">
        <v>2023</v>
      </c>
      <c r="B1669" s="18">
        <v>23</v>
      </c>
      <c r="C1669" s="87" t="s">
        <v>3004</v>
      </c>
      <c r="D1669" s="48">
        <v>45001</v>
      </c>
      <c r="E1669" s="19" t="s">
        <v>3304</v>
      </c>
      <c r="F1669" s="6" t="s">
        <v>4924</v>
      </c>
      <c r="G1669" s="6" t="s">
        <v>3306</v>
      </c>
      <c r="H1669" s="6" t="s">
        <v>3292</v>
      </c>
    </row>
    <row r="1670" spans="1:8" ht="12.75">
      <c r="A1670" s="18">
        <v>2023</v>
      </c>
      <c r="B1670" s="18">
        <v>23</v>
      </c>
      <c r="C1670" s="87" t="s">
        <v>3004</v>
      </c>
      <c r="D1670" s="48">
        <v>45001</v>
      </c>
      <c r="E1670" s="19" t="s">
        <v>4925</v>
      </c>
      <c r="F1670" s="6" t="s">
        <v>4926</v>
      </c>
      <c r="G1670" s="6" t="s">
        <v>4927</v>
      </c>
      <c r="H1670" s="6" t="s">
        <v>3490</v>
      </c>
    </row>
    <row r="1671" spans="1:8" ht="12.75">
      <c r="A1671" s="18">
        <v>2023</v>
      </c>
      <c r="B1671" s="18">
        <v>24</v>
      </c>
      <c r="C1671" s="87" t="s">
        <v>2959</v>
      </c>
      <c r="D1671" s="48">
        <v>44641</v>
      </c>
      <c r="E1671" s="19" t="s">
        <v>4928</v>
      </c>
      <c r="F1671" s="6" t="s">
        <v>4929</v>
      </c>
      <c r="G1671" s="6" t="s">
        <v>3409</v>
      </c>
      <c r="H1671" s="6" t="s">
        <v>3288</v>
      </c>
    </row>
    <row r="1672" spans="1:8" ht="12.75">
      <c r="A1672" s="18">
        <v>2023</v>
      </c>
      <c r="B1672" s="18">
        <v>24</v>
      </c>
      <c r="C1672" s="87" t="s">
        <v>2959</v>
      </c>
      <c r="D1672" s="48">
        <v>44641</v>
      </c>
      <c r="E1672" s="19" t="s">
        <v>4391</v>
      </c>
      <c r="F1672" s="6" t="s">
        <v>4930</v>
      </c>
      <c r="G1672" s="6" t="s">
        <v>3409</v>
      </c>
      <c r="H1672" s="6" t="s">
        <v>3288</v>
      </c>
    </row>
    <row r="1673" spans="1:8" ht="12.75">
      <c r="A1673" s="18">
        <v>2023</v>
      </c>
      <c r="B1673" s="18">
        <v>24</v>
      </c>
      <c r="C1673" s="87" t="s">
        <v>2959</v>
      </c>
      <c r="D1673" s="48">
        <v>44641</v>
      </c>
      <c r="E1673" s="19" t="s">
        <v>3492</v>
      </c>
      <c r="F1673" s="6" t="s">
        <v>4931</v>
      </c>
      <c r="G1673" s="6" t="s">
        <v>3409</v>
      </c>
      <c r="H1673" s="6" t="s">
        <v>3288</v>
      </c>
    </row>
    <row r="1674" spans="1:8" ht="12.75">
      <c r="A1674" s="18">
        <v>2023</v>
      </c>
      <c r="B1674" s="18">
        <v>24</v>
      </c>
      <c r="C1674" s="87" t="s">
        <v>2959</v>
      </c>
      <c r="D1674" s="48">
        <v>44641</v>
      </c>
      <c r="E1674" s="19" t="s">
        <v>4932</v>
      </c>
      <c r="F1674" s="6" t="s">
        <v>4933</v>
      </c>
      <c r="G1674" s="6" t="s">
        <v>3409</v>
      </c>
      <c r="H1674" s="6" t="s">
        <v>3288</v>
      </c>
    </row>
    <row r="1675" spans="1:8" ht="12.75">
      <c r="A1675" s="18">
        <v>2023</v>
      </c>
      <c r="B1675" s="18">
        <v>24</v>
      </c>
      <c r="C1675" s="87" t="s">
        <v>2959</v>
      </c>
      <c r="D1675" s="48">
        <v>44641</v>
      </c>
      <c r="E1675" s="19" t="s">
        <v>4934</v>
      </c>
      <c r="F1675" s="6" t="s">
        <v>4935</v>
      </c>
      <c r="G1675" s="6" t="s">
        <v>4565</v>
      </c>
      <c r="H1675" s="6" t="s">
        <v>3288</v>
      </c>
    </row>
    <row r="1676" spans="1:8" ht="12.75">
      <c r="A1676" s="18">
        <v>2023</v>
      </c>
      <c r="B1676" s="18">
        <v>25</v>
      </c>
      <c r="C1676" s="87" t="s">
        <v>3004</v>
      </c>
      <c r="D1676" s="48">
        <v>6619371</v>
      </c>
      <c r="E1676" s="19" t="s">
        <v>4936</v>
      </c>
      <c r="F1676" s="6" t="s">
        <v>3949</v>
      </c>
      <c r="G1676" s="6" t="s">
        <v>3306</v>
      </c>
      <c r="H1676" s="6" t="s">
        <v>3292</v>
      </c>
    </row>
    <row r="1677" spans="1:8" ht="12.75">
      <c r="A1677" s="18">
        <v>2023</v>
      </c>
      <c r="B1677" s="18">
        <v>25</v>
      </c>
      <c r="C1677" s="87" t="s">
        <v>3004</v>
      </c>
      <c r="D1677" s="48">
        <v>6619371</v>
      </c>
      <c r="E1677" s="19" t="s">
        <v>4937</v>
      </c>
      <c r="F1677" s="6" t="s">
        <v>4938</v>
      </c>
      <c r="G1677" s="6" t="s">
        <v>3389</v>
      </c>
      <c r="H1677" s="6" t="s">
        <v>3288</v>
      </c>
    </row>
    <row r="1678" spans="1:8" ht="12.75">
      <c r="A1678" s="18">
        <v>2023</v>
      </c>
      <c r="B1678" s="18">
        <v>25</v>
      </c>
      <c r="C1678" s="87" t="s">
        <v>3004</v>
      </c>
      <c r="D1678" s="48">
        <v>6619371</v>
      </c>
      <c r="E1678" s="19" t="s">
        <v>4939</v>
      </c>
      <c r="F1678" s="6" t="s">
        <v>4940</v>
      </c>
      <c r="G1678" s="6" t="s">
        <v>3389</v>
      </c>
      <c r="H1678" s="6" t="s">
        <v>3288</v>
      </c>
    </row>
    <row r="1679" spans="1:8" ht="12.75">
      <c r="A1679" s="18">
        <v>2023</v>
      </c>
      <c r="B1679" s="18">
        <v>25</v>
      </c>
      <c r="C1679" s="87" t="s">
        <v>3004</v>
      </c>
      <c r="D1679" s="48">
        <v>6619371</v>
      </c>
      <c r="E1679" s="19" t="s">
        <v>4679</v>
      </c>
      <c r="F1679" s="6" t="s">
        <v>4941</v>
      </c>
      <c r="G1679" s="6" t="s">
        <v>3389</v>
      </c>
      <c r="H1679" s="6" t="s">
        <v>3288</v>
      </c>
    </row>
    <row r="1680" spans="1:8" ht="12.75">
      <c r="A1680" s="18">
        <v>2023</v>
      </c>
      <c r="B1680" s="18">
        <v>25</v>
      </c>
      <c r="C1680" s="87" t="s">
        <v>3004</v>
      </c>
      <c r="D1680" s="48">
        <v>6619371</v>
      </c>
      <c r="E1680" s="19" t="s">
        <v>4942</v>
      </c>
      <c r="F1680" s="6" t="s">
        <v>4943</v>
      </c>
      <c r="G1680" s="6" t="s">
        <v>3389</v>
      </c>
      <c r="H1680" s="6" t="s">
        <v>3288</v>
      </c>
    </row>
    <row r="1681" spans="1:8" ht="12.75">
      <c r="A1681" s="18">
        <v>2023</v>
      </c>
      <c r="B1681" s="18">
        <v>26</v>
      </c>
      <c r="C1681" s="87" t="s">
        <v>47</v>
      </c>
      <c r="D1681" s="48">
        <v>45008</v>
      </c>
      <c r="E1681" s="19" t="s">
        <v>4944</v>
      </c>
      <c r="F1681" s="6" t="s">
        <v>4945</v>
      </c>
      <c r="G1681" s="6" t="s">
        <v>4502</v>
      </c>
      <c r="H1681" s="6" t="s">
        <v>3567</v>
      </c>
    </row>
    <row r="1682" spans="1:8" ht="12.75">
      <c r="A1682" s="18">
        <v>2023</v>
      </c>
      <c r="B1682" s="18">
        <v>26</v>
      </c>
      <c r="C1682" s="87" t="s">
        <v>47</v>
      </c>
      <c r="D1682" s="48">
        <v>45008</v>
      </c>
      <c r="E1682" s="19" t="s">
        <v>4946</v>
      </c>
      <c r="F1682" s="6" t="s">
        <v>4947</v>
      </c>
      <c r="G1682" s="6" t="s">
        <v>4502</v>
      </c>
      <c r="H1682" s="6" t="s">
        <v>3567</v>
      </c>
    </row>
    <row r="1683" spans="1:8" ht="12.75">
      <c r="A1683" s="18">
        <v>2023</v>
      </c>
      <c r="B1683" s="18">
        <v>28</v>
      </c>
      <c r="C1683" s="87" t="s">
        <v>51</v>
      </c>
      <c r="D1683" s="48">
        <v>45013</v>
      </c>
      <c r="E1683" s="19" t="s">
        <v>4948</v>
      </c>
      <c r="F1683" s="6" t="s">
        <v>3843</v>
      </c>
      <c r="G1683" s="6" t="s">
        <v>3313</v>
      </c>
      <c r="H1683" s="6" t="s">
        <v>3292</v>
      </c>
    </row>
    <row r="1684" spans="1:8" ht="12.75">
      <c r="A1684" s="18">
        <v>2023</v>
      </c>
      <c r="B1684" s="18">
        <v>29</v>
      </c>
      <c r="C1684" s="87" t="s">
        <v>47</v>
      </c>
      <c r="D1684" s="48">
        <v>45015</v>
      </c>
      <c r="E1684" s="19" t="s">
        <v>4949</v>
      </c>
      <c r="F1684" s="6" t="s">
        <v>4950</v>
      </c>
      <c r="G1684" s="6" t="s">
        <v>4502</v>
      </c>
      <c r="H1684" s="6" t="s">
        <v>3567</v>
      </c>
    </row>
    <row r="1685" spans="1:8" ht="12.75">
      <c r="A1685" s="18">
        <v>2023</v>
      </c>
      <c r="B1685" s="18">
        <v>29</v>
      </c>
      <c r="C1685" s="87" t="s">
        <v>47</v>
      </c>
      <c r="D1685" s="48">
        <v>45015</v>
      </c>
      <c r="E1685" s="19" t="s">
        <v>4951</v>
      </c>
      <c r="F1685" s="6" t="s">
        <v>4952</v>
      </c>
      <c r="G1685" s="6" t="s">
        <v>4502</v>
      </c>
      <c r="H1685" s="6" t="s">
        <v>3567</v>
      </c>
    </row>
    <row r="1686" spans="1:8" ht="12.75">
      <c r="A1686" s="18">
        <v>2023</v>
      </c>
      <c r="B1686" s="18">
        <v>31</v>
      </c>
      <c r="C1686" s="87" t="s">
        <v>43</v>
      </c>
      <c r="D1686" s="48">
        <v>45015</v>
      </c>
      <c r="E1686" s="19" t="s">
        <v>4325</v>
      </c>
      <c r="F1686" s="6" t="s">
        <v>4461</v>
      </c>
      <c r="G1686" s="6" t="s">
        <v>3720</v>
      </c>
      <c r="H1686" s="6" t="s">
        <v>3292</v>
      </c>
    </row>
    <row r="1687" spans="1:8" ht="12.75">
      <c r="A1687" s="18">
        <v>2023</v>
      </c>
      <c r="B1687" s="18">
        <v>31</v>
      </c>
      <c r="C1687" s="87" t="s">
        <v>43</v>
      </c>
      <c r="D1687" s="48">
        <v>45015</v>
      </c>
      <c r="E1687" s="19" t="s">
        <v>4953</v>
      </c>
      <c r="F1687" s="6" t="s">
        <v>4954</v>
      </c>
      <c r="G1687" s="6" t="s">
        <v>3409</v>
      </c>
      <c r="H1687" s="6" t="s">
        <v>3288</v>
      </c>
    </row>
    <row r="1688" spans="1:8" ht="12.75">
      <c r="A1688" s="18">
        <v>2023</v>
      </c>
      <c r="B1688" s="18">
        <v>31</v>
      </c>
      <c r="C1688" s="87" t="s">
        <v>43</v>
      </c>
      <c r="D1688" s="48">
        <v>45015</v>
      </c>
      <c r="E1688" s="19" t="s">
        <v>4955</v>
      </c>
      <c r="F1688" s="6" t="s">
        <v>4956</v>
      </c>
      <c r="G1688" s="6" t="s">
        <v>3409</v>
      </c>
      <c r="H1688" s="6" t="s">
        <v>3288</v>
      </c>
    </row>
    <row r="1689" spans="1:8" ht="12.75">
      <c r="A1689" s="18">
        <v>2023</v>
      </c>
      <c r="B1689" s="18">
        <v>31</v>
      </c>
      <c r="C1689" s="87" t="s">
        <v>43</v>
      </c>
      <c r="D1689" s="48">
        <v>45015</v>
      </c>
      <c r="E1689" s="19" t="s">
        <v>4957</v>
      </c>
      <c r="F1689" s="6" t="s">
        <v>4958</v>
      </c>
      <c r="G1689" s="6" t="s">
        <v>3720</v>
      </c>
      <c r="H1689" s="6" t="s">
        <v>3292</v>
      </c>
    </row>
    <row r="1690" spans="1:8" ht="12.75">
      <c r="A1690" s="18">
        <v>2023</v>
      </c>
      <c r="B1690" s="18">
        <v>31</v>
      </c>
      <c r="C1690" s="87" t="s">
        <v>43</v>
      </c>
      <c r="D1690" s="48">
        <v>45015</v>
      </c>
      <c r="E1690" s="19" t="s">
        <v>4959</v>
      </c>
      <c r="F1690" s="6" t="s">
        <v>4960</v>
      </c>
      <c r="G1690" s="6" t="s">
        <v>3720</v>
      </c>
      <c r="H1690" s="6" t="s">
        <v>3292</v>
      </c>
    </row>
    <row r="1691" spans="1:8" ht="12.75">
      <c r="A1691" s="18">
        <v>2023</v>
      </c>
      <c r="B1691" s="18">
        <v>34</v>
      </c>
      <c r="C1691" s="87" t="s">
        <v>47</v>
      </c>
      <c r="D1691" s="48">
        <v>45027</v>
      </c>
      <c r="E1691" s="19" t="s">
        <v>4961</v>
      </c>
      <c r="F1691" s="6" t="s">
        <v>4962</v>
      </c>
      <c r="G1691" s="6" t="s">
        <v>4502</v>
      </c>
      <c r="H1691" s="6" t="s">
        <v>3567</v>
      </c>
    </row>
    <row r="1692" spans="1:8" ht="12.75">
      <c r="A1692" s="18">
        <v>2023</v>
      </c>
      <c r="B1692" s="18">
        <v>36</v>
      </c>
      <c r="C1692" s="87" t="s">
        <v>3057</v>
      </c>
      <c r="D1692" s="48">
        <v>45029</v>
      </c>
      <c r="E1692" s="19" t="s">
        <v>4963</v>
      </c>
      <c r="F1692" s="6" t="s">
        <v>4964</v>
      </c>
      <c r="G1692" s="6" t="s">
        <v>1319</v>
      </c>
      <c r="H1692" s="6" t="s">
        <v>3288</v>
      </c>
    </row>
    <row r="1693" spans="1:8" ht="12.75">
      <c r="A1693" s="18">
        <v>2023</v>
      </c>
      <c r="B1693" s="18">
        <v>36</v>
      </c>
      <c r="C1693" s="87" t="s">
        <v>3057</v>
      </c>
      <c r="D1693" s="48">
        <v>45029</v>
      </c>
      <c r="E1693" s="19" t="s">
        <v>4965</v>
      </c>
      <c r="F1693" s="6" t="s">
        <v>4966</v>
      </c>
      <c r="G1693" s="6" t="s">
        <v>1319</v>
      </c>
      <c r="H1693" s="6" t="s">
        <v>3288</v>
      </c>
    </row>
    <row r="1694" spans="1:8" ht="12.75">
      <c r="A1694" s="18">
        <v>2023</v>
      </c>
      <c r="B1694" s="18">
        <v>36</v>
      </c>
      <c r="C1694" s="87" t="s">
        <v>3057</v>
      </c>
      <c r="D1694" s="48">
        <v>45029</v>
      </c>
      <c r="E1694" s="19" t="s">
        <v>4967</v>
      </c>
      <c r="F1694" s="6" t="s">
        <v>4968</v>
      </c>
      <c r="G1694" s="6" t="s">
        <v>1319</v>
      </c>
      <c r="H1694" s="6" t="s">
        <v>3288</v>
      </c>
    </row>
    <row r="1695" spans="1:8" ht="12.75">
      <c r="A1695" s="18">
        <v>2023</v>
      </c>
      <c r="B1695" s="18">
        <v>36</v>
      </c>
      <c r="C1695" s="87" t="s">
        <v>3057</v>
      </c>
      <c r="D1695" s="48">
        <v>45029</v>
      </c>
      <c r="E1695" s="19" t="s">
        <v>4969</v>
      </c>
      <c r="F1695" s="6" t="s">
        <v>4970</v>
      </c>
      <c r="G1695" s="6" t="s">
        <v>1319</v>
      </c>
      <c r="H1695" s="6" t="s">
        <v>3288</v>
      </c>
    </row>
    <row r="1696" spans="1:8" ht="12.75">
      <c r="A1696" s="18">
        <v>2023</v>
      </c>
      <c r="B1696" s="18">
        <v>36</v>
      </c>
      <c r="C1696" s="87" t="s">
        <v>3057</v>
      </c>
      <c r="D1696" s="48">
        <v>45029</v>
      </c>
      <c r="E1696" s="19" t="s">
        <v>4971</v>
      </c>
      <c r="F1696" s="6" t="s">
        <v>4972</v>
      </c>
      <c r="G1696" s="6" t="s">
        <v>4565</v>
      </c>
      <c r="H1696" s="6" t="s">
        <v>3288</v>
      </c>
    </row>
    <row r="1697" spans="1:8" ht="12.75">
      <c r="A1697" s="18">
        <v>2023</v>
      </c>
      <c r="B1697" s="18">
        <v>36</v>
      </c>
      <c r="C1697" s="87" t="s">
        <v>3057</v>
      </c>
      <c r="D1697" s="48">
        <v>45029</v>
      </c>
      <c r="E1697" s="19" t="s">
        <v>4973</v>
      </c>
      <c r="F1697" s="6" t="s">
        <v>4974</v>
      </c>
      <c r="G1697" s="6" t="s">
        <v>1319</v>
      </c>
      <c r="H1697" s="6" t="s">
        <v>3288</v>
      </c>
    </row>
    <row r="1698" spans="1:8" ht="12.75">
      <c r="A1698" s="18">
        <v>2023</v>
      </c>
      <c r="B1698" s="18">
        <v>36</v>
      </c>
      <c r="C1698" s="87" t="s">
        <v>3057</v>
      </c>
      <c r="D1698" s="48">
        <v>45029</v>
      </c>
      <c r="E1698" s="19" t="s">
        <v>4975</v>
      </c>
      <c r="F1698" s="6" t="s">
        <v>4976</v>
      </c>
      <c r="G1698" s="6" t="s">
        <v>1319</v>
      </c>
      <c r="H1698" s="6" t="s">
        <v>3288</v>
      </c>
    </row>
    <row r="1699" spans="1:8" ht="12.75">
      <c r="A1699" s="18">
        <v>2023</v>
      </c>
      <c r="B1699" s="18">
        <v>36</v>
      </c>
      <c r="C1699" s="87" t="s">
        <v>3057</v>
      </c>
      <c r="D1699" s="48">
        <v>45029</v>
      </c>
      <c r="E1699" s="19" t="s">
        <v>4977</v>
      </c>
      <c r="F1699" s="6" t="s">
        <v>4976</v>
      </c>
      <c r="G1699" s="6" t="s">
        <v>1319</v>
      </c>
      <c r="H1699" s="6" t="s">
        <v>3288</v>
      </c>
    </row>
    <row r="1700" spans="1:8" ht="12.75">
      <c r="A1700" s="18">
        <v>2023</v>
      </c>
      <c r="B1700" s="18">
        <v>36</v>
      </c>
      <c r="C1700" s="87" t="s">
        <v>3057</v>
      </c>
      <c r="D1700" s="48">
        <v>45029</v>
      </c>
      <c r="E1700" s="19" t="s">
        <v>4978</v>
      </c>
      <c r="F1700" s="6" t="s">
        <v>4979</v>
      </c>
      <c r="G1700" s="6" t="s">
        <v>1319</v>
      </c>
      <c r="H1700" s="6" t="s">
        <v>3288</v>
      </c>
    </row>
    <row r="1701" spans="1:8" ht="12.75">
      <c r="A1701" s="18">
        <v>2023</v>
      </c>
      <c r="B1701" s="18">
        <v>36</v>
      </c>
      <c r="C1701" s="87" t="s">
        <v>3057</v>
      </c>
      <c r="D1701" s="48">
        <v>45029</v>
      </c>
      <c r="E1701" s="19" t="s">
        <v>4980</v>
      </c>
      <c r="F1701" s="6" t="s">
        <v>4981</v>
      </c>
      <c r="G1701" s="6" t="s">
        <v>1319</v>
      </c>
      <c r="H1701" s="6" t="s">
        <v>3288</v>
      </c>
    </row>
    <row r="1702" spans="1:8" ht="12.75">
      <c r="A1702" s="18">
        <v>2023</v>
      </c>
      <c r="B1702" s="18">
        <v>36</v>
      </c>
      <c r="C1702" s="87" t="s">
        <v>3057</v>
      </c>
      <c r="D1702" s="48">
        <v>45029</v>
      </c>
      <c r="E1702" s="19" t="s">
        <v>4982</v>
      </c>
      <c r="F1702" s="6" t="s">
        <v>4983</v>
      </c>
      <c r="G1702" s="6" t="s">
        <v>1319</v>
      </c>
      <c r="H1702" s="6" t="s">
        <v>3288</v>
      </c>
    </row>
    <row r="1703" spans="1:8" ht="12.75">
      <c r="A1703" s="18">
        <v>2023</v>
      </c>
      <c r="B1703" s="18">
        <v>36</v>
      </c>
      <c r="C1703" s="87" t="s">
        <v>3057</v>
      </c>
      <c r="D1703" s="48">
        <v>45029</v>
      </c>
      <c r="E1703" s="19" t="s">
        <v>4984</v>
      </c>
      <c r="F1703" s="6" t="s">
        <v>4983</v>
      </c>
      <c r="G1703" s="6" t="s">
        <v>1319</v>
      </c>
      <c r="H1703" s="6" t="s">
        <v>3288</v>
      </c>
    </row>
    <row r="1704" spans="1:8" ht="12.75">
      <c r="A1704" s="18">
        <v>2023</v>
      </c>
      <c r="B1704" s="18">
        <v>36</v>
      </c>
      <c r="C1704" s="87" t="s">
        <v>3057</v>
      </c>
      <c r="D1704" s="48">
        <v>45029</v>
      </c>
      <c r="E1704" s="19" t="s">
        <v>4985</v>
      </c>
      <c r="F1704" s="6" t="s">
        <v>4983</v>
      </c>
      <c r="G1704" s="6" t="s">
        <v>1319</v>
      </c>
      <c r="H1704" s="6" t="s">
        <v>3288</v>
      </c>
    </row>
    <row r="1705" spans="1:8" ht="12.75">
      <c r="A1705" s="18">
        <v>2023</v>
      </c>
      <c r="B1705" s="18">
        <v>39</v>
      </c>
      <c r="C1705" s="87" t="s">
        <v>4986</v>
      </c>
      <c r="D1705" s="48">
        <v>45034</v>
      </c>
      <c r="E1705" s="19" t="s">
        <v>4987</v>
      </c>
      <c r="F1705" s="6" t="s">
        <v>4988</v>
      </c>
      <c r="G1705" s="6" t="s">
        <v>4502</v>
      </c>
      <c r="H1705" s="6" t="s">
        <v>3567</v>
      </c>
    </row>
    <row r="1706" spans="1:8" ht="12.75">
      <c r="A1706" s="18">
        <v>2023</v>
      </c>
      <c r="B1706" s="18">
        <v>39</v>
      </c>
      <c r="C1706" s="87" t="s">
        <v>4986</v>
      </c>
      <c r="D1706" s="48">
        <v>45034</v>
      </c>
      <c r="E1706" s="19" t="s">
        <v>4989</v>
      </c>
      <c r="F1706" s="6" t="s">
        <v>4990</v>
      </c>
      <c r="G1706" s="6" t="s">
        <v>1319</v>
      </c>
      <c r="H1706" s="6" t="s">
        <v>3288</v>
      </c>
    </row>
    <row r="1707" spans="1:8" ht="12.75">
      <c r="A1707" s="18">
        <v>2023</v>
      </c>
      <c r="B1707" s="18">
        <v>39</v>
      </c>
      <c r="C1707" s="87" t="s">
        <v>4986</v>
      </c>
      <c r="D1707" s="48">
        <v>45034</v>
      </c>
      <c r="E1707" s="19" t="s">
        <v>4288</v>
      </c>
      <c r="F1707" s="6" t="s">
        <v>4991</v>
      </c>
      <c r="G1707" s="6" t="s">
        <v>3325</v>
      </c>
      <c r="H1707" s="6" t="s">
        <v>3292</v>
      </c>
    </row>
    <row r="1708" spans="1:8" ht="12.75">
      <c r="A1708" s="18">
        <v>2023</v>
      </c>
      <c r="B1708" s="18">
        <v>39</v>
      </c>
      <c r="C1708" s="87" t="s">
        <v>4986</v>
      </c>
      <c r="D1708" s="48">
        <v>45034</v>
      </c>
      <c r="E1708" s="19" t="s">
        <v>4992</v>
      </c>
      <c r="F1708" s="6" t="s">
        <v>4993</v>
      </c>
      <c r="G1708" s="6" t="s">
        <v>1319</v>
      </c>
      <c r="H1708" s="6" t="s">
        <v>3288</v>
      </c>
    </row>
    <row r="1709" spans="1:8" ht="12.75">
      <c r="A1709" s="18">
        <v>2023</v>
      </c>
      <c r="B1709" s="18">
        <v>39</v>
      </c>
      <c r="C1709" s="87" t="s">
        <v>4986</v>
      </c>
      <c r="D1709" s="48">
        <v>45034</v>
      </c>
      <c r="E1709" s="19" t="s">
        <v>4994</v>
      </c>
      <c r="F1709" s="6" t="s">
        <v>4995</v>
      </c>
      <c r="G1709" s="6" t="s">
        <v>3325</v>
      </c>
      <c r="H1709" s="6" t="s">
        <v>3292</v>
      </c>
    </row>
    <row r="1710" spans="1:8" ht="12.75">
      <c r="A1710" s="18">
        <v>2023</v>
      </c>
      <c r="B1710" s="18">
        <v>39</v>
      </c>
      <c r="C1710" s="87" t="s">
        <v>4986</v>
      </c>
      <c r="D1710" s="48">
        <v>45034</v>
      </c>
      <c r="E1710" s="19" t="s">
        <v>4996</v>
      </c>
      <c r="F1710" s="6" t="s">
        <v>4997</v>
      </c>
      <c r="G1710" s="6" t="s">
        <v>3325</v>
      </c>
      <c r="H1710" s="6" t="s">
        <v>3292</v>
      </c>
    </row>
    <row r="1711" spans="1:8" ht="12.75">
      <c r="A1711" s="18">
        <v>2023</v>
      </c>
      <c r="B1711" s="18">
        <v>42</v>
      </c>
      <c r="C1711" s="87" t="s">
        <v>190</v>
      </c>
      <c r="D1711" s="48">
        <v>45041</v>
      </c>
      <c r="E1711" s="19" t="s">
        <v>3481</v>
      </c>
      <c r="F1711" s="6" t="s">
        <v>4998</v>
      </c>
      <c r="G1711" s="6" t="s">
        <v>4999</v>
      </c>
      <c r="H1711" s="6" t="s">
        <v>23</v>
      </c>
    </row>
    <row r="1712" spans="1:8" ht="12.75">
      <c r="A1712" s="18">
        <v>2023</v>
      </c>
      <c r="B1712" s="18">
        <v>42</v>
      </c>
      <c r="C1712" s="87" t="s">
        <v>190</v>
      </c>
      <c r="D1712" s="48">
        <v>45041</v>
      </c>
      <c r="E1712" s="19" t="s">
        <v>5000</v>
      </c>
      <c r="F1712" s="6" t="s">
        <v>5001</v>
      </c>
      <c r="G1712" s="6" t="s">
        <v>4999</v>
      </c>
      <c r="H1712" s="6" t="s">
        <v>23</v>
      </c>
    </row>
    <row r="1713" spans="1:8" ht="12.75">
      <c r="A1713" s="18">
        <v>2023</v>
      </c>
      <c r="B1713" s="18">
        <v>42</v>
      </c>
      <c r="C1713" s="87" t="s">
        <v>190</v>
      </c>
      <c r="D1713" s="48">
        <v>45041</v>
      </c>
      <c r="E1713" s="19" t="s">
        <v>5002</v>
      </c>
      <c r="F1713" s="6" t="s">
        <v>5003</v>
      </c>
      <c r="G1713" s="6" t="s">
        <v>4999</v>
      </c>
      <c r="H1713" s="6" t="s">
        <v>23</v>
      </c>
    </row>
    <row r="1714" spans="1:8" ht="12.75">
      <c r="A1714" s="18">
        <v>2023</v>
      </c>
      <c r="B1714" s="18">
        <v>42</v>
      </c>
      <c r="C1714" s="87" t="s">
        <v>190</v>
      </c>
      <c r="D1714" s="48">
        <v>45041</v>
      </c>
      <c r="E1714" s="19" t="s">
        <v>5004</v>
      </c>
      <c r="F1714" s="6" t="s">
        <v>5005</v>
      </c>
      <c r="G1714" s="6" t="s">
        <v>4999</v>
      </c>
      <c r="H1714" s="6" t="s">
        <v>23</v>
      </c>
    </row>
    <row r="1715" spans="1:8" ht="12.75">
      <c r="A1715" s="18">
        <v>2023</v>
      </c>
      <c r="B1715" s="18">
        <v>42</v>
      </c>
      <c r="C1715" s="87" t="s">
        <v>190</v>
      </c>
      <c r="D1715" s="48">
        <v>45041</v>
      </c>
      <c r="E1715" s="19" t="s">
        <v>5006</v>
      </c>
      <c r="F1715" s="6" t="s">
        <v>5007</v>
      </c>
      <c r="G1715" s="6" t="s">
        <v>4999</v>
      </c>
      <c r="H1715" s="6" t="s">
        <v>23</v>
      </c>
    </row>
    <row r="1716" spans="1:8" ht="12.75">
      <c r="A1716" s="18">
        <v>2023</v>
      </c>
      <c r="B1716" s="18">
        <v>42</v>
      </c>
      <c r="C1716" s="87" t="s">
        <v>190</v>
      </c>
      <c r="D1716" s="48">
        <v>45041</v>
      </c>
      <c r="E1716" s="19" t="s">
        <v>5008</v>
      </c>
      <c r="F1716" s="6" t="s">
        <v>5009</v>
      </c>
      <c r="G1716" s="6" t="s">
        <v>4999</v>
      </c>
      <c r="H1716" s="6" t="s">
        <v>23</v>
      </c>
    </row>
    <row r="1717" spans="1:8" ht="12.75">
      <c r="A1717" s="18">
        <v>2023</v>
      </c>
      <c r="B1717" s="18">
        <v>42</v>
      </c>
      <c r="C1717" s="87" t="s">
        <v>190</v>
      </c>
      <c r="D1717" s="48">
        <v>45041</v>
      </c>
      <c r="E1717" s="19" t="s">
        <v>5010</v>
      </c>
      <c r="F1717" s="6" t="s">
        <v>5011</v>
      </c>
      <c r="G1717" s="6" t="s">
        <v>4999</v>
      </c>
      <c r="H1717" s="6" t="s">
        <v>23</v>
      </c>
    </row>
    <row r="1718" spans="1:8" ht="12.75">
      <c r="A1718" s="18">
        <v>2023</v>
      </c>
      <c r="B1718" s="18">
        <v>42</v>
      </c>
      <c r="C1718" s="87" t="s">
        <v>190</v>
      </c>
      <c r="D1718" s="48">
        <v>45041</v>
      </c>
      <c r="E1718" s="19" t="s">
        <v>5012</v>
      </c>
      <c r="F1718" s="6" t="s">
        <v>5013</v>
      </c>
      <c r="G1718" s="6" t="s">
        <v>4999</v>
      </c>
      <c r="H1718" s="6" t="s">
        <v>23</v>
      </c>
    </row>
    <row r="1719" spans="1:8" ht="12.75">
      <c r="A1719" s="18">
        <v>2023</v>
      </c>
      <c r="B1719" s="18">
        <v>43</v>
      </c>
      <c r="C1719" s="87" t="s">
        <v>3085</v>
      </c>
      <c r="D1719" s="48">
        <v>45041</v>
      </c>
      <c r="E1719" s="19" t="s">
        <v>5014</v>
      </c>
      <c r="F1719" s="6" t="s">
        <v>5015</v>
      </c>
      <c r="G1719" s="6" t="s">
        <v>5016</v>
      </c>
      <c r="H1719" s="6" t="s">
        <v>3292</v>
      </c>
    </row>
    <row r="1720" spans="1:8" ht="12.75">
      <c r="A1720" s="18">
        <v>2023</v>
      </c>
      <c r="B1720" s="18">
        <v>43</v>
      </c>
      <c r="C1720" s="87" t="s">
        <v>3085</v>
      </c>
      <c r="D1720" s="48">
        <v>45041</v>
      </c>
      <c r="E1720" s="19" t="s">
        <v>5017</v>
      </c>
      <c r="F1720" s="6" t="s">
        <v>5018</v>
      </c>
      <c r="G1720" s="6" t="s">
        <v>5019</v>
      </c>
      <c r="H1720" s="6" t="s">
        <v>3292</v>
      </c>
    </row>
    <row r="1721" spans="1:8" ht="12.75">
      <c r="A1721" s="18">
        <v>2023</v>
      </c>
      <c r="B1721" s="18">
        <v>45</v>
      </c>
      <c r="C1721" s="87" t="s">
        <v>1591</v>
      </c>
      <c r="D1721" s="48">
        <v>45043</v>
      </c>
      <c r="E1721" s="19" t="s">
        <v>5020</v>
      </c>
      <c r="F1721" s="6" t="s">
        <v>4820</v>
      </c>
      <c r="G1721" s="6" t="s">
        <v>3291</v>
      </c>
      <c r="H1721" s="6" t="s">
        <v>3292</v>
      </c>
    </row>
    <row r="1722" spans="1:8" ht="12.75">
      <c r="A1722" s="18">
        <v>2023</v>
      </c>
      <c r="B1722" s="18">
        <v>45</v>
      </c>
      <c r="C1722" s="87" t="s">
        <v>1591</v>
      </c>
      <c r="D1722" s="48">
        <v>45043</v>
      </c>
      <c r="E1722" s="19" t="s">
        <v>5021</v>
      </c>
      <c r="F1722" s="6" t="s">
        <v>4835</v>
      </c>
      <c r="G1722" s="6" t="s">
        <v>3291</v>
      </c>
      <c r="H1722" s="6" t="s">
        <v>3292</v>
      </c>
    </row>
    <row r="1723" spans="1:8" ht="12.75">
      <c r="A1723" s="18">
        <v>2023</v>
      </c>
      <c r="B1723" s="18">
        <v>45</v>
      </c>
      <c r="C1723" s="87" t="s">
        <v>1591</v>
      </c>
      <c r="D1723" s="48">
        <v>45043</v>
      </c>
      <c r="E1723" s="19" t="s">
        <v>5022</v>
      </c>
      <c r="F1723" s="6" t="s">
        <v>5023</v>
      </c>
      <c r="G1723" s="6" t="s">
        <v>3291</v>
      </c>
      <c r="H1723" s="6" t="s">
        <v>3292</v>
      </c>
    </row>
    <row r="1724" spans="1:8" ht="12.75">
      <c r="A1724" s="18">
        <v>2023</v>
      </c>
      <c r="B1724" s="18">
        <v>45</v>
      </c>
      <c r="C1724" s="87" t="s">
        <v>1591</v>
      </c>
      <c r="D1724" s="48">
        <v>45043</v>
      </c>
      <c r="E1724" s="19" t="s">
        <v>5024</v>
      </c>
      <c r="F1724" s="6" t="s">
        <v>5025</v>
      </c>
      <c r="G1724" s="6" t="s">
        <v>3291</v>
      </c>
      <c r="H1724" s="6" t="s">
        <v>3292</v>
      </c>
    </row>
    <row r="1725" spans="1:8" ht="12.75">
      <c r="A1725" s="18">
        <v>2023</v>
      </c>
      <c r="B1725" s="18">
        <v>45</v>
      </c>
      <c r="C1725" s="87" t="s">
        <v>1591</v>
      </c>
      <c r="D1725" s="48">
        <v>45043</v>
      </c>
      <c r="E1725" s="19" t="s">
        <v>5026</v>
      </c>
      <c r="F1725" s="6" t="s">
        <v>4426</v>
      </c>
      <c r="G1725" s="6" t="s">
        <v>3291</v>
      </c>
      <c r="H1725" s="6" t="s">
        <v>3292</v>
      </c>
    </row>
    <row r="1726" spans="1:8" ht="12.75">
      <c r="A1726" s="18">
        <v>2023</v>
      </c>
      <c r="B1726" s="18">
        <v>45</v>
      </c>
      <c r="C1726" s="87" t="s">
        <v>1591</v>
      </c>
      <c r="D1726" s="48">
        <v>45043</v>
      </c>
      <c r="E1726" s="19" t="s">
        <v>5027</v>
      </c>
      <c r="F1726" s="6" t="s">
        <v>5028</v>
      </c>
      <c r="G1726" s="6" t="s">
        <v>3291</v>
      </c>
      <c r="H1726" s="6" t="s">
        <v>3292</v>
      </c>
    </row>
    <row r="1727" spans="1:8" ht="12.75">
      <c r="A1727" s="18">
        <v>2023</v>
      </c>
      <c r="B1727" s="18">
        <v>45</v>
      </c>
      <c r="C1727" s="87" t="s">
        <v>1591</v>
      </c>
      <c r="D1727" s="48">
        <v>45043</v>
      </c>
      <c r="E1727" s="19" t="s">
        <v>5029</v>
      </c>
      <c r="F1727" s="6" t="s">
        <v>5030</v>
      </c>
      <c r="G1727" s="6" t="s">
        <v>3291</v>
      </c>
      <c r="H1727" s="6" t="s">
        <v>3292</v>
      </c>
    </row>
    <row r="1728" spans="1:8" ht="12.75">
      <c r="A1728" s="18">
        <v>2023</v>
      </c>
      <c r="B1728" s="18">
        <v>45</v>
      </c>
      <c r="C1728" s="87" t="s">
        <v>1591</v>
      </c>
      <c r="D1728" s="48">
        <v>45043</v>
      </c>
      <c r="E1728" s="19" t="s">
        <v>5031</v>
      </c>
      <c r="F1728" s="6" t="s">
        <v>5032</v>
      </c>
      <c r="G1728" s="6" t="s">
        <v>3291</v>
      </c>
      <c r="H1728" s="6" t="s">
        <v>3292</v>
      </c>
    </row>
    <row r="1729" spans="1:8" ht="12.75">
      <c r="A1729" s="18">
        <v>2023</v>
      </c>
      <c r="B1729" s="18">
        <v>45</v>
      </c>
      <c r="C1729" s="87" t="s">
        <v>1591</v>
      </c>
      <c r="D1729" s="48">
        <v>45043</v>
      </c>
      <c r="E1729" s="19" t="s">
        <v>5033</v>
      </c>
      <c r="F1729" s="6" t="s">
        <v>5034</v>
      </c>
      <c r="G1729" s="6" t="s">
        <v>3291</v>
      </c>
      <c r="H1729" s="6" t="s">
        <v>3292</v>
      </c>
    </row>
    <row r="1730" spans="1:8" ht="12.75">
      <c r="A1730" s="18">
        <v>2023</v>
      </c>
      <c r="B1730" s="18">
        <v>46</v>
      </c>
      <c r="C1730" s="87" t="s">
        <v>47</v>
      </c>
      <c r="D1730" s="48">
        <v>45048</v>
      </c>
      <c r="E1730" s="19" t="s">
        <v>5035</v>
      </c>
      <c r="F1730" s="6" t="s">
        <v>5036</v>
      </c>
      <c r="G1730" s="6" t="s">
        <v>4502</v>
      </c>
      <c r="H1730" s="6" t="s">
        <v>3567</v>
      </c>
    </row>
    <row r="1731" spans="1:8" ht="12.75">
      <c r="A1731" s="18">
        <v>2023</v>
      </c>
      <c r="B1731" s="18">
        <v>47</v>
      </c>
      <c r="C1731" s="87" t="s">
        <v>3100</v>
      </c>
      <c r="D1731" s="48">
        <v>45050</v>
      </c>
      <c r="E1731" s="19" t="s">
        <v>5037</v>
      </c>
      <c r="F1731" s="6" t="s">
        <v>5038</v>
      </c>
      <c r="G1731" s="6" t="s">
        <v>3389</v>
      </c>
      <c r="H1731" s="6" t="s">
        <v>3288</v>
      </c>
    </row>
    <row r="1732" spans="1:8" ht="12.75">
      <c r="A1732" s="18">
        <v>2023</v>
      </c>
      <c r="B1732" s="18">
        <v>47</v>
      </c>
      <c r="C1732" s="87" t="s">
        <v>3100</v>
      </c>
      <c r="D1732" s="48">
        <v>45050</v>
      </c>
      <c r="E1732" s="19" t="s">
        <v>5039</v>
      </c>
      <c r="F1732" s="6" t="s">
        <v>5040</v>
      </c>
      <c r="G1732" s="6" t="s">
        <v>3389</v>
      </c>
      <c r="H1732" s="6" t="s">
        <v>3288</v>
      </c>
    </row>
    <row r="1733" spans="1:8" ht="12.75">
      <c r="A1733" s="18">
        <v>2023</v>
      </c>
      <c r="B1733" s="18">
        <v>47</v>
      </c>
      <c r="C1733" s="87" t="s">
        <v>3100</v>
      </c>
      <c r="D1733" s="48">
        <v>45050</v>
      </c>
      <c r="E1733" s="19" t="s">
        <v>5041</v>
      </c>
      <c r="F1733" s="6" t="s">
        <v>5042</v>
      </c>
      <c r="G1733" s="6" t="s">
        <v>1319</v>
      </c>
      <c r="H1733" s="6" t="s">
        <v>3288</v>
      </c>
    </row>
    <row r="1734" spans="1:8" ht="12.75">
      <c r="A1734" s="18">
        <v>2023</v>
      </c>
      <c r="B1734" s="18">
        <v>48</v>
      </c>
      <c r="C1734" s="87" t="s">
        <v>51</v>
      </c>
      <c r="D1734" s="48">
        <v>45050</v>
      </c>
      <c r="E1734" s="19" t="s">
        <v>3844</v>
      </c>
      <c r="F1734" s="6" t="s">
        <v>3845</v>
      </c>
      <c r="G1734" s="6" t="s">
        <v>3313</v>
      </c>
      <c r="H1734" s="6" t="s">
        <v>3292</v>
      </c>
    </row>
    <row r="1735" spans="1:8" ht="12.75">
      <c r="A1735" s="18">
        <v>2023</v>
      </c>
      <c r="B1735" s="18">
        <v>48</v>
      </c>
      <c r="C1735" s="87" t="s">
        <v>51</v>
      </c>
      <c r="D1735" s="48">
        <v>45050</v>
      </c>
      <c r="E1735" s="19" t="s">
        <v>3846</v>
      </c>
      <c r="F1735" s="6" t="s">
        <v>3355</v>
      </c>
      <c r="G1735" s="6" t="s">
        <v>3313</v>
      </c>
      <c r="H1735" s="6" t="s">
        <v>3292</v>
      </c>
    </row>
    <row r="1736" spans="1:8" ht="12.75">
      <c r="A1736" s="18">
        <v>2023</v>
      </c>
      <c r="B1736" s="18">
        <v>48</v>
      </c>
      <c r="C1736" s="87" t="s">
        <v>51</v>
      </c>
      <c r="D1736" s="48">
        <v>45050</v>
      </c>
      <c r="E1736" s="19" t="s">
        <v>4824</v>
      </c>
      <c r="F1736" s="6" t="s">
        <v>3957</v>
      </c>
      <c r="G1736" s="6" t="s">
        <v>3313</v>
      </c>
      <c r="H1736" s="6" t="s">
        <v>3292</v>
      </c>
    </row>
    <row r="1737" spans="1:8" ht="12.75">
      <c r="A1737" s="18">
        <v>2023</v>
      </c>
      <c r="B1737" s="18">
        <v>49</v>
      </c>
      <c r="C1737" s="87" t="s">
        <v>3100</v>
      </c>
      <c r="D1737" s="48">
        <v>45055</v>
      </c>
      <c r="E1737" s="19" t="s">
        <v>5043</v>
      </c>
      <c r="F1737" s="6" t="s">
        <v>5044</v>
      </c>
      <c r="G1737" s="6" t="s">
        <v>23</v>
      </c>
      <c r="H1737" s="6" t="s">
        <v>23</v>
      </c>
    </row>
    <row r="1738" spans="1:8" ht="12.75">
      <c r="A1738" s="18">
        <v>2023</v>
      </c>
      <c r="B1738" s="18">
        <v>49</v>
      </c>
      <c r="C1738" s="87" t="s">
        <v>3100</v>
      </c>
      <c r="D1738" s="48">
        <v>45055</v>
      </c>
      <c r="E1738" s="19" t="s">
        <v>5045</v>
      </c>
      <c r="F1738" s="6" t="s">
        <v>5044</v>
      </c>
      <c r="G1738" s="6" t="s">
        <v>23</v>
      </c>
      <c r="H1738" s="6" t="s">
        <v>23</v>
      </c>
    </row>
    <row r="1739" spans="1:8" ht="12.75">
      <c r="A1739" s="18">
        <v>2023</v>
      </c>
      <c r="B1739" s="18">
        <v>49</v>
      </c>
      <c r="C1739" s="87" t="s">
        <v>3100</v>
      </c>
      <c r="D1739" s="48">
        <v>45055</v>
      </c>
      <c r="E1739" s="19" t="s">
        <v>5046</v>
      </c>
      <c r="F1739" s="6" t="s">
        <v>5044</v>
      </c>
      <c r="G1739" s="6" t="s">
        <v>23</v>
      </c>
      <c r="H1739" s="6" t="s">
        <v>23</v>
      </c>
    </row>
    <row r="1740" spans="1:8" ht="12.75">
      <c r="A1740" s="18">
        <v>2023</v>
      </c>
      <c r="B1740" s="18">
        <v>49</v>
      </c>
      <c r="C1740" s="87" t="s">
        <v>3100</v>
      </c>
      <c r="D1740" s="48">
        <v>45055</v>
      </c>
      <c r="E1740" s="19" t="s">
        <v>5047</v>
      </c>
      <c r="F1740" s="6" t="s">
        <v>5044</v>
      </c>
      <c r="G1740" s="6" t="s">
        <v>23</v>
      </c>
      <c r="H1740" s="6" t="s">
        <v>23</v>
      </c>
    </row>
    <row r="1741" spans="1:8" ht="12.75">
      <c r="A1741" s="18">
        <v>2023</v>
      </c>
      <c r="B1741" s="18">
        <v>49</v>
      </c>
      <c r="C1741" s="87" t="s">
        <v>3100</v>
      </c>
      <c r="D1741" s="48">
        <v>45055</v>
      </c>
      <c r="E1741" s="19" t="s">
        <v>5048</v>
      </c>
      <c r="F1741" s="6" t="s">
        <v>5049</v>
      </c>
      <c r="G1741" s="6" t="s">
        <v>3389</v>
      </c>
      <c r="H1741" s="6" t="s">
        <v>3288</v>
      </c>
    </row>
    <row r="1742" spans="1:8" ht="12.75">
      <c r="A1742" s="18">
        <v>2023</v>
      </c>
      <c r="B1742" s="18">
        <v>49</v>
      </c>
      <c r="C1742" s="87" t="s">
        <v>3100</v>
      </c>
      <c r="D1742" s="48">
        <v>45055</v>
      </c>
      <c r="E1742" s="19" t="s">
        <v>5050</v>
      </c>
      <c r="F1742" s="6" t="s">
        <v>5051</v>
      </c>
      <c r="G1742" s="6" t="s">
        <v>3389</v>
      </c>
      <c r="H1742" s="6" t="s">
        <v>3288</v>
      </c>
    </row>
    <row r="1743" spans="1:8" ht="12.75">
      <c r="A1743" s="18">
        <v>2023</v>
      </c>
      <c r="B1743" s="18">
        <v>49</v>
      </c>
      <c r="C1743" s="87" t="s">
        <v>3100</v>
      </c>
      <c r="D1743" s="48">
        <v>45055</v>
      </c>
      <c r="E1743" s="19" t="s">
        <v>5052</v>
      </c>
      <c r="F1743" s="6" t="s">
        <v>5053</v>
      </c>
      <c r="G1743" s="6" t="s">
        <v>3389</v>
      </c>
      <c r="H1743" s="6" t="s">
        <v>3288</v>
      </c>
    </row>
    <row r="1744" spans="1:8" ht="12.75">
      <c r="A1744" s="18">
        <v>2023</v>
      </c>
      <c r="B1744" s="18">
        <v>49</v>
      </c>
      <c r="C1744" s="87" t="s">
        <v>3100</v>
      </c>
      <c r="D1744" s="48">
        <v>45055</v>
      </c>
      <c r="E1744" s="19" t="s">
        <v>5054</v>
      </c>
      <c r="F1744" s="6" t="s">
        <v>5055</v>
      </c>
      <c r="G1744" s="6" t="s">
        <v>3389</v>
      </c>
      <c r="H1744" s="6" t="s">
        <v>3288</v>
      </c>
    </row>
    <row r="1745" spans="1:8" ht="12.75">
      <c r="A1745" s="18">
        <v>2023</v>
      </c>
      <c r="B1745" s="18">
        <v>49</v>
      </c>
      <c r="C1745" s="87" t="s">
        <v>3100</v>
      </c>
      <c r="D1745" s="48">
        <v>45055</v>
      </c>
      <c r="E1745" s="19" t="s">
        <v>5056</v>
      </c>
      <c r="F1745" s="6" t="s">
        <v>5055</v>
      </c>
      <c r="G1745" s="6" t="s">
        <v>3389</v>
      </c>
      <c r="H1745" s="6" t="s">
        <v>3288</v>
      </c>
    </row>
    <row r="1746" spans="1:8" ht="12.75">
      <c r="A1746" s="18">
        <v>2023</v>
      </c>
      <c r="B1746" s="18">
        <v>49</v>
      </c>
      <c r="C1746" s="87" t="s">
        <v>3100</v>
      </c>
      <c r="D1746" s="48">
        <v>45055</v>
      </c>
      <c r="E1746" s="19" t="s">
        <v>5057</v>
      </c>
      <c r="F1746" s="6" t="s">
        <v>5058</v>
      </c>
      <c r="G1746" s="6" t="s">
        <v>3389</v>
      </c>
      <c r="H1746" s="6" t="s">
        <v>3288</v>
      </c>
    </row>
    <row r="1747" spans="1:8" ht="12.75">
      <c r="A1747" s="18">
        <v>2023</v>
      </c>
      <c r="B1747" s="18">
        <v>49</v>
      </c>
      <c r="C1747" s="87" t="s">
        <v>3100</v>
      </c>
      <c r="D1747" s="48">
        <v>45055</v>
      </c>
      <c r="E1747" s="19" t="s">
        <v>5059</v>
      </c>
      <c r="F1747" s="6" t="s">
        <v>5055</v>
      </c>
      <c r="G1747" s="6" t="s">
        <v>3389</v>
      </c>
      <c r="H1747" s="6" t="s">
        <v>3288</v>
      </c>
    </row>
    <row r="1748" spans="1:8" ht="12.75">
      <c r="A1748" s="18">
        <v>2023</v>
      </c>
      <c r="B1748" s="18">
        <v>49</v>
      </c>
      <c r="C1748" s="87" t="s">
        <v>3100</v>
      </c>
      <c r="D1748" s="48">
        <v>45055</v>
      </c>
      <c r="E1748" s="19" t="s">
        <v>5060</v>
      </c>
      <c r="F1748" s="6" t="s">
        <v>5055</v>
      </c>
      <c r="G1748" s="6" t="s">
        <v>3389</v>
      </c>
      <c r="H1748" s="6" t="s">
        <v>3288</v>
      </c>
    </row>
    <row r="1749" spans="1:8" ht="12.75">
      <c r="A1749" s="18">
        <v>2023</v>
      </c>
      <c r="B1749" s="18">
        <v>50</v>
      </c>
      <c r="C1749" s="87" t="s">
        <v>1039</v>
      </c>
      <c r="D1749" s="48">
        <v>45055</v>
      </c>
      <c r="E1749" s="19" t="s">
        <v>5061</v>
      </c>
      <c r="F1749" s="6" t="s">
        <v>5062</v>
      </c>
      <c r="G1749" s="6" t="s">
        <v>3432</v>
      </c>
      <c r="H1749" s="6" t="s">
        <v>3292</v>
      </c>
    </row>
    <row r="1750" spans="1:8" ht="12.75">
      <c r="A1750" s="18">
        <v>2023</v>
      </c>
      <c r="B1750" s="18">
        <v>51</v>
      </c>
      <c r="C1750" s="87" t="s">
        <v>47</v>
      </c>
      <c r="D1750" s="48">
        <v>45055</v>
      </c>
      <c r="E1750" s="19" t="s">
        <v>5063</v>
      </c>
      <c r="F1750" s="6" t="s">
        <v>5064</v>
      </c>
      <c r="G1750" s="6" t="s">
        <v>4502</v>
      </c>
      <c r="H1750" s="6" t="s">
        <v>3567</v>
      </c>
    </row>
    <row r="1751" spans="1:8" ht="12.75">
      <c r="A1751" s="18">
        <v>2023</v>
      </c>
      <c r="B1751" s="18">
        <v>51</v>
      </c>
      <c r="C1751" s="87" t="s">
        <v>47</v>
      </c>
      <c r="D1751" s="48">
        <v>45055</v>
      </c>
      <c r="E1751" s="19" t="s">
        <v>5065</v>
      </c>
      <c r="F1751" s="6" t="s">
        <v>5066</v>
      </c>
      <c r="G1751" s="6" t="s">
        <v>4502</v>
      </c>
      <c r="H1751" s="6" t="s">
        <v>3567</v>
      </c>
    </row>
    <row r="1752" spans="1:8" ht="12.75">
      <c r="A1752" s="18">
        <v>2023</v>
      </c>
      <c r="B1752" s="18">
        <v>51</v>
      </c>
      <c r="C1752" s="87" t="s">
        <v>47</v>
      </c>
      <c r="D1752" s="48">
        <v>45055</v>
      </c>
      <c r="E1752" s="19" t="s">
        <v>5067</v>
      </c>
      <c r="F1752" s="6" t="s">
        <v>5068</v>
      </c>
      <c r="G1752" s="6" t="s">
        <v>4502</v>
      </c>
      <c r="H1752" s="6" t="s">
        <v>3567</v>
      </c>
    </row>
    <row r="1753" spans="1:8" ht="12.75">
      <c r="A1753" s="18">
        <v>2023</v>
      </c>
      <c r="B1753" s="18">
        <v>52</v>
      </c>
      <c r="C1753" s="87" t="s">
        <v>3100</v>
      </c>
      <c r="D1753" s="48">
        <v>45057</v>
      </c>
      <c r="E1753" s="19" t="s">
        <v>5069</v>
      </c>
      <c r="F1753" s="6" t="s">
        <v>5070</v>
      </c>
      <c r="G1753" s="6" t="s">
        <v>4565</v>
      </c>
      <c r="H1753" s="6" t="s">
        <v>3288</v>
      </c>
    </row>
    <row r="1754" spans="1:8" ht="12.75">
      <c r="A1754" s="18">
        <v>2023</v>
      </c>
      <c r="B1754" s="18">
        <v>52</v>
      </c>
      <c r="C1754" s="87" t="s">
        <v>3100</v>
      </c>
      <c r="D1754" s="48">
        <v>45057</v>
      </c>
      <c r="E1754" s="19" t="s">
        <v>5071</v>
      </c>
      <c r="F1754" s="6" t="s">
        <v>5072</v>
      </c>
      <c r="G1754" s="6" t="s">
        <v>3439</v>
      </c>
      <c r="H1754" s="6" t="s">
        <v>3288</v>
      </c>
    </row>
    <row r="1755" spans="1:8" ht="12.75">
      <c r="A1755" s="18">
        <v>2023</v>
      </c>
      <c r="B1755" s="18">
        <v>52</v>
      </c>
      <c r="C1755" s="87" t="s">
        <v>3100</v>
      </c>
      <c r="D1755" s="48">
        <v>45057</v>
      </c>
      <c r="E1755" s="19" t="s">
        <v>5073</v>
      </c>
      <c r="F1755" s="6" t="s">
        <v>5074</v>
      </c>
      <c r="G1755" s="6" t="s">
        <v>3439</v>
      </c>
      <c r="H1755" s="6" t="s">
        <v>3288</v>
      </c>
    </row>
    <row r="1756" spans="1:8" ht="12.75">
      <c r="A1756" s="18">
        <v>2023</v>
      </c>
      <c r="B1756" s="18">
        <v>53</v>
      </c>
      <c r="C1756" s="87" t="s">
        <v>73</v>
      </c>
      <c r="D1756" s="48">
        <v>45057</v>
      </c>
      <c r="E1756" s="19" t="s">
        <v>3321</v>
      </c>
      <c r="F1756" s="6" t="s">
        <v>5075</v>
      </c>
      <c r="G1756" s="6" t="s">
        <v>3876</v>
      </c>
      <c r="H1756" s="6" t="s">
        <v>3292</v>
      </c>
    </row>
    <row r="1757" spans="1:8" ht="12.75">
      <c r="A1757" s="18">
        <v>2023</v>
      </c>
      <c r="B1757" s="18">
        <v>54</v>
      </c>
      <c r="C1757" s="87" t="s">
        <v>3100</v>
      </c>
      <c r="D1757" s="48">
        <v>45062</v>
      </c>
      <c r="E1757" s="19" t="s">
        <v>4173</v>
      </c>
      <c r="F1757" s="6" t="s">
        <v>5076</v>
      </c>
      <c r="G1757" s="6" t="s">
        <v>4565</v>
      </c>
      <c r="H1757" s="6" t="s">
        <v>3288</v>
      </c>
    </row>
    <row r="1758" spans="1:8" ht="12.75">
      <c r="A1758" s="18">
        <v>2023</v>
      </c>
      <c r="B1758" s="18">
        <v>54</v>
      </c>
      <c r="C1758" s="87" t="s">
        <v>3100</v>
      </c>
      <c r="D1758" s="48">
        <v>45062</v>
      </c>
      <c r="E1758" s="19" t="s">
        <v>3865</v>
      </c>
      <c r="F1758" s="6" t="s">
        <v>5077</v>
      </c>
      <c r="G1758" s="6" t="s">
        <v>3439</v>
      </c>
      <c r="H1758" s="6" t="s">
        <v>3288</v>
      </c>
    </row>
    <row r="1759" spans="1:8" ht="12.75">
      <c r="A1759" s="18">
        <v>2023</v>
      </c>
      <c r="B1759" s="18">
        <v>54</v>
      </c>
      <c r="C1759" s="87" t="s">
        <v>3100</v>
      </c>
      <c r="D1759" s="48">
        <v>45062</v>
      </c>
      <c r="E1759" s="19" t="s">
        <v>5078</v>
      </c>
      <c r="F1759" s="6" t="s">
        <v>5079</v>
      </c>
      <c r="G1759" s="6" t="s">
        <v>3446</v>
      </c>
      <c r="H1759" s="6" t="s">
        <v>3288</v>
      </c>
    </row>
    <row r="1760" spans="1:8" ht="12.75">
      <c r="A1760" s="18">
        <v>2023</v>
      </c>
      <c r="B1760" s="18">
        <v>54</v>
      </c>
      <c r="C1760" s="87" t="s">
        <v>3100</v>
      </c>
      <c r="D1760" s="48">
        <v>45062</v>
      </c>
      <c r="E1760" s="19" t="s">
        <v>5080</v>
      </c>
      <c r="F1760" s="6" t="s">
        <v>5081</v>
      </c>
      <c r="G1760" s="6" t="s">
        <v>3446</v>
      </c>
      <c r="H1760" s="6" t="s">
        <v>3288</v>
      </c>
    </row>
    <row r="1761" spans="1:8" ht="12.75">
      <c r="A1761" s="18">
        <v>2023</v>
      </c>
      <c r="B1761" s="18">
        <v>54</v>
      </c>
      <c r="C1761" s="87" t="s">
        <v>3100</v>
      </c>
      <c r="D1761" s="48">
        <v>45062</v>
      </c>
      <c r="E1761" s="19" t="s">
        <v>3676</v>
      </c>
      <c r="F1761" s="6" t="s">
        <v>5082</v>
      </c>
      <c r="G1761" s="6" t="s">
        <v>3446</v>
      </c>
      <c r="H1761" s="6" t="s">
        <v>3288</v>
      </c>
    </row>
    <row r="1762" spans="1:8" ht="12.75">
      <c r="A1762" s="18">
        <v>2023</v>
      </c>
      <c r="B1762" s="18">
        <v>54</v>
      </c>
      <c r="C1762" s="87" t="s">
        <v>3100</v>
      </c>
      <c r="D1762" s="48">
        <v>45062</v>
      </c>
      <c r="E1762" s="19" t="s">
        <v>3863</v>
      </c>
      <c r="F1762" s="6" t="s">
        <v>5083</v>
      </c>
      <c r="G1762" s="6" t="s">
        <v>3439</v>
      </c>
      <c r="H1762" s="6" t="s">
        <v>3288</v>
      </c>
    </row>
    <row r="1763" spans="1:8" ht="12.75">
      <c r="A1763" s="18">
        <v>2023</v>
      </c>
      <c r="B1763" s="18">
        <v>54</v>
      </c>
      <c r="C1763" s="87" t="s">
        <v>3100</v>
      </c>
      <c r="D1763" s="48">
        <v>45062</v>
      </c>
      <c r="E1763" s="19" t="s">
        <v>5084</v>
      </c>
      <c r="F1763" s="6" t="s">
        <v>5085</v>
      </c>
      <c r="G1763" s="6" t="s">
        <v>3446</v>
      </c>
      <c r="H1763" s="6" t="s">
        <v>3288</v>
      </c>
    </row>
    <row r="1764" spans="1:8" ht="12.75">
      <c r="A1764" s="18">
        <v>2023</v>
      </c>
      <c r="B1764" s="18">
        <v>54</v>
      </c>
      <c r="C1764" s="87" t="s">
        <v>3100</v>
      </c>
      <c r="D1764" s="48">
        <v>45062</v>
      </c>
      <c r="E1764" s="19" t="s">
        <v>5086</v>
      </c>
      <c r="F1764" s="6" t="s">
        <v>5085</v>
      </c>
      <c r="G1764" s="6" t="s">
        <v>3446</v>
      </c>
      <c r="H1764" s="6" t="s">
        <v>3288</v>
      </c>
    </row>
    <row r="1765" spans="1:8" ht="12.75">
      <c r="A1765" s="18">
        <v>2023</v>
      </c>
      <c r="B1765" s="18">
        <v>54</v>
      </c>
      <c r="C1765" s="87" t="s">
        <v>3100</v>
      </c>
      <c r="D1765" s="48">
        <v>45062</v>
      </c>
      <c r="E1765" s="19" t="s">
        <v>5087</v>
      </c>
      <c r="F1765" s="6" t="s">
        <v>5088</v>
      </c>
      <c r="G1765" s="6" t="s">
        <v>3446</v>
      </c>
      <c r="H1765" s="6" t="s">
        <v>3288</v>
      </c>
    </row>
    <row r="1766" spans="1:8" ht="12.75">
      <c r="A1766" s="18">
        <v>2023</v>
      </c>
      <c r="B1766" s="18">
        <v>54</v>
      </c>
      <c r="C1766" s="87" t="s">
        <v>3100</v>
      </c>
      <c r="D1766" s="48">
        <v>45062</v>
      </c>
      <c r="E1766" s="19" t="s">
        <v>5089</v>
      </c>
      <c r="F1766" s="6" t="s">
        <v>5090</v>
      </c>
      <c r="G1766" s="6" t="s">
        <v>3446</v>
      </c>
      <c r="H1766" s="6" t="s">
        <v>3288</v>
      </c>
    </row>
    <row r="1767" spans="1:8" ht="12.75">
      <c r="A1767" s="18">
        <v>2023</v>
      </c>
      <c r="B1767" s="18">
        <v>54</v>
      </c>
      <c r="C1767" s="87" t="s">
        <v>3100</v>
      </c>
      <c r="D1767" s="48">
        <v>45062</v>
      </c>
      <c r="E1767" s="19" t="s">
        <v>5091</v>
      </c>
      <c r="F1767" s="6" t="s">
        <v>5092</v>
      </c>
      <c r="G1767" s="6" t="s">
        <v>3446</v>
      </c>
      <c r="H1767" s="6" t="s">
        <v>3288</v>
      </c>
    </row>
    <row r="1768" spans="1:8" ht="12.75">
      <c r="A1768" s="18">
        <v>2023</v>
      </c>
      <c r="B1768" s="18">
        <v>54</v>
      </c>
      <c r="C1768" s="87" t="s">
        <v>3100</v>
      </c>
      <c r="D1768" s="48">
        <v>45062</v>
      </c>
      <c r="E1768" s="19" t="s">
        <v>5093</v>
      </c>
      <c r="F1768" s="6" t="s">
        <v>5094</v>
      </c>
      <c r="G1768" s="6" t="s">
        <v>3446</v>
      </c>
      <c r="H1768" s="6" t="s">
        <v>3288</v>
      </c>
    </row>
    <row r="1769" spans="1:8" ht="12.75">
      <c r="A1769" s="18">
        <v>2023</v>
      </c>
      <c r="B1769" s="18">
        <v>54</v>
      </c>
      <c r="C1769" s="87" t="s">
        <v>3100</v>
      </c>
      <c r="D1769" s="48">
        <v>45062</v>
      </c>
      <c r="E1769" s="19" t="s">
        <v>5095</v>
      </c>
      <c r="F1769" s="6" t="s">
        <v>5096</v>
      </c>
      <c r="G1769" s="6" t="s">
        <v>3446</v>
      </c>
      <c r="H1769" s="6" t="s">
        <v>3288</v>
      </c>
    </row>
    <row r="1770" spans="1:8" ht="12.75">
      <c r="A1770" s="18">
        <v>2023</v>
      </c>
      <c r="B1770" s="18">
        <v>54</v>
      </c>
      <c r="C1770" s="87" t="s">
        <v>3100</v>
      </c>
      <c r="D1770" s="48">
        <v>45062</v>
      </c>
      <c r="E1770" s="19" t="s">
        <v>5097</v>
      </c>
      <c r="F1770" s="6" t="s">
        <v>5098</v>
      </c>
      <c r="G1770" s="6" t="s">
        <v>3439</v>
      </c>
      <c r="H1770" s="6" t="s">
        <v>3288</v>
      </c>
    </row>
    <row r="1771" spans="1:8" ht="12.75">
      <c r="A1771" s="18">
        <v>2023</v>
      </c>
      <c r="B1771" s="18">
        <v>54</v>
      </c>
      <c r="C1771" s="87" t="s">
        <v>3100</v>
      </c>
      <c r="D1771" s="48">
        <v>45062</v>
      </c>
      <c r="E1771" s="19" t="s">
        <v>5099</v>
      </c>
      <c r="F1771" s="6" t="s">
        <v>5100</v>
      </c>
      <c r="G1771" s="6" t="s">
        <v>3389</v>
      </c>
      <c r="H1771" s="6" t="s">
        <v>3288</v>
      </c>
    </row>
    <row r="1772" spans="1:8" ht="12.75">
      <c r="A1772" s="18">
        <v>2023</v>
      </c>
      <c r="B1772" s="18">
        <v>54</v>
      </c>
      <c r="C1772" s="87" t="s">
        <v>3100</v>
      </c>
      <c r="D1772" s="48">
        <v>45062</v>
      </c>
      <c r="E1772" s="19" t="s">
        <v>5101</v>
      </c>
      <c r="F1772" s="6" t="s">
        <v>5100</v>
      </c>
      <c r="G1772" s="6" t="s">
        <v>3389</v>
      </c>
      <c r="H1772" s="6" t="s">
        <v>3288</v>
      </c>
    </row>
    <row r="1773" spans="1:8" ht="12.75">
      <c r="A1773" s="18">
        <v>2023</v>
      </c>
      <c r="B1773" s="18">
        <v>54</v>
      </c>
      <c r="C1773" s="87" t="s">
        <v>3100</v>
      </c>
      <c r="D1773" s="48">
        <v>45062</v>
      </c>
      <c r="E1773" s="19" t="s">
        <v>5102</v>
      </c>
      <c r="F1773" s="6" t="s">
        <v>5100</v>
      </c>
      <c r="G1773" s="6" t="s">
        <v>3389</v>
      </c>
      <c r="H1773" s="6" t="s">
        <v>3288</v>
      </c>
    </row>
    <row r="1774" spans="1:8" ht="12.75">
      <c r="A1774" s="18">
        <v>2023</v>
      </c>
      <c r="B1774" s="18">
        <v>54</v>
      </c>
      <c r="C1774" s="87" t="s">
        <v>3100</v>
      </c>
      <c r="D1774" s="48">
        <v>45062</v>
      </c>
      <c r="E1774" s="19" t="s">
        <v>5103</v>
      </c>
      <c r="F1774" s="6" t="s">
        <v>5100</v>
      </c>
      <c r="G1774" s="6" t="s">
        <v>3389</v>
      </c>
      <c r="H1774" s="6" t="s">
        <v>3288</v>
      </c>
    </row>
    <row r="1775" spans="1:8" ht="12.75">
      <c r="A1775" s="18">
        <v>2023</v>
      </c>
      <c r="B1775" s="18">
        <v>54</v>
      </c>
      <c r="C1775" s="87" t="s">
        <v>3100</v>
      </c>
      <c r="D1775" s="48">
        <v>45062</v>
      </c>
      <c r="E1775" s="19" t="s">
        <v>4492</v>
      </c>
      <c r="F1775" s="6" t="s">
        <v>5104</v>
      </c>
      <c r="G1775" s="6" t="s">
        <v>3389</v>
      </c>
      <c r="H1775" s="6" t="s">
        <v>3288</v>
      </c>
    </row>
    <row r="1776" spans="1:8" ht="12.75">
      <c r="A1776" s="18">
        <v>2023</v>
      </c>
      <c r="B1776" s="18">
        <v>55</v>
      </c>
      <c r="C1776" s="87" t="s">
        <v>26</v>
      </c>
      <c r="D1776" s="48">
        <v>45062</v>
      </c>
      <c r="E1776" s="19" t="s">
        <v>5105</v>
      </c>
      <c r="F1776" s="6" t="s">
        <v>5106</v>
      </c>
      <c r="G1776" s="6" t="s">
        <v>3389</v>
      </c>
      <c r="H1776" s="6" t="s">
        <v>3288</v>
      </c>
    </row>
    <row r="1777" spans="1:8" ht="12.75">
      <c r="A1777" s="18">
        <v>2023</v>
      </c>
      <c r="B1777" s="18">
        <v>58</v>
      </c>
      <c r="C1777" s="87" t="s">
        <v>47</v>
      </c>
      <c r="D1777" s="48">
        <v>45064</v>
      </c>
      <c r="E1777" s="19" t="s">
        <v>5107</v>
      </c>
      <c r="F1777" s="6" t="s">
        <v>5108</v>
      </c>
      <c r="G1777" s="6" t="s">
        <v>4502</v>
      </c>
      <c r="H1777" s="6" t="s">
        <v>3567</v>
      </c>
    </row>
    <row r="1778" spans="1:8" ht="12.75">
      <c r="A1778" s="18">
        <v>2023</v>
      </c>
      <c r="B1778" s="18">
        <v>58</v>
      </c>
      <c r="C1778" s="87" t="s">
        <v>47</v>
      </c>
      <c r="D1778" s="48">
        <v>45064</v>
      </c>
      <c r="E1778" s="19" t="s">
        <v>5109</v>
      </c>
      <c r="F1778" s="6" t="s">
        <v>5110</v>
      </c>
      <c r="G1778" s="6" t="s">
        <v>4502</v>
      </c>
      <c r="H1778" s="6" t="s">
        <v>3567</v>
      </c>
    </row>
    <row r="1779" spans="1:8" ht="12.75">
      <c r="A1779" s="18">
        <v>2023</v>
      </c>
      <c r="B1779" s="18">
        <v>59</v>
      </c>
      <c r="C1779" s="87" t="s">
        <v>2325</v>
      </c>
      <c r="D1779" s="48">
        <v>45064</v>
      </c>
      <c r="E1779" s="19" t="s">
        <v>5111</v>
      </c>
      <c r="F1779" s="6" t="s">
        <v>5112</v>
      </c>
      <c r="G1779" s="6" t="s">
        <v>4927</v>
      </c>
      <c r="H1779" s="6" t="s">
        <v>3490</v>
      </c>
    </row>
    <row r="1780" spans="1:8" ht="12.75">
      <c r="A1780" s="18">
        <v>2023</v>
      </c>
      <c r="B1780" s="18">
        <v>59</v>
      </c>
      <c r="C1780" s="87" t="s">
        <v>2325</v>
      </c>
      <c r="D1780" s="48">
        <v>45064</v>
      </c>
      <c r="E1780" s="19" t="s">
        <v>5113</v>
      </c>
      <c r="F1780" s="6" t="s">
        <v>4431</v>
      </c>
      <c r="G1780" s="6" t="s">
        <v>3291</v>
      </c>
      <c r="H1780" s="6" t="s">
        <v>3292</v>
      </c>
    </row>
    <row r="1781" spans="1:8" ht="12.75">
      <c r="A1781" s="18">
        <v>2023</v>
      </c>
      <c r="B1781" s="18">
        <v>59</v>
      </c>
      <c r="C1781" s="87" t="s">
        <v>2325</v>
      </c>
      <c r="D1781" s="48">
        <v>45064</v>
      </c>
      <c r="E1781" s="19" t="s">
        <v>4630</v>
      </c>
      <c r="F1781" s="6" t="s">
        <v>4431</v>
      </c>
      <c r="G1781" s="6" t="s">
        <v>3291</v>
      </c>
      <c r="H1781" s="6" t="s">
        <v>3292</v>
      </c>
    </row>
    <row r="1782" spans="1:8" ht="12.75">
      <c r="A1782" s="18">
        <v>2023</v>
      </c>
      <c r="B1782" s="18">
        <v>63</v>
      </c>
      <c r="C1782" s="87" t="s">
        <v>2074</v>
      </c>
      <c r="D1782" s="48">
        <v>45076</v>
      </c>
      <c r="E1782" s="19" t="s">
        <v>3989</v>
      </c>
      <c r="F1782" s="6" t="s">
        <v>4820</v>
      </c>
      <c r="G1782" s="6" t="s">
        <v>3306</v>
      </c>
      <c r="H1782" s="6" t="s">
        <v>3292</v>
      </c>
    </row>
    <row r="1783" spans="1:8" ht="12.75">
      <c r="A1783" s="18">
        <v>2023</v>
      </c>
      <c r="B1783" s="18">
        <v>65</v>
      </c>
      <c r="C1783" s="87" t="s">
        <v>3192</v>
      </c>
      <c r="D1783" s="48">
        <v>45078</v>
      </c>
      <c r="E1783" s="19" t="s">
        <v>5114</v>
      </c>
      <c r="F1783" s="6" t="s">
        <v>4423</v>
      </c>
      <c r="G1783" s="6" t="s">
        <v>3291</v>
      </c>
      <c r="H1783" s="6" t="s">
        <v>3292</v>
      </c>
    </row>
    <row r="1784" spans="1:8" ht="12.75">
      <c r="A1784" s="18">
        <v>2023</v>
      </c>
      <c r="B1784" s="18">
        <v>65</v>
      </c>
      <c r="C1784" s="87" t="s">
        <v>3192</v>
      </c>
      <c r="D1784" s="48">
        <v>45078</v>
      </c>
      <c r="E1784" s="19" t="s">
        <v>5115</v>
      </c>
      <c r="F1784" s="6" t="s">
        <v>4835</v>
      </c>
      <c r="G1784" s="6" t="s">
        <v>3291</v>
      </c>
      <c r="H1784" s="6" t="s">
        <v>3292</v>
      </c>
    </row>
    <row r="1785" spans="1:8" ht="12.75">
      <c r="A1785" s="18">
        <v>2023</v>
      </c>
      <c r="B1785" s="18">
        <v>65</v>
      </c>
      <c r="C1785" s="87" t="s">
        <v>3192</v>
      </c>
      <c r="D1785" s="48">
        <v>45078</v>
      </c>
      <c r="E1785" s="19" t="s">
        <v>4436</v>
      </c>
      <c r="F1785" s="6" t="s">
        <v>5116</v>
      </c>
      <c r="G1785" s="6" t="s">
        <v>3291</v>
      </c>
      <c r="H1785" s="6" t="s">
        <v>3292</v>
      </c>
    </row>
    <row r="1786" spans="1:8" ht="12.75">
      <c r="A1786" s="18">
        <v>2023</v>
      </c>
      <c r="B1786" s="18">
        <v>65</v>
      </c>
      <c r="C1786" s="87" t="s">
        <v>3192</v>
      </c>
      <c r="D1786" s="48">
        <v>45078</v>
      </c>
      <c r="E1786" s="19" t="s">
        <v>5117</v>
      </c>
      <c r="F1786" s="6" t="s">
        <v>5118</v>
      </c>
      <c r="G1786" s="6" t="s">
        <v>3291</v>
      </c>
      <c r="H1786" s="6" t="s">
        <v>3292</v>
      </c>
    </row>
    <row r="1787" spans="1:8" ht="12.75">
      <c r="A1787" s="18">
        <v>2023</v>
      </c>
      <c r="B1787" s="18">
        <v>65</v>
      </c>
      <c r="C1787" s="87" t="s">
        <v>3192</v>
      </c>
      <c r="D1787" s="48">
        <v>45078</v>
      </c>
      <c r="E1787" s="19" t="s">
        <v>5119</v>
      </c>
      <c r="F1787" s="6" t="s">
        <v>5120</v>
      </c>
      <c r="G1787" s="6" t="s">
        <v>3291</v>
      </c>
      <c r="H1787" s="6" t="s">
        <v>3292</v>
      </c>
    </row>
    <row r="1788" spans="1:8" ht="12.75">
      <c r="A1788" s="18">
        <v>2023</v>
      </c>
      <c r="B1788" s="18">
        <v>65</v>
      </c>
      <c r="C1788" s="87" t="s">
        <v>3192</v>
      </c>
      <c r="D1788" s="48">
        <v>45078</v>
      </c>
      <c r="E1788" s="19" t="s">
        <v>5121</v>
      </c>
      <c r="F1788" s="6" t="s">
        <v>5122</v>
      </c>
      <c r="G1788" s="6" t="s">
        <v>3291</v>
      </c>
      <c r="H1788" s="6" t="s">
        <v>3292</v>
      </c>
    </row>
    <row r="1789" spans="1:8" ht="12.75">
      <c r="A1789" s="18">
        <v>2023</v>
      </c>
      <c r="B1789" s="18">
        <v>65</v>
      </c>
      <c r="C1789" s="87" t="s">
        <v>3192</v>
      </c>
      <c r="D1789" s="48">
        <v>45078</v>
      </c>
      <c r="E1789" s="19" t="s">
        <v>5123</v>
      </c>
      <c r="F1789" s="6" t="s">
        <v>5124</v>
      </c>
      <c r="G1789" s="6" t="s">
        <v>3291</v>
      </c>
      <c r="H1789" s="6" t="s">
        <v>3292</v>
      </c>
    </row>
    <row r="1790" spans="1:8" ht="12.75">
      <c r="A1790" s="18">
        <v>2023</v>
      </c>
      <c r="B1790" s="18">
        <v>65</v>
      </c>
      <c r="C1790" s="87" t="s">
        <v>3192</v>
      </c>
      <c r="D1790" s="48">
        <v>45078</v>
      </c>
      <c r="E1790" s="19" t="s">
        <v>5125</v>
      </c>
      <c r="F1790" s="6" t="s">
        <v>5126</v>
      </c>
      <c r="G1790" s="6" t="s">
        <v>3291</v>
      </c>
      <c r="H1790" s="6" t="s">
        <v>3292</v>
      </c>
    </row>
    <row r="1791" spans="1:8" ht="12.75">
      <c r="A1791" s="18">
        <v>2023</v>
      </c>
      <c r="B1791" s="18">
        <v>65</v>
      </c>
      <c r="C1791" s="87" t="s">
        <v>3192</v>
      </c>
      <c r="D1791" s="48">
        <v>45078</v>
      </c>
      <c r="E1791" s="19" t="s">
        <v>5127</v>
      </c>
      <c r="F1791" s="6" t="s">
        <v>5128</v>
      </c>
      <c r="G1791" s="6" t="s">
        <v>3291</v>
      </c>
      <c r="H1791" s="6" t="s">
        <v>3292</v>
      </c>
    </row>
    <row r="1792" spans="1:8" ht="12.75">
      <c r="A1792" s="18">
        <v>2023</v>
      </c>
      <c r="B1792" s="18">
        <v>65</v>
      </c>
      <c r="C1792" s="87" t="s">
        <v>3192</v>
      </c>
      <c r="D1792" s="48">
        <v>45078</v>
      </c>
      <c r="E1792" s="19" t="s">
        <v>3987</v>
      </c>
      <c r="F1792" s="6" t="s">
        <v>5129</v>
      </c>
      <c r="G1792" s="6" t="s">
        <v>3291</v>
      </c>
      <c r="H1792" s="6" t="s">
        <v>3292</v>
      </c>
    </row>
    <row r="1793" spans="1:8" ht="12.75">
      <c r="A1793" s="18">
        <v>2023</v>
      </c>
      <c r="B1793" s="18">
        <v>65</v>
      </c>
      <c r="C1793" s="87" t="s">
        <v>3192</v>
      </c>
      <c r="D1793" s="48">
        <v>45078</v>
      </c>
      <c r="E1793" s="19" t="s">
        <v>5130</v>
      </c>
      <c r="F1793" s="6" t="s">
        <v>5131</v>
      </c>
      <c r="G1793" s="6" t="s">
        <v>3291</v>
      </c>
      <c r="H1793" s="6" t="s">
        <v>3292</v>
      </c>
    </row>
    <row r="1794" spans="1:8" ht="12.75">
      <c r="A1794" s="18">
        <v>2023</v>
      </c>
      <c r="B1794" s="18">
        <v>67</v>
      </c>
      <c r="C1794" s="87" t="s">
        <v>596</v>
      </c>
      <c r="D1794" s="48">
        <v>45083</v>
      </c>
      <c r="E1794" s="19" t="s">
        <v>5132</v>
      </c>
      <c r="F1794" s="6" t="s">
        <v>5133</v>
      </c>
      <c r="G1794" s="6" t="s">
        <v>4543</v>
      </c>
      <c r="H1794" s="6" t="s">
        <v>3292</v>
      </c>
    </row>
    <row r="1795" spans="1:8" ht="12.75">
      <c r="A1795" s="18">
        <v>2023</v>
      </c>
      <c r="B1795" s="18">
        <v>69</v>
      </c>
      <c r="C1795" s="87" t="s">
        <v>67</v>
      </c>
      <c r="D1795" s="48">
        <v>45090</v>
      </c>
      <c r="E1795" s="19" t="s">
        <v>4133</v>
      </c>
      <c r="F1795" s="6" t="s">
        <v>5134</v>
      </c>
      <c r="G1795" s="6" t="s">
        <v>3291</v>
      </c>
      <c r="H1795" s="6" t="s">
        <v>3292</v>
      </c>
    </row>
    <row r="1796" spans="1:8" ht="12.75">
      <c r="A1796" s="18">
        <v>2023</v>
      </c>
      <c r="B1796" s="18">
        <v>70</v>
      </c>
      <c r="C1796" s="87" t="s">
        <v>73</v>
      </c>
      <c r="D1796" s="48">
        <v>45090</v>
      </c>
      <c r="E1796" s="19" t="s">
        <v>3547</v>
      </c>
      <c r="F1796" s="6" t="s">
        <v>5135</v>
      </c>
      <c r="G1796" s="6" t="s">
        <v>5136</v>
      </c>
      <c r="H1796" s="6" t="s">
        <v>3292</v>
      </c>
    </row>
    <row r="1797" spans="1:8" ht="12.75">
      <c r="A1797" s="18">
        <v>2023</v>
      </c>
      <c r="B1797" s="18">
        <v>70</v>
      </c>
      <c r="C1797" s="87" t="s">
        <v>73</v>
      </c>
      <c r="D1797" s="48">
        <v>45090</v>
      </c>
      <c r="E1797" s="19" t="s">
        <v>5137</v>
      </c>
      <c r="F1797" s="6" t="s">
        <v>5138</v>
      </c>
      <c r="G1797" s="6" t="s">
        <v>5136</v>
      </c>
      <c r="H1797" s="6" t="s">
        <v>3292</v>
      </c>
    </row>
    <row r="1798" spans="1:8" ht="12.75">
      <c r="A1798" s="18">
        <v>2023</v>
      </c>
      <c r="B1798" s="18">
        <v>72</v>
      </c>
      <c r="C1798" s="87" t="s">
        <v>47</v>
      </c>
      <c r="D1798" s="48">
        <v>45111</v>
      </c>
      <c r="E1798" s="19" t="s">
        <v>5139</v>
      </c>
      <c r="F1798" s="6" t="s">
        <v>5140</v>
      </c>
      <c r="G1798" s="6" t="s">
        <v>4502</v>
      </c>
      <c r="H1798" s="6" t="s">
        <v>3567</v>
      </c>
    </row>
    <row r="1799" spans="1:8" ht="12.75">
      <c r="A1799" s="18">
        <v>2023</v>
      </c>
      <c r="B1799" s="18">
        <v>74</v>
      </c>
      <c r="C1799" s="87" t="s">
        <v>21</v>
      </c>
      <c r="D1799" s="48">
        <v>45132</v>
      </c>
      <c r="E1799" s="19" t="s">
        <v>5141</v>
      </c>
      <c r="F1799" s="6" t="s">
        <v>3964</v>
      </c>
      <c r="G1799" s="6" t="s">
        <v>1319</v>
      </c>
      <c r="H1799" s="6" t="s">
        <v>3288</v>
      </c>
    </row>
    <row r="1800" spans="1:8" ht="12.75">
      <c r="A1800" s="18">
        <v>2023</v>
      </c>
      <c r="B1800" s="18">
        <v>74</v>
      </c>
      <c r="C1800" s="87" t="s">
        <v>21</v>
      </c>
      <c r="D1800" s="48">
        <v>45132</v>
      </c>
      <c r="E1800" s="19" t="s">
        <v>5142</v>
      </c>
      <c r="F1800" s="6" t="s">
        <v>3964</v>
      </c>
      <c r="G1800" s="6" t="s">
        <v>1319</v>
      </c>
      <c r="H1800" s="6" t="s">
        <v>3288</v>
      </c>
    </row>
    <row r="1801" spans="1:8" ht="12.75">
      <c r="A1801" s="18">
        <v>2023</v>
      </c>
      <c r="B1801" s="18">
        <v>74</v>
      </c>
      <c r="C1801" s="87" t="s">
        <v>21</v>
      </c>
      <c r="D1801" s="48">
        <v>45132</v>
      </c>
      <c r="E1801" s="19" t="s">
        <v>5143</v>
      </c>
      <c r="F1801" s="6" t="s">
        <v>5144</v>
      </c>
      <c r="G1801" s="6" t="s">
        <v>1319</v>
      </c>
      <c r="H1801" s="6" t="s">
        <v>3288</v>
      </c>
    </row>
    <row r="1802" spans="1:8" ht="12.75">
      <c r="A1802" s="18">
        <v>2023</v>
      </c>
      <c r="B1802" s="18">
        <v>76</v>
      </c>
      <c r="C1802" s="87" t="s">
        <v>2074</v>
      </c>
      <c r="D1802" s="48">
        <v>45133</v>
      </c>
      <c r="E1802" s="19" t="s">
        <v>5145</v>
      </c>
      <c r="F1802" s="6" t="s">
        <v>5146</v>
      </c>
      <c r="G1802" s="6" t="s">
        <v>3446</v>
      </c>
      <c r="H1802" s="6" t="s">
        <v>3288</v>
      </c>
    </row>
    <row r="1803" spans="1:8" ht="12.75">
      <c r="A1803" s="18">
        <v>2023</v>
      </c>
      <c r="B1803" s="18">
        <v>76</v>
      </c>
      <c r="C1803" s="87" t="s">
        <v>2074</v>
      </c>
      <c r="D1803" s="48">
        <v>45133</v>
      </c>
      <c r="E1803" s="19" t="s">
        <v>5147</v>
      </c>
      <c r="F1803" s="6" t="s">
        <v>5148</v>
      </c>
      <c r="G1803" s="6" t="s">
        <v>3446</v>
      </c>
      <c r="H1803" s="6" t="s">
        <v>3288</v>
      </c>
    </row>
    <row r="1804" spans="1:8" ht="12.75">
      <c r="A1804" s="18">
        <v>2023</v>
      </c>
      <c r="B1804" s="18">
        <v>76</v>
      </c>
      <c r="C1804" s="87" t="s">
        <v>2074</v>
      </c>
      <c r="D1804" s="48">
        <v>45133</v>
      </c>
      <c r="E1804" s="19" t="s">
        <v>5149</v>
      </c>
      <c r="F1804" s="6" t="s">
        <v>5150</v>
      </c>
      <c r="G1804" s="6" t="s">
        <v>3446</v>
      </c>
      <c r="H1804" s="6" t="s">
        <v>3288</v>
      </c>
    </row>
    <row r="1805" spans="1:8" ht="12.75">
      <c r="A1805" s="18">
        <v>2023</v>
      </c>
      <c r="B1805" s="18">
        <v>76</v>
      </c>
      <c r="C1805" s="87" t="s">
        <v>2074</v>
      </c>
      <c r="D1805" s="48">
        <v>45133</v>
      </c>
      <c r="E1805" s="19" t="s">
        <v>5151</v>
      </c>
      <c r="F1805" s="6" t="s">
        <v>5152</v>
      </c>
      <c r="G1805" s="6" t="s">
        <v>3446</v>
      </c>
      <c r="H1805" s="6" t="s">
        <v>3288</v>
      </c>
    </row>
    <row r="1806" spans="1:8" ht="12.75">
      <c r="A1806" s="18">
        <v>2023</v>
      </c>
      <c r="B1806" s="18">
        <v>76</v>
      </c>
      <c r="C1806" s="87" t="s">
        <v>2074</v>
      </c>
      <c r="D1806" s="48">
        <v>45133</v>
      </c>
      <c r="E1806" s="19" t="s">
        <v>5153</v>
      </c>
      <c r="F1806" s="6" t="s">
        <v>5152</v>
      </c>
      <c r="G1806" s="6" t="s">
        <v>3446</v>
      </c>
      <c r="H1806" s="6" t="s">
        <v>3288</v>
      </c>
    </row>
    <row r="1807" spans="1:8" ht="12.75">
      <c r="A1807" s="18">
        <v>2023</v>
      </c>
      <c r="B1807" s="18">
        <v>76</v>
      </c>
      <c r="C1807" s="87" t="s">
        <v>2074</v>
      </c>
      <c r="D1807" s="48">
        <v>45133</v>
      </c>
      <c r="E1807" s="19" t="s">
        <v>5154</v>
      </c>
      <c r="F1807" s="6" t="s">
        <v>5152</v>
      </c>
      <c r="G1807" s="6" t="s">
        <v>3446</v>
      </c>
      <c r="H1807" s="6" t="s">
        <v>3288</v>
      </c>
    </row>
    <row r="1808" spans="1:8" ht="12.75">
      <c r="A1808" s="18">
        <v>2023</v>
      </c>
      <c r="B1808" s="18">
        <v>76</v>
      </c>
      <c r="C1808" s="87" t="s">
        <v>2074</v>
      </c>
      <c r="D1808" s="48">
        <v>45133</v>
      </c>
      <c r="E1808" s="19" t="s">
        <v>5155</v>
      </c>
      <c r="F1808" s="6" t="s">
        <v>5156</v>
      </c>
      <c r="G1808" s="6" t="s">
        <v>3446</v>
      </c>
      <c r="H1808" s="6" t="s">
        <v>3288</v>
      </c>
    </row>
    <row r="1809" spans="1:8" ht="12.75">
      <c r="A1809" s="18">
        <v>2023</v>
      </c>
      <c r="B1809" s="18">
        <v>76</v>
      </c>
      <c r="C1809" s="87" t="s">
        <v>2074</v>
      </c>
      <c r="D1809" s="48">
        <v>45133</v>
      </c>
      <c r="E1809" s="19" t="s">
        <v>5157</v>
      </c>
      <c r="F1809" s="6" t="s">
        <v>5156</v>
      </c>
      <c r="G1809" s="6" t="s">
        <v>3446</v>
      </c>
      <c r="H1809" s="6" t="s">
        <v>3288</v>
      </c>
    </row>
    <row r="1810" spans="1:8" ht="12.75">
      <c r="A1810" s="18">
        <v>2023</v>
      </c>
      <c r="B1810" s="18">
        <v>77</v>
      </c>
      <c r="C1810" s="87" t="s">
        <v>47</v>
      </c>
      <c r="D1810" s="48">
        <v>45134</v>
      </c>
      <c r="E1810" s="19" t="s">
        <v>5158</v>
      </c>
      <c r="F1810" s="6" t="s">
        <v>5159</v>
      </c>
      <c r="G1810" s="6" t="s">
        <v>4502</v>
      </c>
      <c r="H1810" s="6" t="s">
        <v>3567</v>
      </c>
    </row>
    <row r="1811" spans="1:8" ht="12.75">
      <c r="A1811" s="18">
        <v>2023</v>
      </c>
      <c r="B1811" s="18">
        <v>77</v>
      </c>
      <c r="C1811" s="87" t="s">
        <v>47</v>
      </c>
      <c r="D1811" s="48">
        <v>45134</v>
      </c>
      <c r="E1811" s="19" t="s">
        <v>5160</v>
      </c>
      <c r="F1811" s="6" t="s">
        <v>5161</v>
      </c>
      <c r="G1811" s="6" t="s">
        <v>4502</v>
      </c>
      <c r="H1811" s="6" t="s">
        <v>3567</v>
      </c>
    </row>
    <row r="1812" spans="1:8" ht="12.75">
      <c r="A1812" s="18">
        <v>2023</v>
      </c>
      <c r="B1812" s="18">
        <v>77</v>
      </c>
      <c r="C1812" s="87" t="s">
        <v>47</v>
      </c>
      <c r="D1812" s="48">
        <v>45134</v>
      </c>
      <c r="E1812" s="19" t="s">
        <v>5162</v>
      </c>
      <c r="F1812" s="6" t="s">
        <v>5163</v>
      </c>
      <c r="G1812" s="6" t="s">
        <v>4502</v>
      </c>
      <c r="H1812" s="6" t="s">
        <v>3567</v>
      </c>
    </row>
    <row r="1813" spans="1:8" ht="12.75">
      <c r="A1813" s="18">
        <v>2023</v>
      </c>
      <c r="B1813" s="18">
        <v>78</v>
      </c>
      <c r="C1813" s="87" t="s">
        <v>1591</v>
      </c>
      <c r="D1813" s="48">
        <v>45139</v>
      </c>
      <c r="E1813" s="19" t="s">
        <v>3863</v>
      </c>
      <c r="F1813" s="6" t="s">
        <v>5164</v>
      </c>
      <c r="G1813" s="6" t="s">
        <v>3439</v>
      </c>
      <c r="H1813" s="6" t="s">
        <v>3288</v>
      </c>
    </row>
    <row r="1814" spans="1:8" ht="12.75">
      <c r="A1814" s="18">
        <v>2023</v>
      </c>
      <c r="B1814" s="18">
        <v>78</v>
      </c>
      <c r="C1814" s="87" t="s">
        <v>1591</v>
      </c>
      <c r="D1814" s="48">
        <v>45139</v>
      </c>
      <c r="E1814" s="19" t="s">
        <v>5165</v>
      </c>
      <c r="F1814" s="6" t="s">
        <v>5166</v>
      </c>
      <c r="G1814" s="6" t="s">
        <v>3439</v>
      </c>
      <c r="H1814" s="6" t="s">
        <v>3288</v>
      </c>
    </row>
    <row r="1815" spans="1:8" ht="12.75">
      <c r="A1815" s="18">
        <v>2023</v>
      </c>
      <c r="B1815" s="18">
        <v>78</v>
      </c>
      <c r="C1815" s="87" t="s">
        <v>1591</v>
      </c>
      <c r="D1815" s="48">
        <v>45139</v>
      </c>
      <c r="E1815" s="19" t="s">
        <v>5167</v>
      </c>
      <c r="F1815" s="6" t="s">
        <v>5168</v>
      </c>
      <c r="G1815" s="6" t="s">
        <v>4565</v>
      </c>
      <c r="H1815" s="6" t="s">
        <v>3288</v>
      </c>
    </row>
    <row r="1816" spans="1:8" ht="12.75">
      <c r="A1816" s="18">
        <v>2023</v>
      </c>
      <c r="B1816" s="18">
        <v>78</v>
      </c>
      <c r="C1816" s="87" t="s">
        <v>1591</v>
      </c>
      <c r="D1816" s="48">
        <v>45139</v>
      </c>
      <c r="E1816" s="19" t="s">
        <v>4430</v>
      </c>
      <c r="F1816" s="6" t="s">
        <v>4431</v>
      </c>
      <c r="G1816" s="6" t="s">
        <v>3291</v>
      </c>
      <c r="H1816" s="6" t="s">
        <v>3292</v>
      </c>
    </row>
    <row r="1817" spans="1:8" ht="12.75">
      <c r="A1817" s="18">
        <v>2023</v>
      </c>
      <c r="B1817" s="18">
        <v>78</v>
      </c>
      <c r="C1817" s="87" t="s">
        <v>1591</v>
      </c>
      <c r="D1817" s="48">
        <v>45139</v>
      </c>
      <c r="E1817" s="19" t="s">
        <v>5169</v>
      </c>
      <c r="F1817" s="6" t="s">
        <v>5170</v>
      </c>
      <c r="G1817" s="6" t="s">
        <v>3291</v>
      </c>
      <c r="H1817" s="6" t="s">
        <v>3292</v>
      </c>
    </row>
    <row r="1818" spans="1:8" ht="12.75">
      <c r="A1818" s="18">
        <v>2023</v>
      </c>
      <c r="B1818" s="18">
        <v>79</v>
      </c>
      <c r="C1818" s="87" t="s">
        <v>2074</v>
      </c>
      <c r="D1818" s="48">
        <v>45139</v>
      </c>
      <c r="E1818" s="19" t="s">
        <v>4821</v>
      </c>
      <c r="F1818" s="6" t="s">
        <v>5171</v>
      </c>
      <c r="G1818" s="6" t="s">
        <v>3306</v>
      </c>
      <c r="H1818" s="6" t="s">
        <v>3292</v>
      </c>
    </row>
    <row r="1819" spans="1:8" ht="12.75">
      <c r="A1819" s="18">
        <v>2023</v>
      </c>
      <c r="B1819" s="18">
        <v>79</v>
      </c>
      <c r="C1819" s="87" t="s">
        <v>2074</v>
      </c>
      <c r="D1819" s="48">
        <v>45139</v>
      </c>
      <c r="E1819" s="19" t="s">
        <v>4822</v>
      </c>
      <c r="F1819" s="6" t="s">
        <v>5172</v>
      </c>
      <c r="G1819" s="6" t="s">
        <v>3993</v>
      </c>
      <c r="H1819" s="6" t="s">
        <v>3513</v>
      </c>
    </row>
    <row r="1820" spans="1:8" ht="12.75">
      <c r="A1820" s="18">
        <v>2023</v>
      </c>
      <c r="B1820" s="18">
        <v>80</v>
      </c>
      <c r="C1820" s="87" t="s">
        <v>190</v>
      </c>
      <c r="D1820" s="48">
        <v>45139</v>
      </c>
      <c r="E1820" s="19" t="s">
        <v>5173</v>
      </c>
      <c r="F1820" s="6" t="s">
        <v>5174</v>
      </c>
      <c r="G1820" s="6" t="s">
        <v>3439</v>
      </c>
      <c r="H1820" s="6" t="s">
        <v>3288</v>
      </c>
    </row>
    <row r="1821" spans="1:8" ht="12.75">
      <c r="A1821" s="18">
        <v>2023</v>
      </c>
      <c r="B1821" s="18">
        <v>80</v>
      </c>
      <c r="C1821" s="87" t="s">
        <v>190</v>
      </c>
      <c r="D1821" s="48">
        <v>45139</v>
      </c>
      <c r="E1821" s="19" t="s">
        <v>5175</v>
      </c>
      <c r="F1821" s="6" t="s">
        <v>5176</v>
      </c>
      <c r="G1821" s="6" t="s">
        <v>3439</v>
      </c>
      <c r="H1821" s="6" t="s">
        <v>3288</v>
      </c>
    </row>
    <row r="1822" spans="1:8" ht="12.75">
      <c r="A1822" s="18">
        <v>2023</v>
      </c>
      <c r="B1822" s="18">
        <v>80</v>
      </c>
      <c r="C1822" s="87" t="s">
        <v>190</v>
      </c>
      <c r="D1822" s="48">
        <v>45139</v>
      </c>
      <c r="E1822" s="19" t="s">
        <v>5177</v>
      </c>
      <c r="F1822" s="6" t="s">
        <v>5178</v>
      </c>
      <c r="G1822" s="6" t="s">
        <v>3439</v>
      </c>
      <c r="H1822" s="6" t="s">
        <v>3288</v>
      </c>
    </row>
    <row r="1823" spans="1:8" ht="12.75">
      <c r="A1823" s="18">
        <v>2023</v>
      </c>
      <c r="B1823" s="18">
        <v>82</v>
      </c>
      <c r="C1823" s="87" t="s">
        <v>2074</v>
      </c>
      <c r="D1823" s="48">
        <v>45153</v>
      </c>
      <c r="E1823" s="19" t="s">
        <v>4821</v>
      </c>
      <c r="F1823" s="6" t="s">
        <v>5171</v>
      </c>
      <c r="G1823" s="6" t="s">
        <v>3306</v>
      </c>
      <c r="H1823" s="6" t="s">
        <v>3292</v>
      </c>
    </row>
    <row r="1824" spans="1:8" ht="12.75">
      <c r="A1824" s="18">
        <v>2023</v>
      </c>
      <c r="B1824" s="18">
        <v>82</v>
      </c>
      <c r="C1824" s="87" t="s">
        <v>2074</v>
      </c>
      <c r="D1824" s="48">
        <v>45153</v>
      </c>
      <c r="E1824" s="19" t="s">
        <v>4822</v>
      </c>
      <c r="F1824" s="6" t="s">
        <v>5172</v>
      </c>
      <c r="G1824" s="6" t="s">
        <v>3993</v>
      </c>
      <c r="H1824" s="6" t="s">
        <v>3513</v>
      </c>
    </row>
    <row r="1825" spans="1:8" ht="12.75">
      <c r="A1825" s="18">
        <v>2023</v>
      </c>
      <c r="B1825" s="18">
        <v>85</v>
      </c>
      <c r="C1825" s="87" t="s">
        <v>47</v>
      </c>
      <c r="D1825" s="48">
        <v>45155</v>
      </c>
      <c r="E1825" s="19" t="s">
        <v>5179</v>
      </c>
      <c r="F1825" s="6" t="s">
        <v>5180</v>
      </c>
      <c r="G1825" s="6" t="s">
        <v>4502</v>
      </c>
      <c r="H1825" s="6" t="s">
        <v>3567</v>
      </c>
    </row>
    <row r="1826" spans="1:8" ht="12.75">
      <c r="A1826" s="18">
        <v>2023</v>
      </c>
      <c r="B1826" s="18">
        <v>85</v>
      </c>
      <c r="C1826" s="87" t="s">
        <v>47</v>
      </c>
      <c r="D1826" s="48">
        <v>45155</v>
      </c>
      <c r="E1826" s="19" t="s">
        <v>3602</v>
      </c>
      <c r="F1826" s="6" t="s">
        <v>5181</v>
      </c>
      <c r="G1826" s="6" t="s">
        <v>4502</v>
      </c>
      <c r="H1826" s="6" t="s">
        <v>3567</v>
      </c>
    </row>
    <row r="1827" spans="1:8" ht="12.75">
      <c r="A1827" s="18">
        <v>2023</v>
      </c>
      <c r="B1827" s="18">
        <v>86</v>
      </c>
      <c r="C1827" s="87" t="s">
        <v>45</v>
      </c>
      <c r="D1827" s="48">
        <v>45155</v>
      </c>
      <c r="E1827" s="19" t="s">
        <v>5182</v>
      </c>
      <c r="F1827" s="6" t="s">
        <v>5183</v>
      </c>
      <c r="G1827" s="6" t="s">
        <v>5184</v>
      </c>
      <c r="H1827" s="6" t="s">
        <v>3393</v>
      </c>
    </row>
    <row r="1828" spans="1:8" ht="12.75">
      <c r="A1828" s="18">
        <v>2023</v>
      </c>
      <c r="B1828" s="18">
        <v>86</v>
      </c>
      <c r="C1828" s="87" t="s">
        <v>45</v>
      </c>
      <c r="D1828" s="48">
        <v>45155</v>
      </c>
      <c r="E1828" s="19" t="s">
        <v>5185</v>
      </c>
      <c r="F1828" s="6" t="s">
        <v>5186</v>
      </c>
      <c r="G1828" s="6" t="s">
        <v>5184</v>
      </c>
      <c r="H1828" s="6" t="s">
        <v>3393</v>
      </c>
    </row>
    <row r="1829" spans="1:8" ht="12.75">
      <c r="A1829" s="18">
        <v>2023</v>
      </c>
      <c r="B1829" s="18">
        <v>86</v>
      </c>
      <c r="C1829" s="87" t="s">
        <v>45</v>
      </c>
      <c r="D1829" s="48">
        <v>45155</v>
      </c>
      <c r="E1829" s="19" t="s">
        <v>5187</v>
      </c>
      <c r="F1829" s="6" t="s">
        <v>5188</v>
      </c>
      <c r="G1829" s="6" t="s">
        <v>5184</v>
      </c>
      <c r="H1829" s="6" t="s">
        <v>3393</v>
      </c>
    </row>
    <row r="1830" spans="1:8" ht="12.75">
      <c r="A1830" s="18">
        <v>2023</v>
      </c>
      <c r="B1830" s="18">
        <v>86</v>
      </c>
      <c r="C1830" s="87" t="s">
        <v>45</v>
      </c>
      <c r="D1830" s="48">
        <v>45155</v>
      </c>
      <c r="E1830" s="19" t="s">
        <v>4860</v>
      </c>
      <c r="F1830" s="6" t="s">
        <v>5189</v>
      </c>
      <c r="G1830" s="6" t="s">
        <v>3325</v>
      </c>
      <c r="H1830" s="6" t="s">
        <v>3292</v>
      </c>
    </row>
    <row r="1831" spans="1:8" ht="12.75">
      <c r="A1831" s="18">
        <v>2023</v>
      </c>
      <c r="B1831" s="18">
        <v>86</v>
      </c>
      <c r="C1831" s="87" t="s">
        <v>45</v>
      </c>
      <c r="D1831" s="48">
        <v>45155</v>
      </c>
      <c r="E1831" s="19" t="s">
        <v>5190</v>
      </c>
      <c r="F1831" s="6" t="s">
        <v>5191</v>
      </c>
      <c r="G1831" s="6" t="s">
        <v>3325</v>
      </c>
      <c r="H1831" s="6" t="s">
        <v>3292</v>
      </c>
    </row>
    <row r="1832" spans="1:8" ht="12.75">
      <c r="A1832" s="18">
        <v>2023</v>
      </c>
      <c r="B1832" s="18">
        <v>87</v>
      </c>
      <c r="C1832" s="87" t="s">
        <v>1591</v>
      </c>
      <c r="D1832" s="48">
        <v>45160</v>
      </c>
      <c r="E1832" s="19" t="s">
        <v>5069</v>
      </c>
      <c r="F1832" s="6" t="s">
        <v>5192</v>
      </c>
      <c r="G1832" s="6" t="s">
        <v>4565</v>
      </c>
      <c r="H1832" s="6" t="s">
        <v>3288</v>
      </c>
    </row>
    <row r="1833" spans="1:8" ht="12.75">
      <c r="A1833" s="18">
        <v>2023</v>
      </c>
      <c r="B1833" s="18">
        <v>87</v>
      </c>
      <c r="C1833" s="87" t="s">
        <v>1591</v>
      </c>
      <c r="D1833" s="48">
        <v>45160</v>
      </c>
      <c r="E1833" s="19" t="s">
        <v>5193</v>
      </c>
      <c r="F1833" s="6" t="s">
        <v>5194</v>
      </c>
      <c r="G1833" s="6" t="s">
        <v>4565</v>
      </c>
      <c r="H1833" s="6" t="s">
        <v>3288</v>
      </c>
    </row>
    <row r="1834" spans="1:8" ht="12.75">
      <c r="A1834" s="18">
        <v>2023</v>
      </c>
      <c r="B1834" s="18">
        <v>87</v>
      </c>
      <c r="C1834" s="87" t="s">
        <v>1591</v>
      </c>
      <c r="D1834" s="48">
        <v>45160</v>
      </c>
      <c r="E1834" s="19" t="s">
        <v>3863</v>
      </c>
      <c r="F1834" s="6" t="s">
        <v>5164</v>
      </c>
      <c r="G1834" s="6" t="s">
        <v>3439</v>
      </c>
      <c r="H1834" s="6" t="s">
        <v>3288</v>
      </c>
    </row>
    <row r="1835" spans="1:8" ht="12.75">
      <c r="A1835" s="18">
        <v>2023</v>
      </c>
      <c r="B1835" s="18">
        <v>87</v>
      </c>
      <c r="C1835" s="87" t="s">
        <v>1591</v>
      </c>
      <c r="D1835" s="48">
        <v>45160</v>
      </c>
      <c r="E1835" s="19" t="s">
        <v>4173</v>
      </c>
      <c r="F1835" s="6" t="s">
        <v>5195</v>
      </c>
      <c r="G1835" s="6" t="s">
        <v>3439</v>
      </c>
      <c r="H1835" s="6" t="s">
        <v>3288</v>
      </c>
    </row>
    <row r="1836" spans="1:8" ht="12.75">
      <c r="A1836" s="18">
        <v>2023</v>
      </c>
      <c r="B1836" s="18">
        <v>91</v>
      </c>
      <c r="C1836" s="87" t="s">
        <v>28</v>
      </c>
      <c r="D1836" s="48">
        <v>45162</v>
      </c>
      <c r="E1836" s="19" t="s">
        <v>3564</v>
      </c>
      <c r="F1836" s="6" t="s">
        <v>5196</v>
      </c>
      <c r="G1836" s="6" t="s">
        <v>4502</v>
      </c>
      <c r="H1836" s="6" t="s">
        <v>3567</v>
      </c>
    </row>
  </sheetData>
  <conditionalFormatting sqref="E1:E384 E386:E388 E391:E432 E437:E631 F449:G477 E634:E1836">
    <cfRule type="cellIs" dxfId="5" priority="1" operator="equal">
      <formula>"POSTULANTES MECIONADOS EN EL TEMARIO"</formula>
    </cfRule>
  </conditionalFormatting>
  <conditionalFormatting sqref="G1:G108 G110:G233 E181:F184 F234 G235:G1836">
    <cfRule type="cellIs" dxfId="4" priority="2" operator="equal">
      <formula>"Juzgado"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24"/>
  <sheetViews>
    <sheetView workbookViewId="0"/>
  </sheetViews>
  <sheetFormatPr baseColWidth="10" defaultColWidth="12.5703125" defaultRowHeight="15.75" customHeight="1"/>
  <sheetData>
    <row r="1" spans="1:17">
      <c r="A1" s="20" t="s">
        <v>0</v>
      </c>
      <c r="B1" s="20" t="s">
        <v>1</v>
      </c>
      <c r="C1" s="96" t="s">
        <v>3</v>
      </c>
      <c r="D1" s="97" t="s">
        <v>5</v>
      </c>
      <c r="E1" s="20" t="s">
        <v>8</v>
      </c>
      <c r="F1" s="20" t="s">
        <v>9</v>
      </c>
      <c r="G1" s="20" t="s">
        <v>10</v>
      </c>
      <c r="H1" s="98" t="s">
        <v>11</v>
      </c>
      <c r="I1" s="20" t="s">
        <v>12</v>
      </c>
      <c r="J1" s="20" t="s">
        <v>5197</v>
      </c>
      <c r="K1" s="20" t="s">
        <v>5198</v>
      </c>
      <c r="L1" s="20" t="s">
        <v>5199</v>
      </c>
      <c r="M1" s="20" t="s">
        <v>5200</v>
      </c>
      <c r="N1" s="20" t="s">
        <v>5201</v>
      </c>
      <c r="O1" s="20" t="s">
        <v>5202</v>
      </c>
      <c r="P1" s="20" t="s">
        <v>3283</v>
      </c>
      <c r="Q1" s="9" t="s">
        <v>5203</v>
      </c>
    </row>
    <row r="2" spans="1:17">
      <c r="A2" s="20">
        <v>61</v>
      </c>
      <c r="B2" s="20">
        <v>2022</v>
      </c>
      <c r="C2" s="96">
        <v>44686</v>
      </c>
      <c r="D2" s="97" t="s">
        <v>47</v>
      </c>
      <c r="E2" s="20">
        <v>1</v>
      </c>
      <c r="F2" s="20" t="s">
        <v>30</v>
      </c>
      <c r="G2" s="20">
        <v>34929</v>
      </c>
      <c r="H2" s="20" t="s">
        <v>31</v>
      </c>
      <c r="I2" s="20" t="s">
        <v>2248</v>
      </c>
      <c r="J2" s="20" t="s">
        <v>5204</v>
      </c>
      <c r="K2" s="20" t="s">
        <v>5205</v>
      </c>
      <c r="L2" s="20">
        <v>1</v>
      </c>
      <c r="M2" s="20">
        <v>0</v>
      </c>
      <c r="N2" s="20">
        <v>25633481</v>
      </c>
      <c r="O2" s="20" t="s">
        <v>5206</v>
      </c>
      <c r="P2" s="98" t="s">
        <v>5207</v>
      </c>
      <c r="Q2" s="9" t="s">
        <v>33</v>
      </c>
    </row>
    <row r="3" spans="1:17">
      <c r="A3" s="20">
        <v>61</v>
      </c>
      <c r="B3" s="20">
        <v>2022</v>
      </c>
      <c r="C3" s="96">
        <v>44686</v>
      </c>
      <c r="D3" s="97" t="s">
        <v>47</v>
      </c>
      <c r="E3" s="20">
        <v>1</v>
      </c>
      <c r="F3" s="20" t="s">
        <v>30</v>
      </c>
      <c r="G3" s="20">
        <v>34929</v>
      </c>
      <c r="H3" s="20" t="s">
        <v>31</v>
      </c>
      <c r="I3" s="20" t="s">
        <v>2248</v>
      </c>
      <c r="J3" s="20" t="s">
        <v>5208</v>
      </c>
      <c r="K3" s="20" t="s">
        <v>5209</v>
      </c>
      <c r="L3" s="20">
        <v>0</v>
      </c>
      <c r="M3" s="20">
        <v>1</v>
      </c>
      <c r="N3" s="20">
        <v>16430626</v>
      </c>
      <c r="O3" s="20" t="s">
        <v>5210</v>
      </c>
      <c r="P3" s="20" t="s">
        <v>5207</v>
      </c>
      <c r="Q3" s="9" t="s">
        <v>33</v>
      </c>
    </row>
    <row r="4" spans="1:17">
      <c r="A4" s="20">
        <v>61</v>
      </c>
      <c r="B4" s="20">
        <v>2022</v>
      </c>
      <c r="C4" s="96">
        <v>44686</v>
      </c>
      <c r="D4" s="97" t="s">
        <v>47</v>
      </c>
      <c r="E4" s="20">
        <v>1</v>
      </c>
      <c r="F4" s="20" t="s">
        <v>30</v>
      </c>
      <c r="G4" s="20">
        <v>34929</v>
      </c>
      <c r="H4" s="20" t="s">
        <v>31</v>
      </c>
      <c r="I4" s="20" t="s">
        <v>2248</v>
      </c>
      <c r="J4" s="20" t="s">
        <v>5211</v>
      </c>
      <c r="K4" s="20" t="s">
        <v>5212</v>
      </c>
      <c r="L4" s="20">
        <v>0</v>
      </c>
      <c r="M4" s="20">
        <v>1</v>
      </c>
      <c r="N4" s="20">
        <v>16885984</v>
      </c>
      <c r="O4" s="20" t="s">
        <v>5206</v>
      </c>
      <c r="P4" s="20" t="s">
        <v>5207</v>
      </c>
      <c r="Q4" s="9" t="s">
        <v>33</v>
      </c>
    </row>
    <row r="5" spans="1:17">
      <c r="A5" s="20">
        <v>61</v>
      </c>
      <c r="B5" s="20">
        <v>2022</v>
      </c>
      <c r="C5" s="96">
        <v>44686</v>
      </c>
      <c r="D5" s="97" t="s">
        <v>47</v>
      </c>
      <c r="E5" s="20">
        <v>1</v>
      </c>
      <c r="F5" s="20" t="s">
        <v>30</v>
      </c>
      <c r="G5" s="20">
        <v>34929</v>
      </c>
      <c r="H5" s="20" t="s">
        <v>31</v>
      </c>
      <c r="I5" s="20" t="s">
        <v>2248</v>
      </c>
      <c r="J5" s="20" t="s">
        <v>5213</v>
      </c>
      <c r="K5" s="20" t="s">
        <v>5214</v>
      </c>
      <c r="L5" s="20">
        <v>1</v>
      </c>
      <c r="M5" s="20">
        <v>0</v>
      </c>
      <c r="N5" s="20">
        <v>32933367</v>
      </c>
      <c r="O5" s="20" t="s">
        <v>5206</v>
      </c>
      <c r="P5" s="20" t="s">
        <v>5207</v>
      </c>
      <c r="Q5" s="9" t="s">
        <v>33</v>
      </c>
    </row>
    <row r="6" spans="1:17">
      <c r="A6" s="20">
        <v>61</v>
      </c>
      <c r="B6" s="20">
        <v>2022</v>
      </c>
      <c r="C6" s="96">
        <v>44686</v>
      </c>
      <c r="D6" s="97" t="s">
        <v>47</v>
      </c>
      <c r="E6" s="20">
        <v>1</v>
      </c>
      <c r="F6" s="20" t="s">
        <v>30</v>
      </c>
      <c r="G6" s="20">
        <v>34929</v>
      </c>
      <c r="H6" s="20" t="s">
        <v>31</v>
      </c>
      <c r="I6" s="20" t="s">
        <v>2248</v>
      </c>
      <c r="J6" s="98" t="s">
        <v>5215</v>
      </c>
      <c r="K6" s="98" t="s">
        <v>5216</v>
      </c>
      <c r="L6" s="98">
        <v>1</v>
      </c>
      <c r="M6" s="98">
        <v>0</v>
      </c>
      <c r="N6" s="98">
        <v>6658142</v>
      </c>
      <c r="O6" s="98" t="s">
        <v>5206</v>
      </c>
      <c r="P6" s="98" t="s">
        <v>5217</v>
      </c>
      <c r="Q6" s="9" t="s">
        <v>33</v>
      </c>
    </row>
    <row r="7" spans="1:17">
      <c r="A7" s="20">
        <v>61</v>
      </c>
      <c r="B7" s="20">
        <v>2022</v>
      </c>
      <c r="C7" s="96">
        <v>44686</v>
      </c>
      <c r="D7" s="97" t="s">
        <v>47</v>
      </c>
      <c r="E7" s="20">
        <v>1</v>
      </c>
      <c r="F7" s="20" t="s">
        <v>30</v>
      </c>
      <c r="G7" s="20">
        <v>34929</v>
      </c>
      <c r="H7" s="20" t="s">
        <v>31</v>
      </c>
      <c r="I7" s="20" t="s">
        <v>2248</v>
      </c>
      <c r="J7" s="98" t="s">
        <v>5218</v>
      </c>
      <c r="K7" s="98" t="s">
        <v>5219</v>
      </c>
      <c r="L7" s="98">
        <v>0</v>
      </c>
      <c r="M7" s="98">
        <v>1</v>
      </c>
      <c r="N7" s="98">
        <v>28116708</v>
      </c>
      <c r="O7" s="98" t="s">
        <v>5220</v>
      </c>
      <c r="P7" s="98" t="s">
        <v>5221</v>
      </c>
      <c r="Q7" s="98" t="s">
        <v>5222</v>
      </c>
    </row>
    <row r="8" spans="1:17">
      <c r="A8" s="20">
        <v>61</v>
      </c>
      <c r="B8" s="20">
        <v>2022</v>
      </c>
      <c r="C8" s="96">
        <v>44686</v>
      </c>
      <c r="D8" s="97" t="s">
        <v>47</v>
      </c>
      <c r="E8" s="20">
        <v>1</v>
      </c>
      <c r="F8" s="20" t="s">
        <v>30</v>
      </c>
      <c r="G8" s="20">
        <v>34929</v>
      </c>
      <c r="H8" s="20" t="s">
        <v>31</v>
      </c>
      <c r="I8" s="20" t="s">
        <v>2248</v>
      </c>
      <c r="J8" s="98" t="s">
        <v>5223</v>
      </c>
      <c r="K8" s="98" t="s">
        <v>5224</v>
      </c>
      <c r="L8" s="98">
        <v>0</v>
      </c>
      <c r="M8" s="98">
        <v>1</v>
      </c>
      <c r="N8" s="98">
        <v>18488164</v>
      </c>
      <c r="O8" s="98" t="s">
        <v>5206</v>
      </c>
      <c r="P8" s="98" t="s">
        <v>5221</v>
      </c>
      <c r="Q8" s="98" t="s">
        <v>5222</v>
      </c>
    </row>
    <row r="9" spans="1:17">
      <c r="A9" s="20">
        <v>61</v>
      </c>
      <c r="B9" s="20">
        <v>2022</v>
      </c>
      <c r="C9" s="96">
        <v>44686</v>
      </c>
      <c r="D9" s="97" t="s">
        <v>47</v>
      </c>
      <c r="E9" s="20">
        <v>1</v>
      </c>
      <c r="F9" s="20" t="s">
        <v>30</v>
      </c>
      <c r="G9" s="20">
        <v>34929</v>
      </c>
      <c r="H9" s="20" t="s">
        <v>31</v>
      </c>
      <c r="I9" s="20" t="s">
        <v>2248</v>
      </c>
      <c r="J9" s="98" t="s">
        <v>5225</v>
      </c>
      <c r="K9" s="98" t="s">
        <v>5226</v>
      </c>
      <c r="L9" s="98">
        <v>0</v>
      </c>
      <c r="M9" s="98">
        <v>1</v>
      </c>
      <c r="N9" s="98">
        <v>25858534</v>
      </c>
      <c r="O9" s="98" t="s">
        <v>5206</v>
      </c>
      <c r="P9" s="98" t="s">
        <v>5221</v>
      </c>
      <c r="Q9" s="98" t="s">
        <v>5222</v>
      </c>
    </row>
    <row r="10" spans="1:17">
      <c r="A10" s="20">
        <v>61</v>
      </c>
      <c r="B10" s="20">
        <v>2022</v>
      </c>
      <c r="C10" s="96">
        <v>44686</v>
      </c>
      <c r="D10" s="97" t="s">
        <v>47</v>
      </c>
      <c r="E10" s="20">
        <v>1</v>
      </c>
      <c r="F10" s="20" t="s">
        <v>30</v>
      </c>
      <c r="G10" s="20">
        <v>34929</v>
      </c>
      <c r="H10" s="20" t="s">
        <v>31</v>
      </c>
      <c r="I10" s="20" t="s">
        <v>2248</v>
      </c>
      <c r="J10" s="98" t="s">
        <v>5227</v>
      </c>
      <c r="K10" s="98" t="s">
        <v>5228</v>
      </c>
      <c r="L10" s="98">
        <v>0</v>
      </c>
      <c r="M10" s="98">
        <v>1</v>
      </c>
      <c r="N10" s="98">
        <v>12670333</v>
      </c>
      <c r="O10" s="98" t="s">
        <v>5229</v>
      </c>
      <c r="P10" s="98" t="s">
        <v>5221</v>
      </c>
      <c r="Q10" s="98" t="s">
        <v>5222</v>
      </c>
    </row>
    <row r="11" spans="1:17">
      <c r="A11" s="20">
        <v>61</v>
      </c>
      <c r="B11" s="20">
        <v>2022</v>
      </c>
      <c r="C11" s="96">
        <v>44686</v>
      </c>
      <c r="D11" s="97" t="s">
        <v>47</v>
      </c>
      <c r="E11" s="20">
        <v>1</v>
      </c>
      <c r="F11" s="20" t="s">
        <v>30</v>
      </c>
      <c r="G11" s="20">
        <v>34929</v>
      </c>
      <c r="H11" s="20" t="s">
        <v>31</v>
      </c>
      <c r="I11" s="20" t="s">
        <v>2248</v>
      </c>
      <c r="J11" s="98" t="s">
        <v>5230</v>
      </c>
      <c r="K11" s="98" t="s">
        <v>5231</v>
      </c>
      <c r="L11" s="98">
        <v>0</v>
      </c>
      <c r="M11" s="98">
        <v>1</v>
      </c>
      <c r="N11" s="98">
        <v>12334380</v>
      </c>
      <c r="O11" s="98" t="s">
        <v>5206</v>
      </c>
      <c r="P11" s="98" t="s">
        <v>5221</v>
      </c>
      <c r="Q11" s="9" t="s">
        <v>5222</v>
      </c>
    </row>
    <row r="12" spans="1:17">
      <c r="A12" s="20">
        <v>63</v>
      </c>
      <c r="B12" s="20">
        <v>2022</v>
      </c>
      <c r="C12" s="96">
        <v>44691</v>
      </c>
      <c r="D12" s="97" t="s">
        <v>37</v>
      </c>
      <c r="E12" s="20">
        <v>1</v>
      </c>
      <c r="F12" s="20" t="s">
        <v>64</v>
      </c>
      <c r="G12" s="9">
        <v>34774</v>
      </c>
      <c r="H12" s="20" t="s">
        <v>31</v>
      </c>
      <c r="I12" s="20" t="s">
        <v>2259</v>
      </c>
      <c r="J12" s="20" t="s">
        <v>5232</v>
      </c>
      <c r="K12" s="20" t="s">
        <v>5233</v>
      </c>
      <c r="L12" s="20">
        <v>1</v>
      </c>
      <c r="M12" s="20">
        <v>0</v>
      </c>
      <c r="N12" s="20">
        <v>25565003</v>
      </c>
      <c r="O12" s="20" t="s">
        <v>5206</v>
      </c>
      <c r="P12" s="98" t="s">
        <v>5207</v>
      </c>
      <c r="Q12" s="9" t="s">
        <v>33</v>
      </c>
    </row>
    <row r="13" spans="1:17">
      <c r="A13" s="20">
        <v>63</v>
      </c>
      <c r="B13" s="20">
        <v>2022</v>
      </c>
      <c r="C13" s="96">
        <v>44691</v>
      </c>
      <c r="D13" s="97" t="s">
        <v>37</v>
      </c>
      <c r="E13" s="20">
        <v>1</v>
      </c>
      <c r="F13" s="20" t="s">
        <v>64</v>
      </c>
      <c r="G13" s="98">
        <v>34774</v>
      </c>
      <c r="H13" s="20" t="s">
        <v>31</v>
      </c>
      <c r="I13" s="20" t="s">
        <v>2259</v>
      </c>
      <c r="J13" s="20" t="s">
        <v>5204</v>
      </c>
      <c r="K13" s="20" t="s">
        <v>5205</v>
      </c>
      <c r="L13" s="20">
        <v>1</v>
      </c>
      <c r="M13" s="20">
        <v>0</v>
      </c>
      <c r="N13" s="20">
        <v>25633481</v>
      </c>
      <c r="O13" s="20" t="s">
        <v>5206</v>
      </c>
      <c r="P13" s="98" t="s">
        <v>5207</v>
      </c>
      <c r="Q13" s="9" t="s">
        <v>33</v>
      </c>
    </row>
    <row r="14" spans="1:17">
      <c r="A14" s="20">
        <v>63</v>
      </c>
      <c r="B14" s="20">
        <v>2022</v>
      </c>
      <c r="C14" s="96">
        <v>44691</v>
      </c>
      <c r="D14" s="97" t="s">
        <v>37</v>
      </c>
      <c r="E14" s="20">
        <v>1</v>
      </c>
      <c r="F14" s="20" t="s">
        <v>64</v>
      </c>
      <c r="G14" s="98">
        <v>34774</v>
      </c>
      <c r="H14" s="20" t="s">
        <v>31</v>
      </c>
      <c r="I14" s="20" t="s">
        <v>2259</v>
      </c>
      <c r="J14" s="20" t="s">
        <v>5234</v>
      </c>
      <c r="K14" s="20" t="s">
        <v>5235</v>
      </c>
      <c r="L14" s="20">
        <v>0</v>
      </c>
      <c r="M14" s="20">
        <v>1</v>
      </c>
      <c r="N14" s="20">
        <v>17325355</v>
      </c>
      <c r="O14" s="20" t="s">
        <v>5206</v>
      </c>
      <c r="P14" s="20" t="s">
        <v>5207</v>
      </c>
      <c r="Q14" s="9" t="s">
        <v>33</v>
      </c>
    </row>
    <row r="15" spans="1:17">
      <c r="A15" s="20">
        <v>63</v>
      </c>
      <c r="B15" s="20">
        <v>2022</v>
      </c>
      <c r="C15" s="96">
        <v>44691</v>
      </c>
      <c r="D15" s="97" t="s">
        <v>37</v>
      </c>
      <c r="E15" s="20">
        <v>1</v>
      </c>
      <c r="F15" s="20" t="s">
        <v>64</v>
      </c>
      <c r="G15" s="98">
        <v>34774</v>
      </c>
      <c r="H15" s="20" t="s">
        <v>31</v>
      </c>
      <c r="I15" s="20" t="s">
        <v>2259</v>
      </c>
      <c r="J15" s="20" t="s">
        <v>5236</v>
      </c>
      <c r="K15" s="20" t="s">
        <v>5237</v>
      </c>
      <c r="L15" s="20">
        <v>1</v>
      </c>
      <c r="M15" s="20">
        <v>0</v>
      </c>
      <c r="N15" s="20">
        <v>17628399</v>
      </c>
      <c r="O15" s="20" t="s">
        <v>5238</v>
      </c>
      <c r="P15" s="20" t="s">
        <v>5207</v>
      </c>
      <c r="Q15" s="9" t="s">
        <v>20</v>
      </c>
    </row>
    <row r="16" spans="1:17">
      <c r="A16" s="20">
        <v>63</v>
      </c>
      <c r="B16" s="20">
        <v>2022</v>
      </c>
      <c r="C16" s="96">
        <v>44691</v>
      </c>
      <c r="D16" s="97" t="s">
        <v>37</v>
      </c>
      <c r="E16" s="20">
        <v>1</v>
      </c>
      <c r="F16" s="20" t="s">
        <v>64</v>
      </c>
      <c r="G16" s="98">
        <v>34774</v>
      </c>
      <c r="H16" s="20" t="s">
        <v>31</v>
      </c>
      <c r="I16" s="20" t="s">
        <v>2259</v>
      </c>
      <c r="J16" s="20" t="s">
        <v>5239</v>
      </c>
      <c r="K16" s="20" t="s">
        <v>5240</v>
      </c>
      <c r="L16" s="20">
        <v>0</v>
      </c>
      <c r="M16" s="20">
        <v>1</v>
      </c>
      <c r="N16" s="20">
        <v>21391153</v>
      </c>
      <c r="O16" s="20" t="s">
        <v>5210</v>
      </c>
      <c r="P16" s="20" t="s">
        <v>5207</v>
      </c>
      <c r="Q16" s="9" t="s">
        <v>20</v>
      </c>
    </row>
    <row r="17" spans="1:17">
      <c r="A17" s="20">
        <v>63</v>
      </c>
      <c r="B17" s="20">
        <v>2022</v>
      </c>
      <c r="C17" s="96">
        <v>44691</v>
      </c>
      <c r="D17" s="97" t="s">
        <v>37</v>
      </c>
      <c r="E17" s="20">
        <v>1</v>
      </c>
      <c r="F17" s="20" t="s">
        <v>64</v>
      </c>
      <c r="G17" s="98">
        <v>34774</v>
      </c>
      <c r="H17" s="20" t="s">
        <v>31</v>
      </c>
      <c r="I17" s="20" t="s">
        <v>2259</v>
      </c>
      <c r="J17" s="20" t="s">
        <v>5241</v>
      </c>
      <c r="K17" s="20" t="s">
        <v>5242</v>
      </c>
      <c r="L17" s="20">
        <v>0</v>
      </c>
      <c r="M17" s="20">
        <v>1</v>
      </c>
      <c r="N17" s="20">
        <v>30167048</v>
      </c>
      <c r="O17" s="20" t="s">
        <v>5206</v>
      </c>
      <c r="P17" s="20" t="s">
        <v>5207</v>
      </c>
      <c r="Q17" s="9" t="s">
        <v>33</v>
      </c>
    </row>
    <row r="18" spans="1:17">
      <c r="A18" s="20">
        <v>63</v>
      </c>
      <c r="B18" s="20">
        <v>2022</v>
      </c>
      <c r="C18" s="96">
        <v>44691</v>
      </c>
      <c r="D18" s="97" t="s">
        <v>37</v>
      </c>
      <c r="E18" s="20">
        <v>1</v>
      </c>
      <c r="F18" s="20" t="s">
        <v>64</v>
      </c>
      <c r="G18" s="98">
        <v>34774</v>
      </c>
      <c r="H18" s="20" t="s">
        <v>31</v>
      </c>
      <c r="I18" s="20" t="s">
        <v>2259</v>
      </c>
      <c r="J18" s="20" t="s">
        <v>5243</v>
      </c>
      <c r="K18" s="20" t="s">
        <v>5244</v>
      </c>
      <c r="L18" s="20">
        <v>0</v>
      </c>
      <c r="M18" s="20">
        <v>1</v>
      </c>
      <c r="N18" s="20">
        <v>30682704</v>
      </c>
      <c r="O18" s="20" t="s">
        <v>5210</v>
      </c>
      <c r="P18" s="20" t="s">
        <v>5207</v>
      </c>
      <c r="Q18" s="9" t="s">
        <v>20</v>
      </c>
    </row>
    <row r="19" spans="1:17">
      <c r="A19" s="20">
        <v>63</v>
      </c>
      <c r="B19" s="20">
        <v>2022</v>
      </c>
      <c r="C19" s="96">
        <v>44691</v>
      </c>
      <c r="D19" s="97" t="s">
        <v>37</v>
      </c>
      <c r="E19" s="20">
        <v>1</v>
      </c>
      <c r="F19" s="20" t="s">
        <v>64</v>
      </c>
      <c r="G19" s="98">
        <v>34774</v>
      </c>
      <c r="H19" s="20" t="s">
        <v>31</v>
      </c>
      <c r="I19" s="20" t="s">
        <v>2259</v>
      </c>
      <c r="J19" s="20" t="s">
        <v>5245</v>
      </c>
      <c r="K19" s="20" t="s">
        <v>5246</v>
      </c>
      <c r="L19" s="20">
        <v>0</v>
      </c>
      <c r="M19" s="20">
        <v>1</v>
      </c>
      <c r="N19" s="20">
        <v>37287279</v>
      </c>
      <c r="O19" s="20" t="s">
        <v>5206</v>
      </c>
      <c r="P19" s="20" t="s">
        <v>5207</v>
      </c>
      <c r="Q19" s="9" t="s">
        <v>33</v>
      </c>
    </row>
    <row r="20" spans="1:17">
      <c r="A20" s="20">
        <v>63</v>
      </c>
      <c r="B20" s="20">
        <v>2022</v>
      </c>
      <c r="C20" s="96">
        <v>44691</v>
      </c>
      <c r="D20" s="97" t="s">
        <v>37</v>
      </c>
      <c r="E20" s="20">
        <v>1</v>
      </c>
      <c r="F20" s="20" t="s">
        <v>64</v>
      </c>
      <c r="G20" s="98">
        <v>34774</v>
      </c>
      <c r="H20" s="20" t="s">
        <v>31</v>
      </c>
      <c r="I20" s="20" t="s">
        <v>2259</v>
      </c>
      <c r="J20" s="98" t="s">
        <v>5227</v>
      </c>
      <c r="K20" s="98" t="s">
        <v>5228</v>
      </c>
      <c r="L20" s="98">
        <v>0</v>
      </c>
      <c r="M20" s="98">
        <v>1</v>
      </c>
      <c r="N20" s="98">
        <v>12670333</v>
      </c>
      <c r="O20" s="98" t="s">
        <v>5229</v>
      </c>
      <c r="P20" s="98" t="s">
        <v>5217</v>
      </c>
      <c r="Q20" s="98" t="s">
        <v>5222</v>
      </c>
    </row>
    <row r="21" spans="1:17">
      <c r="A21" s="20">
        <v>63</v>
      </c>
      <c r="B21" s="20">
        <v>2022</v>
      </c>
      <c r="C21" s="96">
        <v>44691</v>
      </c>
      <c r="D21" s="97" t="s">
        <v>37</v>
      </c>
      <c r="E21" s="20">
        <v>1</v>
      </c>
      <c r="F21" s="20" t="s">
        <v>64</v>
      </c>
      <c r="G21" s="98">
        <v>34774</v>
      </c>
      <c r="H21" s="20" t="s">
        <v>31</v>
      </c>
      <c r="I21" s="20" t="s">
        <v>2259</v>
      </c>
      <c r="J21" s="98" t="s">
        <v>5247</v>
      </c>
      <c r="K21" s="98" t="s">
        <v>5248</v>
      </c>
      <c r="L21" s="98">
        <v>1</v>
      </c>
      <c r="M21" s="98">
        <v>0</v>
      </c>
      <c r="N21" s="98">
        <v>27498041</v>
      </c>
      <c r="O21" s="98" t="s">
        <v>5206</v>
      </c>
      <c r="P21" s="98" t="s">
        <v>5217</v>
      </c>
      <c r="Q21" s="98" t="s">
        <v>5222</v>
      </c>
    </row>
    <row r="22" spans="1:17">
      <c r="A22" s="20">
        <v>63</v>
      </c>
      <c r="B22" s="20">
        <v>2022</v>
      </c>
      <c r="C22" s="96">
        <v>44691</v>
      </c>
      <c r="D22" s="97" t="s">
        <v>37</v>
      </c>
      <c r="E22" s="20">
        <v>1</v>
      </c>
      <c r="F22" s="20" t="s">
        <v>64</v>
      </c>
      <c r="G22" s="98">
        <v>34774</v>
      </c>
      <c r="H22" s="20" t="s">
        <v>31</v>
      </c>
      <c r="I22" s="20" t="s">
        <v>2259</v>
      </c>
      <c r="J22" s="98" t="s">
        <v>5213</v>
      </c>
      <c r="K22" s="98" t="s">
        <v>5214</v>
      </c>
      <c r="L22" s="98">
        <v>1</v>
      </c>
      <c r="M22" s="98">
        <v>0</v>
      </c>
      <c r="N22" s="98">
        <v>32933367</v>
      </c>
      <c r="O22" s="98" t="s">
        <v>5206</v>
      </c>
      <c r="P22" s="98" t="s">
        <v>5217</v>
      </c>
      <c r="Q22" s="98" t="s">
        <v>5222</v>
      </c>
    </row>
    <row r="23" spans="1:17">
      <c r="A23" s="20">
        <v>63</v>
      </c>
      <c r="B23" s="20">
        <v>2022</v>
      </c>
      <c r="C23" s="96">
        <v>44691</v>
      </c>
      <c r="D23" s="97" t="s">
        <v>37</v>
      </c>
      <c r="E23" s="20">
        <v>1</v>
      </c>
      <c r="F23" s="20" t="s">
        <v>64</v>
      </c>
      <c r="G23" s="98">
        <v>34774</v>
      </c>
      <c r="H23" s="20" t="s">
        <v>31</v>
      </c>
      <c r="I23" s="20" t="s">
        <v>2259</v>
      </c>
      <c r="J23" s="98" t="s">
        <v>5230</v>
      </c>
      <c r="K23" s="98" t="s">
        <v>5231</v>
      </c>
      <c r="L23" s="98">
        <v>0</v>
      </c>
      <c r="M23" s="98">
        <v>1</v>
      </c>
      <c r="N23" s="98">
        <v>12334380</v>
      </c>
      <c r="O23" s="98" t="s">
        <v>5206</v>
      </c>
      <c r="P23" s="98" t="s">
        <v>5221</v>
      </c>
      <c r="Q23" s="98" t="s">
        <v>5222</v>
      </c>
    </row>
    <row r="24" spans="1:17">
      <c r="A24" s="20">
        <v>63</v>
      </c>
      <c r="B24" s="20">
        <v>2022</v>
      </c>
      <c r="C24" s="96">
        <v>44691</v>
      </c>
      <c r="D24" s="97" t="s">
        <v>37</v>
      </c>
      <c r="E24" s="20">
        <v>1</v>
      </c>
      <c r="F24" s="20" t="s">
        <v>64</v>
      </c>
      <c r="G24" s="98">
        <v>34774</v>
      </c>
      <c r="H24" s="20" t="s">
        <v>31</v>
      </c>
      <c r="I24" s="20" t="s">
        <v>2259</v>
      </c>
      <c r="J24" s="98" t="s">
        <v>5211</v>
      </c>
      <c r="K24" s="98" t="s">
        <v>5212</v>
      </c>
      <c r="L24" s="98">
        <v>0</v>
      </c>
      <c r="M24" s="98">
        <v>1</v>
      </c>
      <c r="N24" s="98">
        <v>16885984</v>
      </c>
      <c r="O24" s="98" t="s">
        <v>5206</v>
      </c>
      <c r="P24" s="98" t="s">
        <v>5221</v>
      </c>
      <c r="Q24" s="98" t="s">
        <v>5222</v>
      </c>
    </row>
    <row r="25" spans="1:17">
      <c r="A25" s="20">
        <v>63</v>
      </c>
      <c r="B25" s="20">
        <v>2022</v>
      </c>
      <c r="C25" s="96">
        <v>44691</v>
      </c>
      <c r="D25" s="97" t="s">
        <v>37</v>
      </c>
      <c r="E25" s="20">
        <v>1</v>
      </c>
      <c r="F25" s="20" t="s">
        <v>64</v>
      </c>
      <c r="G25" s="98">
        <v>34774</v>
      </c>
      <c r="H25" s="20" t="s">
        <v>31</v>
      </c>
      <c r="I25" s="20" t="s">
        <v>2259</v>
      </c>
      <c r="J25" s="98" t="s">
        <v>5225</v>
      </c>
      <c r="K25" s="98" t="s">
        <v>5226</v>
      </c>
      <c r="L25" s="98">
        <v>0</v>
      </c>
      <c r="M25" s="98">
        <v>1</v>
      </c>
      <c r="N25" s="98">
        <v>25858534</v>
      </c>
      <c r="O25" s="98" t="s">
        <v>5206</v>
      </c>
      <c r="P25" s="98" t="s">
        <v>5221</v>
      </c>
      <c r="Q25" s="98" t="s">
        <v>5222</v>
      </c>
    </row>
    <row r="26" spans="1:17">
      <c r="A26" s="20">
        <v>63</v>
      </c>
      <c r="B26" s="20">
        <v>2022</v>
      </c>
      <c r="C26" s="96">
        <v>44691</v>
      </c>
      <c r="D26" s="97" t="s">
        <v>37</v>
      </c>
      <c r="E26" s="20">
        <v>1</v>
      </c>
      <c r="F26" s="20" t="s">
        <v>64</v>
      </c>
      <c r="G26" s="98">
        <v>34774</v>
      </c>
      <c r="H26" s="20" t="s">
        <v>31</v>
      </c>
      <c r="I26" s="20" t="s">
        <v>2259</v>
      </c>
      <c r="J26" s="98" t="s">
        <v>5249</v>
      </c>
      <c r="K26" s="98" t="s">
        <v>5250</v>
      </c>
      <c r="L26" s="98">
        <v>1</v>
      </c>
      <c r="M26" s="98">
        <v>0</v>
      </c>
      <c r="N26" s="98">
        <v>10320386</v>
      </c>
      <c r="O26" s="98" t="s">
        <v>5206</v>
      </c>
      <c r="P26" s="98" t="s">
        <v>5221</v>
      </c>
      <c r="Q26" s="9" t="s">
        <v>5222</v>
      </c>
    </row>
    <row r="27" spans="1:17">
      <c r="A27" s="20">
        <v>66</v>
      </c>
      <c r="B27" s="20">
        <v>2022</v>
      </c>
      <c r="C27" s="96">
        <v>44692</v>
      </c>
      <c r="D27" s="97" t="s">
        <v>53</v>
      </c>
      <c r="E27" s="98">
        <v>1</v>
      </c>
      <c r="F27" s="98" t="s">
        <v>30</v>
      </c>
      <c r="G27" s="98">
        <v>34929</v>
      </c>
      <c r="H27" s="98" t="s">
        <v>31</v>
      </c>
      <c r="I27" s="98" t="s">
        <v>2248</v>
      </c>
      <c r="J27" s="20" t="s">
        <v>5251</v>
      </c>
      <c r="K27" s="20" t="s">
        <v>5252</v>
      </c>
      <c r="L27" s="20">
        <v>0</v>
      </c>
      <c r="M27" s="20">
        <v>1</v>
      </c>
      <c r="N27" s="20">
        <v>30643373</v>
      </c>
      <c r="O27" s="20" t="s">
        <v>5206</v>
      </c>
      <c r="P27" s="98" t="s">
        <v>5207</v>
      </c>
      <c r="Q27" s="9" t="s">
        <v>33</v>
      </c>
    </row>
    <row r="28" spans="1:17">
      <c r="A28" s="20">
        <v>66</v>
      </c>
      <c r="B28" s="20">
        <v>2022</v>
      </c>
      <c r="C28" s="96">
        <v>44692</v>
      </c>
      <c r="D28" s="97" t="s">
        <v>53</v>
      </c>
      <c r="E28" s="98">
        <v>1</v>
      </c>
      <c r="F28" s="98" t="s">
        <v>30</v>
      </c>
      <c r="G28" s="98">
        <v>34929</v>
      </c>
      <c r="H28" s="98" t="s">
        <v>31</v>
      </c>
      <c r="I28" s="98" t="s">
        <v>2248</v>
      </c>
      <c r="J28" s="20" t="s">
        <v>5245</v>
      </c>
      <c r="K28" s="20" t="s">
        <v>5246</v>
      </c>
      <c r="L28" s="20">
        <v>0</v>
      </c>
      <c r="M28" s="20">
        <v>1</v>
      </c>
      <c r="N28" s="20">
        <v>37287279</v>
      </c>
      <c r="O28" s="20" t="s">
        <v>5206</v>
      </c>
      <c r="P28" s="98" t="s">
        <v>5207</v>
      </c>
      <c r="Q28" s="9" t="s">
        <v>33</v>
      </c>
    </row>
    <row r="29" spans="1:17">
      <c r="A29" s="20">
        <v>66</v>
      </c>
      <c r="B29" s="20">
        <v>2022</v>
      </c>
      <c r="C29" s="96">
        <v>44692</v>
      </c>
      <c r="D29" s="97" t="s">
        <v>53</v>
      </c>
      <c r="E29" s="98">
        <v>1</v>
      </c>
      <c r="F29" s="98" t="s">
        <v>30</v>
      </c>
      <c r="G29" s="98">
        <v>34929</v>
      </c>
      <c r="H29" s="98" t="s">
        <v>31</v>
      </c>
      <c r="I29" s="98" t="s">
        <v>2248</v>
      </c>
      <c r="J29" s="20" t="s">
        <v>5227</v>
      </c>
      <c r="K29" s="20" t="s">
        <v>5228</v>
      </c>
      <c r="L29" s="20">
        <v>0</v>
      </c>
      <c r="M29" s="20">
        <v>1</v>
      </c>
      <c r="N29" s="20">
        <v>12670333</v>
      </c>
      <c r="O29" s="20" t="s">
        <v>5229</v>
      </c>
      <c r="P29" s="20" t="s">
        <v>5207</v>
      </c>
      <c r="Q29" s="9" t="s">
        <v>33</v>
      </c>
    </row>
    <row r="30" spans="1:17">
      <c r="A30" s="20">
        <v>66</v>
      </c>
      <c r="B30" s="20">
        <v>2022</v>
      </c>
      <c r="C30" s="96">
        <v>44692</v>
      </c>
      <c r="D30" s="97" t="s">
        <v>53</v>
      </c>
      <c r="E30" s="98">
        <v>1</v>
      </c>
      <c r="F30" s="98" t="s">
        <v>30</v>
      </c>
      <c r="G30" s="98">
        <v>34929</v>
      </c>
      <c r="H30" s="98" t="s">
        <v>31</v>
      </c>
      <c r="I30" s="98" t="s">
        <v>2248</v>
      </c>
      <c r="J30" s="20" t="s">
        <v>5253</v>
      </c>
      <c r="K30" s="20" t="s">
        <v>5254</v>
      </c>
      <c r="L30" s="20">
        <v>1</v>
      </c>
      <c r="M30" s="20">
        <v>0</v>
      </c>
      <c r="N30" s="20">
        <v>12794217</v>
      </c>
      <c r="O30" s="20" t="s">
        <v>5255</v>
      </c>
      <c r="P30" s="20" t="s">
        <v>5207</v>
      </c>
      <c r="Q30" s="9" t="s">
        <v>20</v>
      </c>
    </row>
    <row r="31" spans="1:17">
      <c r="A31" s="20">
        <v>66</v>
      </c>
      <c r="B31" s="20">
        <v>2022</v>
      </c>
      <c r="C31" s="96">
        <v>44692</v>
      </c>
      <c r="D31" s="97" t="s">
        <v>53</v>
      </c>
      <c r="E31" s="98">
        <v>1</v>
      </c>
      <c r="F31" s="98" t="s">
        <v>30</v>
      </c>
      <c r="G31" s="98">
        <v>34929</v>
      </c>
      <c r="H31" s="98" t="s">
        <v>31</v>
      </c>
      <c r="I31" s="98" t="s">
        <v>2248</v>
      </c>
      <c r="J31" s="20" t="s">
        <v>5208</v>
      </c>
      <c r="K31" s="20" t="s">
        <v>5209</v>
      </c>
      <c r="L31" s="20">
        <v>0</v>
      </c>
      <c r="M31" s="20">
        <v>1</v>
      </c>
      <c r="N31" s="20">
        <v>16430626</v>
      </c>
      <c r="O31" s="20" t="s">
        <v>5210</v>
      </c>
      <c r="P31" s="20" t="s">
        <v>5207</v>
      </c>
      <c r="Q31" s="9" t="s">
        <v>33</v>
      </c>
    </row>
    <row r="32" spans="1:17">
      <c r="A32" s="20">
        <v>66</v>
      </c>
      <c r="B32" s="20">
        <v>2022</v>
      </c>
      <c r="C32" s="96">
        <v>44692</v>
      </c>
      <c r="D32" s="97" t="s">
        <v>53</v>
      </c>
      <c r="E32" s="98">
        <v>1</v>
      </c>
      <c r="F32" s="98" t="s">
        <v>30</v>
      </c>
      <c r="G32" s="98">
        <v>34929</v>
      </c>
      <c r="H32" s="98" t="s">
        <v>31</v>
      </c>
      <c r="I32" s="98" t="s">
        <v>2248</v>
      </c>
      <c r="J32" s="20" t="s">
        <v>5247</v>
      </c>
      <c r="K32" s="20" t="s">
        <v>5248</v>
      </c>
      <c r="L32" s="20">
        <v>1</v>
      </c>
      <c r="M32" s="20">
        <v>0</v>
      </c>
      <c r="N32" s="20">
        <v>27498041</v>
      </c>
      <c r="O32" s="20" t="s">
        <v>5206</v>
      </c>
      <c r="P32" s="20" t="s">
        <v>5207</v>
      </c>
      <c r="Q32" s="9" t="s">
        <v>33</v>
      </c>
    </row>
    <row r="33" spans="1:17">
      <c r="A33" s="20">
        <v>66</v>
      </c>
      <c r="B33" s="20">
        <v>2022</v>
      </c>
      <c r="C33" s="96">
        <v>44692</v>
      </c>
      <c r="D33" s="97" t="s">
        <v>53</v>
      </c>
      <c r="E33" s="98">
        <v>1</v>
      </c>
      <c r="F33" s="98" t="s">
        <v>30</v>
      </c>
      <c r="G33" s="98">
        <v>34929</v>
      </c>
      <c r="H33" s="98" t="s">
        <v>31</v>
      </c>
      <c r="I33" s="98" t="s">
        <v>2248</v>
      </c>
      <c r="J33" s="98" t="s">
        <v>5230</v>
      </c>
      <c r="K33" s="98" t="s">
        <v>5231</v>
      </c>
      <c r="L33" s="98">
        <v>0</v>
      </c>
      <c r="M33" s="98">
        <v>1</v>
      </c>
      <c r="N33" s="98">
        <v>12334380</v>
      </c>
      <c r="O33" s="98" t="s">
        <v>5206</v>
      </c>
      <c r="P33" s="98" t="s">
        <v>5221</v>
      </c>
      <c r="Q33" s="9" t="s">
        <v>5222</v>
      </c>
    </row>
    <row r="34" spans="1:17">
      <c r="A34" s="20">
        <v>71</v>
      </c>
      <c r="B34" s="20">
        <v>2022</v>
      </c>
      <c r="C34" s="96">
        <v>44700</v>
      </c>
      <c r="D34" s="97" t="s">
        <v>47</v>
      </c>
      <c r="E34" s="20">
        <v>1</v>
      </c>
      <c r="F34" s="20" t="s">
        <v>30</v>
      </c>
      <c r="G34" s="20">
        <v>34930</v>
      </c>
      <c r="H34" s="20" t="s">
        <v>31</v>
      </c>
      <c r="I34" s="20" t="s">
        <v>2305</v>
      </c>
      <c r="J34" s="20" t="s">
        <v>5241</v>
      </c>
      <c r="K34" s="20" t="s">
        <v>5256</v>
      </c>
      <c r="L34" s="20">
        <v>1</v>
      </c>
      <c r="M34" s="20">
        <v>0</v>
      </c>
      <c r="N34" s="20">
        <v>17026455</v>
      </c>
      <c r="O34" s="20" t="s">
        <v>5206</v>
      </c>
      <c r="P34" s="98" t="s">
        <v>5207</v>
      </c>
      <c r="Q34" s="9" t="s">
        <v>33</v>
      </c>
    </row>
    <row r="35" spans="1:17">
      <c r="A35" s="20">
        <v>71</v>
      </c>
      <c r="B35" s="20">
        <v>2022</v>
      </c>
      <c r="C35" s="96">
        <v>44700</v>
      </c>
      <c r="D35" s="97" t="s">
        <v>47</v>
      </c>
      <c r="E35" s="20">
        <v>1</v>
      </c>
      <c r="F35" s="20" t="s">
        <v>30</v>
      </c>
      <c r="G35" s="20">
        <v>34930</v>
      </c>
      <c r="H35" s="20" t="s">
        <v>31</v>
      </c>
      <c r="I35" s="20" t="s">
        <v>2305</v>
      </c>
      <c r="J35" s="20" t="s">
        <v>5204</v>
      </c>
      <c r="K35" s="20" t="s">
        <v>5205</v>
      </c>
      <c r="L35" s="20">
        <v>1</v>
      </c>
      <c r="M35" s="20">
        <v>0</v>
      </c>
      <c r="N35" s="20">
        <v>25633481</v>
      </c>
      <c r="O35" s="20" t="s">
        <v>5206</v>
      </c>
      <c r="P35" s="98" t="s">
        <v>5207</v>
      </c>
      <c r="Q35" s="9" t="s">
        <v>33</v>
      </c>
    </row>
    <row r="36" spans="1:17">
      <c r="A36" s="20">
        <v>71</v>
      </c>
      <c r="B36" s="20">
        <v>2022</v>
      </c>
      <c r="C36" s="96">
        <v>44700</v>
      </c>
      <c r="D36" s="97" t="s">
        <v>47</v>
      </c>
      <c r="E36" s="20">
        <v>1</v>
      </c>
      <c r="F36" s="20" t="s">
        <v>30</v>
      </c>
      <c r="G36" s="20">
        <v>34930</v>
      </c>
      <c r="H36" s="20" t="s">
        <v>31</v>
      </c>
      <c r="I36" s="20" t="s">
        <v>2305</v>
      </c>
      <c r="J36" s="20" t="s">
        <v>5208</v>
      </c>
      <c r="K36" s="20" t="s">
        <v>5209</v>
      </c>
      <c r="L36" s="20">
        <v>0</v>
      </c>
      <c r="M36" s="20">
        <v>1</v>
      </c>
      <c r="N36" s="20">
        <v>16430626</v>
      </c>
      <c r="O36" s="20" t="s">
        <v>5210</v>
      </c>
      <c r="P36" s="20" t="s">
        <v>5207</v>
      </c>
      <c r="Q36" s="9" t="s">
        <v>33</v>
      </c>
    </row>
    <row r="37" spans="1:17">
      <c r="A37" s="20">
        <v>71</v>
      </c>
      <c r="B37" s="20">
        <v>2022</v>
      </c>
      <c r="C37" s="96">
        <v>44700</v>
      </c>
      <c r="D37" s="97" t="s">
        <v>47</v>
      </c>
      <c r="E37" s="20">
        <v>1</v>
      </c>
      <c r="F37" s="20" t="s">
        <v>30</v>
      </c>
      <c r="G37" s="20">
        <v>34930</v>
      </c>
      <c r="H37" s="20" t="s">
        <v>31</v>
      </c>
      <c r="I37" s="20" t="s">
        <v>2305</v>
      </c>
      <c r="J37" s="20" t="s">
        <v>5213</v>
      </c>
      <c r="K37" s="20" t="s">
        <v>5214</v>
      </c>
      <c r="L37" s="20">
        <v>1</v>
      </c>
      <c r="M37" s="20">
        <v>0</v>
      </c>
      <c r="N37" s="20">
        <v>32933367</v>
      </c>
      <c r="O37" s="20" t="s">
        <v>5206</v>
      </c>
      <c r="P37" s="20" t="s">
        <v>5207</v>
      </c>
      <c r="Q37" s="9" t="s">
        <v>33</v>
      </c>
    </row>
    <row r="38" spans="1:17">
      <c r="A38" s="20">
        <v>71</v>
      </c>
      <c r="B38" s="20">
        <v>2022</v>
      </c>
      <c r="C38" s="96">
        <v>44700</v>
      </c>
      <c r="D38" s="97" t="s">
        <v>47</v>
      </c>
      <c r="E38" s="20">
        <v>1</v>
      </c>
      <c r="F38" s="20" t="s">
        <v>30</v>
      </c>
      <c r="G38" s="20">
        <v>34930</v>
      </c>
      <c r="H38" s="20" t="s">
        <v>31</v>
      </c>
      <c r="I38" s="20" t="s">
        <v>2305</v>
      </c>
      <c r="J38" s="98" t="s">
        <v>5215</v>
      </c>
      <c r="K38" s="98" t="s">
        <v>5216</v>
      </c>
      <c r="L38" s="98">
        <v>1</v>
      </c>
      <c r="M38" s="98">
        <v>0</v>
      </c>
      <c r="N38" s="98">
        <v>6658142</v>
      </c>
      <c r="O38" s="98" t="s">
        <v>5206</v>
      </c>
      <c r="P38" s="98" t="s">
        <v>5217</v>
      </c>
      <c r="Q38" s="9" t="s">
        <v>33</v>
      </c>
    </row>
    <row r="39" spans="1:17">
      <c r="A39" s="20">
        <v>71</v>
      </c>
      <c r="B39" s="20">
        <v>2022</v>
      </c>
      <c r="C39" s="96">
        <v>44700</v>
      </c>
      <c r="D39" s="97" t="s">
        <v>47</v>
      </c>
      <c r="E39" s="20">
        <v>1</v>
      </c>
      <c r="F39" s="20" t="s">
        <v>30</v>
      </c>
      <c r="G39" s="20">
        <v>34930</v>
      </c>
      <c r="H39" s="20" t="s">
        <v>31</v>
      </c>
      <c r="I39" s="20" t="s">
        <v>2305</v>
      </c>
      <c r="J39" s="98" t="s">
        <v>5236</v>
      </c>
      <c r="K39" s="98" t="s">
        <v>5237</v>
      </c>
      <c r="L39" s="98">
        <v>1</v>
      </c>
      <c r="M39" s="98">
        <v>0</v>
      </c>
      <c r="N39" s="98">
        <v>17628399</v>
      </c>
      <c r="O39" s="98" t="s">
        <v>5238</v>
      </c>
      <c r="P39" s="98" t="s">
        <v>5217</v>
      </c>
      <c r="Q39" s="9" t="s">
        <v>5222</v>
      </c>
    </row>
    <row r="40" spans="1:17">
      <c r="A40" s="20">
        <v>71</v>
      </c>
      <c r="B40" s="20">
        <v>2022</v>
      </c>
      <c r="C40" s="96">
        <v>44700</v>
      </c>
      <c r="D40" s="97" t="s">
        <v>47</v>
      </c>
      <c r="E40" s="20">
        <v>1</v>
      </c>
      <c r="F40" s="20" t="s">
        <v>30</v>
      </c>
      <c r="G40" s="20">
        <v>34930</v>
      </c>
      <c r="H40" s="20" t="s">
        <v>31</v>
      </c>
      <c r="I40" s="20" t="s">
        <v>2305</v>
      </c>
      <c r="J40" s="98" t="s">
        <v>5257</v>
      </c>
      <c r="K40" s="98" t="s">
        <v>5258</v>
      </c>
      <c r="L40" s="98">
        <v>1</v>
      </c>
      <c r="M40" s="98">
        <v>0</v>
      </c>
      <c r="N40" s="98">
        <v>27502107</v>
      </c>
      <c r="O40" s="98" t="s">
        <v>5206</v>
      </c>
      <c r="P40" s="98" t="s">
        <v>5221</v>
      </c>
      <c r="Q40" s="9" t="s">
        <v>22</v>
      </c>
    </row>
    <row r="41" spans="1:17">
      <c r="A41" s="20">
        <v>71</v>
      </c>
      <c r="B41" s="20">
        <v>2022</v>
      </c>
      <c r="C41" s="96">
        <v>44700</v>
      </c>
      <c r="D41" s="97" t="s">
        <v>47</v>
      </c>
      <c r="E41" s="20">
        <v>1</v>
      </c>
      <c r="F41" s="20" t="s">
        <v>30</v>
      </c>
      <c r="G41" s="20">
        <v>34930</v>
      </c>
      <c r="H41" s="20" t="s">
        <v>31</v>
      </c>
      <c r="I41" s="20" t="s">
        <v>2305</v>
      </c>
      <c r="J41" s="98" t="s">
        <v>5223</v>
      </c>
      <c r="K41" s="98" t="s">
        <v>5224</v>
      </c>
      <c r="L41" s="98">
        <v>0</v>
      </c>
      <c r="M41" s="98">
        <v>1</v>
      </c>
      <c r="N41" s="98">
        <v>18488164</v>
      </c>
      <c r="O41" s="98" t="s">
        <v>5206</v>
      </c>
      <c r="P41" s="98" t="s">
        <v>5221</v>
      </c>
      <c r="Q41" s="9" t="s">
        <v>22</v>
      </c>
    </row>
    <row r="42" spans="1:17">
      <c r="A42" s="20">
        <v>71</v>
      </c>
      <c r="B42" s="20">
        <v>2022</v>
      </c>
      <c r="C42" s="96">
        <v>44700</v>
      </c>
      <c r="D42" s="97" t="s">
        <v>47</v>
      </c>
      <c r="E42" s="20">
        <v>1</v>
      </c>
      <c r="F42" s="20" t="s">
        <v>30</v>
      </c>
      <c r="G42" s="20">
        <v>34930</v>
      </c>
      <c r="H42" s="20" t="s">
        <v>31</v>
      </c>
      <c r="I42" s="20" t="s">
        <v>2305</v>
      </c>
      <c r="J42" s="98" t="s">
        <v>5227</v>
      </c>
      <c r="K42" s="98" t="s">
        <v>5228</v>
      </c>
      <c r="L42" s="98">
        <v>0</v>
      </c>
      <c r="M42" s="98">
        <v>1</v>
      </c>
      <c r="N42" s="98">
        <v>12670333</v>
      </c>
      <c r="O42" s="98" t="s">
        <v>5229</v>
      </c>
      <c r="P42" s="98" t="s">
        <v>5221</v>
      </c>
      <c r="Q42" s="9" t="s">
        <v>22</v>
      </c>
    </row>
    <row r="43" spans="1:17">
      <c r="A43" s="20">
        <v>72</v>
      </c>
      <c r="B43" s="20">
        <v>2022</v>
      </c>
      <c r="C43" s="96">
        <v>44700</v>
      </c>
      <c r="D43" s="97" t="s">
        <v>1980</v>
      </c>
      <c r="E43" s="20">
        <v>1</v>
      </c>
      <c r="F43" s="20" t="s">
        <v>30</v>
      </c>
      <c r="G43" s="20">
        <v>34717</v>
      </c>
      <c r="H43" s="20" t="s">
        <v>31</v>
      </c>
      <c r="I43" s="20" t="s">
        <v>2309</v>
      </c>
      <c r="J43" s="20" t="s">
        <v>5259</v>
      </c>
      <c r="K43" s="20" t="s">
        <v>5260</v>
      </c>
      <c r="L43" s="20">
        <v>1</v>
      </c>
      <c r="M43" s="20">
        <v>0</v>
      </c>
      <c r="N43" s="20">
        <v>22775419</v>
      </c>
      <c r="O43" s="20" t="s">
        <v>5206</v>
      </c>
      <c r="P43" s="98" t="s">
        <v>5207</v>
      </c>
      <c r="Q43" s="9" t="s">
        <v>33</v>
      </c>
    </row>
    <row r="44" spans="1:17">
      <c r="A44" s="20">
        <v>72</v>
      </c>
      <c r="B44" s="20">
        <v>2022</v>
      </c>
      <c r="C44" s="96">
        <v>44700</v>
      </c>
      <c r="D44" s="97" t="s">
        <v>1980</v>
      </c>
      <c r="E44" s="20">
        <v>1</v>
      </c>
      <c r="F44" s="20" t="s">
        <v>30</v>
      </c>
      <c r="G44" s="20">
        <v>34717</v>
      </c>
      <c r="H44" s="20" t="s">
        <v>31</v>
      </c>
      <c r="I44" s="20" t="s">
        <v>2309</v>
      </c>
      <c r="J44" s="20" t="s">
        <v>5261</v>
      </c>
      <c r="K44" s="20" t="s">
        <v>5262</v>
      </c>
      <c r="L44" s="20">
        <v>1</v>
      </c>
      <c r="M44" s="20">
        <v>0</v>
      </c>
      <c r="N44" s="20">
        <v>13241590</v>
      </c>
      <c r="O44" s="20" t="s">
        <v>5206</v>
      </c>
      <c r="P44" s="98" t="s">
        <v>5207</v>
      </c>
      <c r="Q44" s="9" t="s">
        <v>33</v>
      </c>
    </row>
    <row r="45" spans="1:17">
      <c r="A45" s="20">
        <v>72</v>
      </c>
      <c r="B45" s="20">
        <v>2022</v>
      </c>
      <c r="C45" s="96">
        <v>44700</v>
      </c>
      <c r="D45" s="97" t="s">
        <v>1980</v>
      </c>
      <c r="E45" s="20">
        <v>1</v>
      </c>
      <c r="F45" s="20" t="s">
        <v>30</v>
      </c>
      <c r="G45" s="20">
        <v>34717</v>
      </c>
      <c r="H45" s="20" t="s">
        <v>31</v>
      </c>
      <c r="I45" s="20" t="s">
        <v>2309</v>
      </c>
      <c r="J45" s="20" t="s">
        <v>5263</v>
      </c>
      <c r="K45" s="20" t="s">
        <v>5264</v>
      </c>
      <c r="L45" s="20">
        <v>0</v>
      </c>
      <c r="M45" s="20">
        <v>1</v>
      </c>
      <c r="N45" s="20">
        <v>10451539</v>
      </c>
      <c r="O45" s="20" t="s">
        <v>5238</v>
      </c>
      <c r="P45" s="20" t="s">
        <v>5207</v>
      </c>
      <c r="Q45" s="9" t="s">
        <v>20</v>
      </c>
    </row>
    <row r="46" spans="1:17">
      <c r="A46" s="20">
        <v>72</v>
      </c>
      <c r="B46" s="20">
        <v>2022</v>
      </c>
      <c r="C46" s="96">
        <v>44700</v>
      </c>
      <c r="D46" s="97" t="s">
        <v>1980</v>
      </c>
      <c r="E46" s="20">
        <v>1</v>
      </c>
      <c r="F46" s="20" t="s">
        <v>30</v>
      </c>
      <c r="G46" s="20">
        <v>34717</v>
      </c>
      <c r="H46" s="20" t="s">
        <v>31</v>
      </c>
      <c r="I46" s="20" t="s">
        <v>2309</v>
      </c>
      <c r="J46" s="20" t="s">
        <v>5265</v>
      </c>
      <c r="K46" s="20" t="s">
        <v>5266</v>
      </c>
      <c r="L46" s="20">
        <v>0</v>
      </c>
      <c r="M46" s="20">
        <v>1</v>
      </c>
      <c r="N46" s="20">
        <v>12030966</v>
      </c>
      <c r="O46" s="20" t="s">
        <v>5210</v>
      </c>
      <c r="P46" s="20" t="s">
        <v>5207</v>
      </c>
      <c r="Q46" s="9" t="s">
        <v>5222</v>
      </c>
    </row>
    <row r="47" spans="1:17">
      <c r="A47" s="20">
        <v>72</v>
      </c>
      <c r="B47" s="20">
        <v>2022</v>
      </c>
      <c r="C47" s="96">
        <v>44700</v>
      </c>
      <c r="D47" s="97" t="s">
        <v>1980</v>
      </c>
      <c r="E47" s="20">
        <v>1</v>
      </c>
      <c r="F47" s="20" t="s">
        <v>30</v>
      </c>
      <c r="G47" s="20">
        <v>34717</v>
      </c>
      <c r="H47" s="20" t="s">
        <v>31</v>
      </c>
      <c r="I47" s="20" t="s">
        <v>2309</v>
      </c>
      <c r="J47" s="20" t="s">
        <v>5267</v>
      </c>
      <c r="K47" s="20" t="s">
        <v>5268</v>
      </c>
      <c r="L47" s="20">
        <v>1</v>
      </c>
      <c r="M47" s="20">
        <v>0</v>
      </c>
      <c r="N47" s="20">
        <v>16210927</v>
      </c>
      <c r="O47" s="20" t="s">
        <v>5206</v>
      </c>
      <c r="P47" s="20" t="s">
        <v>5207</v>
      </c>
      <c r="Q47" s="9" t="s">
        <v>33</v>
      </c>
    </row>
    <row r="48" spans="1:17">
      <c r="A48" s="20">
        <v>72</v>
      </c>
      <c r="B48" s="20">
        <v>2022</v>
      </c>
      <c r="C48" s="96">
        <v>44700</v>
      </c>
      <c r="D48" s="97" t="s">
        <v>1980</v>
      </c>
      <c r="E48" s="20">
        <v>1</v>
      </c>
      <c r="F48" s="20" t="s">
        <v>30</v>
      </c>
      <c r="G48" s="20">
        <v>34717</v>
      </c>
      <c r="H48" s="20" t="s">
        <v>31</v>
      </c>
      <c r="I48" s="20" t="s">
        <v>2309</v>
      </c>
      <c r="J48" s="20" t="s">
        <v>5251</v>
      </c>
      <c r="K48" s="20" t="s">
        <v>5252</v>
      </c>
      <c r="L48" s="20">
        <v>0</v>
      </c>
      <c r="M48" s="20">
        <v>1</v>
      </c>
      <c r="N48" s="20">
        <v>30643373</v>
      </c>
      <c r="O48" s="20" t="s">
        <v>5206</v>
      </c>
      <c r="P48" s="20" t="s">
        <v>5207</v>
      </c>
      <c r="Q48" s="9" t="s">
        <v>33</v>
      </c>
    </row>
    <row r="49" spans="1:17">
      <c r="A49" s="20">
        <v>72</v>
      </c>
      <c r="B49" s="20">
        <v>2022</v>
      </c>
      <c r="C49" s="96">
        <v>44700</v>
      </c>
      <c r="D49" s="97" t="s">
        <v>1980</v>
      </c>
      <c r="E49" s="20">
        <v>1</v>
      </c>
      <c r="F49" s="20" t="s">
        <v>30</v>
      </c>
      <c r="G49" s="20">
        <v>34717</v>
      </c>
      <c r="H49" s="20" t="s">
        <v>31</v>
      </c>
      <c r="I49" s="20" t="s">
        <v>2309</v>
      </c>
      <c r="J49" s="20" t="s">
        <v>5269</v>
      </c>
      <c r="K49" s="20" t="s">
        <v>5270</v>
      </c>
      <c r="L49" s="20">
        <v>1</v>
      </c>
      <c r="M49" s="20">
        <v>0</v>
      </c>
      <c r="N49" s="20">
        <v>35102921</v>
      </c>
      <c r="O49" s="20" t="s">
        <v>5206</v>
      </c>
      <c r="P49" s="20" t="s">
        <v>5207</v>
      </c>
      <c r="Q49" s="9" t="s">
        <v>33</v>
      </c>
    </row>
    <row r="50" spans="1:17">
      <c r="A50" s="20">
        <v>72</v>
      </c>
      <c r="B50" s="20">
        <v>2022</v>
      </c>
      <c r="C50" s="96">
        <v>44700</v>
      </c>
      <c r="D50" s="97" t="s">
        <v>1980</v>
      </c>
      <c r="E50" s="20">
        <v>1</v>
      </c>
      <c r="F50" s="20" t="s">
        <v>30</v>
      </c>
      <c r="G50" s="20">
        <v>34717</v>
      </c>
      <c r="H50" s="20" t="s">
        <v>31</v>
      </c>
      <c r="I50" s="20" t="s">
        <v>2309</v>
      </c>
      <c r="J50" s="20" t="s">
        <v>5271</v>
      </c>
      <c r="K50" s="20" t="s">
        <v>5272</v>
      </c>
      <c r="L50" s="20">
        <v>0</v>
      </c>
      <c r="M50" s="20">
        <v>1</v>
      </c>
      <c r="N50" s="20">
        <v>32241277</v>
      </c>
      <c r="O50" s="20" t="s">
        <v>5206</v>
      </c>
      <c r="P50" s="98" t="s">
        <v>5207</v>
      </c>
      <c r="Q50" s="9" t="s">
        <v>33</v>
      </c>
    </row>
    <row r="51" spans="1:17">
      <c r="A51" s="20">
        <v>72</v>
      </c>
      <c r="B51" s="20">
        <v>2022</v>
      </c>
      <c r="C51" s="96">
        <v>44700</v>
      </c>
      <c r="D51" s="97" t="s">
        <v>1980</v>
      </c>
      <c r="E51" s="20">
        <v>1</v>
      </c>
      <c r="F51" s="20" t="s">
        <v>30</v>
      </c>
      <c r="G51" s="20">
        <v>34717</v>
      </c>
      <c r="H51" s="20" t="s">
        <v>31</v>
      </c>
      <c r="I51" s="20" t="s">
        <v>2309</v>
      </c>
      <c r="J51" s="20" t="s">
        <v>5273</v>
      </c>
      <c r="K51" s="20" t="s">
        <v>5274</v>
      </c>
      <c r="L51" s="20">
        <v>0</v>
      </c>
      <c r="M51" s="20">
        <v>1</v>
      </c>
      <c r="N51" s="20">
        <v>18525288</v>
      </c>
      <c r="O51" s="20" t="s">
        <v>5206</v>
      </c>
      <c r="P51" s="20" t="s">
        <v>5207</v>
      </c>
      <c r="Q51" s="9" t="s">
        <v>33</v>
      </c>
    </row>
    <row r="52" spans="1:17">
      <c r="A52" s="20">
        <v>72</v>
      </c>
      <c r="B52" s="20">
        <v>2022</v>
      </c>
      <c r="C52" s="96">
        <v>44700</v>
      </c>
      <c r="D52" s="97" t="s">
        <v>1980</v>
      </c>
      <c r="E52" s="20">
        <v>1</v>
      </c>
      <c r="F52" s="20" t="s">
        <v>30</v>
      </c>
      <c r="G52" s="20">
        <v>34717</v>
      </c>
      <c r="H52" s="20" t="s">
        <v>31</v>
      </c>
      <c r="I52" s="20" t="s">
        <v>2309</v>
      </c>
      <c r="J52" s="20" t="s">
        <v>5275</v>
      </c>
      <c r="K52" s="20" t="s">
        <v>5276</v>
      </c>
      <c r="L52" s="20">
        <v>1</v>
      </c>
      <c r="M52" s="20">
        <v>0</v>
      </c>
      <c r="N52" s="20">
        <v>24173039</v>
      </c>
      <c r="O52" s="20" t="s">
        <v>5206</v>
      </c>
      <c r="P52" s="20" t="s">
        <v>5207</v>
      </c>
      <c r="Q52" s="9" t="s">
        <v>33</v>
      </c>
    </row>
    <row r="53" spans="1:17">
      <c r="A53" s="20">
        <v>72</v>
      </c>
      <c r="B53" s="20">
        <v>2022</v>
      </c>
      <c r="C53" s="96">
        <v>44700</v>
      </c>
      <c r="D53" s="97" t="s">
        <v>1980</v>
      </c>
      <c r="E53" s="20">
        <v>1</v>
      </c>
      <c r="F53" s="20" t="s">
        <v>30</v>
      </c>
      <c r="G53" s="20">
        <v>34717</v>
      </c>
      <c r="H53" s="20" t="s">
        <v>31</v>
      </c>
      <c r="I53" s="20" t="s">
        <v>2309</v>
      </c>
      <c r="J53" s="20" t="s">
        <v>5277</v>
      </c>
      <c r="K53" s="20" t="s">
        <v>5278</v>
      </c>
      <c r="L53" s="20">
        <v>0</v>
      </c>
      <c r="M53" s="20">
        <v>1</v>
      </c>
      <c r="N53" s="20">
        <v>32426838</v>
      </c>
      <c r="O53" s="20" t="s">
        <v>5255</v>
      </c>
      <c r="P53" s="20" t="s">
        <v>5207</v>
      </c>
      <c r="Q53" s="9" t="s">
        <v>33</v>
      </c>
    </row>
    <row r="54" spans="1:17">
      <c r="A54" s="20">
        <v>72</v>
      </c>
      <c r="B54" s="20">
        <v>2022</v>
      </c>
      <c r="C54" s="96">
        <v>44700</v>
      </c>
      <c r="D54" s="97" t="s">
        <v>1980</v>
      </c>
      <c r="E54" s="20">
        <v>1</v>
      </c>
      <c r="F54" s="20" t="s">
        <v>30</v>
      </c>
      <c r="G54" s="20">
        <v>34717</v>
      </c>
      <c r="H54" s="20" t="s">
        <v>31</v>
      </c>
      <c r="I54" s="20" t="s">
        <v>2309</v>
      </c>
      <c r="J54" s="98" t="s">
        <v>5218</v>
      </c>
      <c r="K54" s="98" t="s">
        <v>5219</v>
      </c>
      <c r="L54" s="98">
        <v>0</v>
      </c>
      <c r="M54" s="98">
        <v>1</v>
      </c>
      <c r="N54" s="98">
        <v>28116708</v>
      </c>
      <c r="O54" s="98" t="s">
        <v>5220</v>
      </c>
      <c r="P54" s="98" t="s">
        <v>5217</v>
      </c>
      <c r="Q54" s="9" t="s">
        <v>5222</v>
      </c>
    </row>
    <row r="55" spans="1:17">
      <c r="A55" s="20">
        <v>72</v>
      </c>
      <c r="B55" s="20">
        <v>2022</v>
      </c>
      <c r="C55" s="96">
        <v>44700</v>
      </c>
      <c r="D55" s="97" t="s">
        <v>1980</v>
      </c>
      <c r="E55" s="20">
        <v>1</v>
      </c>
      <c r="F55" s="20" t="s">
        <v>30</v>
      </c>
      <c r="G55" s="20">
        <v>34717</v>
      </c>
      <c r="H55" s="20" t="s">
        <v>31</v>
      </c>
      <c r="I55" s="20" t="s">
        <v>2309</v>
      </c>
      <c r="J55" s="98" t="s">
        <v>5230</v>
      </c>
      <c r="K55" s="98" t="s">
        <v>5231</v>
      </c>
      <c r="L55" s="98">
        <v>0</v>
      </c>
      <c r="M55" s="98">
        <v>1</v>
      </c>
      <c r="N55" s="98">
        <v>12334380</v>
      </c>
      <c r="O55" s="98" t="s">
        <v>5206</v>
      </c>
      <c r="P55" s="98" t="s">
        <v>5217</v>
      </c>
      <c r="Q55" s="9" t="s">
        <v>33</v>
      </c>
    </row>
    <row r="56" spans="1:17">
      <c r="A56" s="20">
        <v>72</v>
      </c>
      <c r="B56" s="20">
        <v>2022</v>
      </c>
      <c r="C56" s="96">
        <v>44700</v>
      </c>
      <c r="D56" s="97" t="s">
        <v>1980</v>
      </c>
      <c r="E56" s="20">
        <v>1</v>
      </c>
      <c r="F56" s="20" t="s">
        <v>30</v>
      </c>
      <c r="G56" s="20">
        <v>34717</v>
      </c>
      <c r="H56" s="20" t="s">
        <v>31</v>
      </c>
      <c r="I56" s="20" t="s">
        <v>2309</v>
      </c>
      <c r="J56" s="98" t="s">
        <v>5227</v>
      </c>
      <c r="K56" s="98" t="s">
        <v>5228</v>
      </c>
      <c r="L56" s="98">
        <v>0</v>
      </c>
      <c r="M56" s="98">
        <v>1</v>
      </c>
      <c r="N56" s="98">
        <v>12670333</v>
      </c>
      <c r="O56" s="98" t="s">
        <v>5229</v>
      </c>
      <c r="P56" s="98" t="s">
        <v>5217</v>
      </c>
      <c r="Q56" s="9" t="s">
        <v>33</v>
      </c>
    </row>
    <row r="57" spans="1:17">
      <c r="A57" s="20">
        <v>72</v>
      </c>
      <c r="B57" s="20">
        <v>2022</v>
      </c>
      <c r="C57" s="96">
        <v>44700</v>
      </c>
      <c r="D57" s="97" t="s">
        <v>1980</v>
      </c>
      <c r="E57" s="20">
        <v>1</v>
      </c>
      <c r="F57" s="20" t="s">
        <v>30</v>
      </c>
      <c r="G57" s="20">
        <v>34717</v>
      </c>
      <c r="H57" s="20" t="s">
        <v>31</v>
      </c>
      <c r="I57" s="20" t="s">
        <v>2309</v>
      </c>
      <c r="J57" s="98" t="s">
        <v>5223</v>
      </c>
      <c r="K57" s="98" t="s">
        <v>5224</v>
      </c>
      <c r="L57" s="98">
        <v>0</v>
      </c>
      <c r="M57" s="98">
        <v>1</v>
      </c>
      <c r="N57" s="98">
        <v>18488164</v>
      </c>
      <c r="O57" s="98" t="s">
        <v>5206</v>
      </c>
      <c r="P57" s="98" t="s">
        <v>5221</v>
      </c>
      <c r="Q57" s="9" t="s">
        <v>5222</v>
      </c>
    </row>
    <row r="58" spans="1:17">
      <c r="A58" s="20">
        <v>72</v>
      </c>
      <c r="B58" s="20">
        <v>2022</v>
      </c>
      <c r="C58" s="96">
        <v>44700</v>
      </c>
      <c r="D58" s="97" t="s">
        <v>1980</v>
      </c>
      <c r="E58" s="20">
        <v>2</v>
      </c>
      <c r="F58" s="20" t="s">
        <v>30</v>
      </c>
      <c r="G58" s="20">
        <v>34990</v>
      </c>
      <c r="H58" s="20" t="s">
        <v>31</v>
      </c>
      <c r="I58" s="20" t="s">
        <v>2313</v>
      </c>
      <c r="J58" s="20" t="s">
        <v>5259</v>
      </c>
      <c r="K58" s="20" t="s">
        <v>5260</v>
      </c>
      <c r="L58" s="20">
        <v>1</v>
      </c>
      <c r="M58" s="20">
        <v>0</v>
      </c>
      <c r="N58" s="20">
        <v>22775419</v>
      </c>
      <c r="O58" s="20" t="s">
        <v>5206</v>
      </c>
      <c r="P58" s="98" t="s">
        <v>5207</v>
      </c>
      <c r="Q58" s="9" t="s">
        <v>33</v>
      </c>
    </row>
    <row r="59" spans="1:17">
      <c r="A59" s="20">
        <v>72</v>
      </c>
      <c r="B59" s="20">
        <v>2022</v>
      </c>
      <c r="C59" s="96">
        <v>44700</v>
      </c>
      <c r="D59" s="97" t="s">
        <v>1980</v>
      </c>
      <c r="E59" s="20">
        <v>2</v>
      </c>
      <c r="F59" s="20" t="s">
        <v>30</v>
      </c>
      <c r="G59" s="20">
        <v>34990</v>
      </c>
      <c r="H59" s="20" t="s">
        <v>31</v>
      </c>
      <c r="I59" s="20" t="s">
        <v>2313</v>
      </c>
      <c r="J59" s="20" t="s">
        <v>5261</v>
      </c>
      <c r="K59" s="20" t="s">
        <v>5262</v>
      </c>
      <c r="L59" s="20">
        <v>1</v>
      </c>
      <c r="M59" s="20">
        <v>0</v>
      </c>
      <c r="N59" s="20">
        <v>13241590</v>
      </c>
      <c r="O59" s="20" t="s">
        <v>5206</v>
      </c>
      <c r="P59" s="98" t="s">
        <v>5207</v>
      </c>
      <c r="Q59" s="9" t="s">
        <v>33</v>
      </c>
    </row>
    <row r="60" spans="1:17">
      <c r="A60" s="20">
        <v>72</v>
      </c>
      <c r="B60" s="20">
        <v>2022</v>
      </c>
      <c r="C60" s="96">
        <v>44700</v>
      </c>
      <c r="D60" s="97" t="s">
        <v>1980</v>
      </c>
      <c r="E60" s="20">
        <v>2</v>
      </c>
      <c r="F60" s="20" t="s">
        <v>30</v>
      </c>
      <c r="G60" s="20">
        <v>34990</v>
      </c>
      <c r="H60" s="20" t="s">
        <v>31</v>
      </c>
      <c r="I60" s="20" t="s">
        <v>2313</v>
      </c>
      <c r="J60" s="20" t="s">
        <v>5263</v>
      </c>
      <c r="K60" s="20" t="s">
        <v>5264</v>
      </c>
      <c r="L60" s="20">
        <v>0</v>
      </c>
      <c r="M60" s="20">
        <v>1</v>
      </c>
      <c r="N60" s="20">
        <v>10451539</v>
      </c>
      <c r="O60" s="20" t="s">
        <v>5238</v>
      </c>
      <c r="P60" s="20" t="s">
        <v>5207</v>
      </c>
      <c r="Q60" s="9" t="s">
        <v>20</v>
      </c>
    </row>
    <row r="61" spans="1:17">
      <c r="A61" s="20">
        <v>72</v>
      </c>
      <c r="B61" s="20">
        <v>2022</v>
      </c>
      <c r="C61" s="96">
        <v>44700</v>
      </c>
      <c r="D61" s="97" t="s">
        <v>1980</v>
      </c>
      <c r="E61" s="20">
        <v>2</v>
      </c>
      <c r="F61" s="20" t="s">
        <v>30</v>
      </c>
      <c r="G61" s="20">
        <v>34990</v>
      </c>
      <c r="H61" s="20" t="s">
        <v>31</v>
      </c>
      <c r="I61" s="20" t="s">
        <v>2313</v>
      </c>
      <c r="J61" s="20" t="s">
        <v>5265</v>
      </c>
      <c r="K61" s="20" t="s">
        <v>5266</v>
      </c>
      <c r="L61" s="20">
        <v>0</v>
      </c>
      <c r="M61" s="20">
        <v>1</v>
      </c>
      <c r="N61" s="20">
        <v>12030966</v>
      </c>
      <c r="O61" s="20" t="s">
        <v>5210</v>
      </c>
      <c r="P61" s="20" t="s">
        <v>5207</v>
      </c>
      <c r="Q61" s="9" t="s">
        <v>5222</v>
      </c>
    </row>
    <row r="62" spans="1:17">
      <c r="A62" s="20">
        <v>72</v>
      </c>
      <c r="B62" s="20">
        <v>2022</v>
      </c>
      <c r="C62" s="96">
        <v>44700</v>
      </c>
      <c r="D62" s="97" t="s">
        <v>1980</v>
      </c>
      <c r="E62" s="20">
        <v>2</v>
      </c>
      <c r="F62" s="20" t="s">
        <v>30</v>
      </c>
      <c r="G62" s="20">
        <v>34990</v>
      </c>
      <c r="H62" s="20" t="s">
        <v>31</v>
      </c>
      <c r="I62" s="20" t="s">
        <v>2313</v>
      </c>
      <c r="J62" s="20" t="s">
        <v>5267</v>
      </c>
      <c r="K62" s="20" t="s">
        <v>5268</v>
      </c>
      <c r="L62" s="20">
        <v>1</v>
      </c>
      <c r="M62" s="20">
        <v>0</v>
      </c>
      <c r="N62" s="20">
        <v>16210927</v>
      </c>
      <c r="O62" s="20" t="s">
        <v>5206</v>
      </c>
      <c r="P62" s="20" t="s">
        <v>5207</v>
      </c>
      <c r="Q62" s="9" t="s">
        <v>33</v>
      </c>
    </row>
    <row r="63" spans="1:17">
      <c r="A63" s="20">
        <v>72</v>
      </c>
      <c r="B63" s="20">
        <v>2022</v>
      </c>
      <c r="C63" s="96">
        <v>44700</v>
      </c>
      <c r="D63" s="97" t="s">
        <v>1980</v>
      </c>
      <c r="E63" s="20">
        <v>2</v>
      </c>
      <c r="F63" s="20" t="s">
        <v>30</v>
      </c>
      <c r="G63" s="20">
        <v>34990</v>
      </c>
      <c r="H63" s="20" t="s">
        <v>31</v>
      </c>
      <c r="I63" s="20" t="s">
        <v>2313</v>
      </c>
      <c r="J63" s="20" t="s">
        <v>5251</v>
      </c>
      <c r="K63" s="20" t="s">
        <v>5252</v>
      </c>
      <c r="L63" s="20">
        <v>0</v>
      </c>
      <c r="M63" s="20">
        <v>1</v>
      </c>
      <c r="N63" s="20">
        <v>30643373</v>
      </c>
      <c r="O63" s="20" t="s">
        <v>5206</v>
      </c>
      <c r="P63" s="20" t="s">
        <v>5207</v>
      </c>
      <c r="Q63" s="9" t="s">
        <v>33</v>
      </c>
    </row>
    <row r="64" spans="1:17">
      <c r="A64" s="20">
        <v>72</v>
      </c>
      <c r="B64" s="20">
        <v>2022</v>
      </c>
      <c r="C64" s="96">
        <v>44700</v>
      </c>
      <c r="D64" s="97" t="s">
        <v>1980</v>
      </c>
      <c r="E64" s="20">
        <v>2</v>
      </c>
      <c r="F64" s="20" t="s">
        <v>30</v>
      </c>
      <c r="G64" s="20">
        <v>34990</v>
      </c>
      <c r="H64" s="20" t="s">
        <v>31</v>
      </c>
      <c r="I64" s="20" t="s">
        <v>2313</v>
      </c>
      <c r="J64" s="20" t="s">
        <v>5269</v>
      </c>
      <c r="K64" s="20" t="s">
        <v>5270</v>
      </c>
      <c r="L64" s="20">
        <v>1</v>
      </c>
      <c r="M64" s="20">
        <v>0</v>
      </c>
      <c r="N64" s="20">
        <v>35102921</v>
      </c>
      <c r="O64" s="20" t="s">
        <v>5206</v>
      </c>
      <c r="P64" s="20" t="s">
        <v>5207</v>
      </c>
      <c r="Q64" s="9" t="s">
        <v>33</v>
      </c>
    </row>
    <row r="65" spans="1:17">
      <c r="A65" s="20">
        <v>72</v>
      </c>
      <c r="B65" s="20">
        <v>2022</v>
      </c>
      <c r="C65" s="96">
        <v>44700</v>
      </c>
      <c r="D65" s="97" t="s">
        <v>1980</v>
      </c>
      <c r="E65" s="20">
        <v>2</v>
      </c>
      <c r="F65" s="20" t="s">
        <v>30</v>
      </c>
      <c r="G65" s="20">
        <v>34990</v>
      </c>
      <c r="H65" s="20" t="s">
        <v>31</v>
      </c>
      <c r="I65" s="20" t="s">
        <v>2313</v>
      </c>
      <c r="J65" s="20" t="s">
        <v>5271</v>
      </c>
      <c r="K65" s="20" t="s">
        <v>5272</v>
      </c>
      <c r="L65" s="20">
        <v>0</v>
      </c>
      <c r="M65" s="20">
        <v>1</v>
      </c>
      <c r="N65" s="20">
        <v>32241277</v>
      </c>
      <c r="O65" s="20" t="s">
        <v>5206</v>
      </c>
      <c r="P65" s="98" t="s">
        <v>5207</v>
      </c>
      <c r="Q65" s="9" t="s">
        <v>33</v>
      </c>
    </row>
    <row r="66" spans="1:17">
      <c r="A66" s="20">
        <v>72</v>
      </c>
      <c r="B66" s="20">
        <v>2022</v>
      </c>
      <c r="C66" s="96">
        <v>44700</v>
      </c>
      <c r="D66" s="97" t="s">
        <v>1980</v>
      </c>
      <c r="E66" s="20">
        <v>2</v>
      </c>
      <c r="F66" s="20" t="s">
        <v>30</v>
      </c>
      <c r="G66" s="20">
        <v>34990</v>
      </c>
      <c r="H66" s="20" t="s">
        <v>31</v>
      </c>
      <c r="I66" s="20" t="s">
        <v>2313</v>
      </c>
      <c r="J66" s="20" t="s">
        <v>5273</v>
      </c>
      <c r="K66" s="20" t="s">
        <v>5274</v>
      </c>
      <c r="L66" s="20">
        <v>0</v>
      </c>
      <c r="M66" s="20">
        <v>1</v>
      </c>
      <c r="N66" s="20">
        <v>18525288</v>
      </c>
      <c r="O66" s="20" t="s">
        <v>5206</v>
      </c>
      <c r="P66" s="20" t="s">
        <v>5207</v>
      </c>
      <c r="Q66" s="9" t="s">
        <v>33</v>
      </c>
    </row>
    <row r="67" spans="1:17">
      <c r="A67" s="20">
        <v>72</v>
      </c>
      <c r="B67" s="20">
        <v>2022</v>
      </c>
      <c r="C67" s="96">
        <v>44700</v>
      </c>
      <c r="D67" s="97" t="s">
        <v>1980</v>
      </c>
      <c r="E67" s="20">
        <v>2</v>
      </c>
      <c r="F67" s="20" t="s">
        <v>30</v>
      </c>
      <c r="G67" s="20">
        <v>34990</v>
      </c>
      <c r="H67" s="20" t="s">
        <v>31</v>
      </c>
      <c r="I67" s="20" t="s">
        <v>2313</v>
      </c>
      <c r="J67" s="20" t="s">
        <v>5275</v>
      </c>
      <c r="K67" s="20" t="s">
        <v>5276</v>
      </c>
      <c r="L67" s="20">
        <v>1</v>
      </c>
      <c r="M67" s="20">
        <v>0</v>
      </c>
      <c r="N67" s="20">
        <v>24173039</v>
      </c>
      <c r="O67" s="20" t="s">
        <v>5206</v>
      </c>
      <c r="P67" s="20" t="s">
        <v>5207</v>
      </c>
      <c r="Q67" s="9" t="s">
        <v>33</v>
      </c>
    </row>
    <row r="68" spans="1:17">
      <c r="A68" s="20">
        <v>72</v>
      </c>
      <c r="B68" s="20">
        <v>2022</v>
      </c>
      <c r="C68" s="96">
        <v>44700</v>
      </c>
      <c r="D68" s="97" t="s">
        <v>1980</v>
      </c>
      <c r="E68" s="20">
        <v>2</v>
      </c>
      <c r="F68" s="20" t="s">
        <v>30</v>
      </c>
      <c r="G68" s="20">
        <v>34990</v>
      </c>
      <c r="H68" s="20" t="s">
        <v>31</v>
      </c>
      <c r="I68" s="20" t="s">
        <v>2313</v>
      </c>
      <c r="J68" s="20" t="s">
        <v>5277</v>
      </c>
      <c r="K68" s="20" t="s">
        <v>5278</v>
      </c>
      <c r="L68" s="20">
        <v>0</v>
      </c>
      <c r="M68" s="20">
        <v>1</v>
      </c>
      <c r="N68" s="20">
        <v>32426838</v>
      </c>
      <c r="O68" s="20" t="s">
        <v>5255</v>
      </c>
      <c r="P68" s="20" t="s">
        <v>5207</v>
      </c>
      <c r="Q68" s="9" t="s">
        <v>33</v>
      </c>
    </row>
    <row r="69" spans="1:17">
      <c r="A69" s="20">
        <v>72</v>
      </c>
      <c r="B69" s="20">
        <v>2022</v>
      </c>
      <c r="C69" s="96">
        <v>44700</v>
      </c>
      <c r="D69" s="97" t="s">
        <v>1980</v>
      </c>
      <c r="E69" s="20">
        <v>2</v>
      </c>
      <c r="F69" s="20" t="s">
        <v>30</v>
      </c>
      <c r="G69" s="20">
        <v>34990</v>
      </c>
      <c r="H69" s="20" t="s">
        <v>31</v>
      </c>
      <c r="I69" s="20" t="s">
        <v>2313</v>
      </c>
      <c r="J69" s="98" t="s">
        <v>5218</v>
      </c>
      <c r="K69" s="98" t="s">
        <v>5219</v>
      </c>
      <c r="L69" s="98">
        <v>0</v>
      </c>
      <c r="M69" s="98">
        <v>1</v>
      </c>
      <c r="N69" s="98">
        <v>28116708</v>
      </c>
      <c r="O69" s="98" t="s">
        <v>5220</v>
      </c>
      <c r="P69" s="98" t="s">
        <v>5217</v>
      </c>
      <c r="Q69" s="9" t="s">
        <v>5222</v>
      </c>
    </row>
    <row r="70" spans="1:17">
      <c r="A70" s="20">
        <v>72</v>
      </c>
      <c r="B70" s="20">
        <v>2022</v>
      </c>
      <c r="C70" s="96">
        <v>44700</v>
      </c>
      <c r="D70" s="97" t="s">
        <v>1980</v>
      </c>
      <c r="E70" s="20">
        <v>2</v>
      </c>
      <c r="F70" s="20" t="s">
        <v>30</v>
      </c>
      <c r="G70" s="20">
        <v>34990</v>
      </c>
      <c r="H70" s="20" t="s">
        <v>31</v>
      </c>
      <c r="I70" s="20" t="s">
        <v>2313</v>
      </c>
      <c r="J70" s="98" t="s">
        <v>5230</v>
      </c>
      <c r="K70" s="98" t="s">
        <v>5231</v>
      </c>
      <c r="L70" s="98">
        <v>0</v>
      </c>
      <c r="M70" s="98">
        <v>1</v>
      </c>
      <c r="N70" s="98">
        <v>12334380</v>
      </c>
      <c r="O70" s="98" t="s">
        <v>5206</v>
      </c>
      <c r="P70" s="98" t="s">
        <v>5217</v>
      </c>
      <c r="Q70" s="9" t="s">
        <v>33</v>
      </c>
    </row>
    <row r="71" spans="1:17">
      <c r="A71" s="20">
        <v>72</v>
      </c>
      <c r="B71" s="20">
        <v>2022</v>
      </c>
      <c r="C71" s="96">
        <v>44700</v>
      </c>
      <c r="D71" s="97" t="s">
        <v>1980</v>
      </c>
      <c r="E71" s="20">
        <v>2</v>
      </c>
      <c r="F71" s="20" t="s">
        <v>30</v>
      </c>
      <c r="G71" s="20">
        <v>34990</v>
      </c>
      <c r="H71" s="20" t="s">
        <v>31</v>
      </c>
      <c r="I71" s="20" t="s">
        <v>2313</v>
      </c>
      <c r="J71" s="98" t="s">
        <v>5227</v>
      </c>
      <c r="K71" s="98" t="s">
        <v>5228</v>
      </c>
      <c r="L71" s="98">
        <v>0</v>
      </c>
      <c r="M71" s="98">
        <v>1</v>
      </c>
      <c r="N71" s="98">
        <v>12670333</v>
      </c>
      <c r="O71" s="98" t="s">
        <v>5229</v>
      </c>
      <c r="P71" s="98" t="s">
        <v>5217</v>
      </c>
      <c r="Q71" s="9" t="s">
        <v>33</v>
      </c>
    </row>
    <row r="72" spans="1:17">
      <c r="A72" s="20">
        <v>72</v>
      </c>
      <c r="B72" s="20">
        <v>2022</v>
      </c>
      <c r="C72" s="96">
        <v>44700</v>
      </c>
      <c r="D72" s="97" t="s">
        <v>1980</v>
      </c>
      <c r="E72" s="20">
        <v>2</v>
      </c>
      <c r="F72" s="20" t="s">
        <v>30</v>
      </c>
      <c r="G72" s="20">
        <v>34990</v>
      </c>
      <c r="H72" s="20" t="s">
        <v>31</v>
      </c>
      <c r="I72" s="20" t="s">
        <v>2313</v>
      </c>
      <c r="J72" s="98" t="s">
        <v>5223</v>
      </c>
      <c r="K72" s="98" t="s">
        <v>5224</v>
      </c>
      <c r="L72" s="98">
        <v>0</v>
      </c>
      <c r="M72" s="98">
        <v>1</v>
      </c>
      <c r="N72" s="98">
        <v>18488164</v>
      </c>
      <c r="O72" s="98" t="s">
        <v>5206</v>
      </c>
      <c r="P72" s="98" t="s">
        <v>5221</v>
      </c>
      <c r="Q72" s="9" t="s">
        <v>22</v>
      </c>
    </row>
    <row r="73" spans="1:17">
      <c r="A73" s="20">
        <v>75</v>
      </c>
      <c r="B73" s="20">
        <v>2022</v>
      </c>
      <c r="C73" s="96">
        <v>44705</v>
      </c>
      <c r="D73" s="97" t="s">
        <v>47</v>
      </c>
      <c r="E73" s="98">
        <v>1</v>
      </c>
      <c r="F73" s="98" t="s">
        <v>30</v>
      </c>
      <c r="G73" s="98">
        <v>35067</v>
      </c>
      <c r="H73" s="98" t="s">
        <v>31</v>
      </c>
      <c r="I73" s="98" t="s">
        <v>2321</v>
      </c>
      <c r="J73" s="20" t="s">
        <v>5241</v>
      </c>
      <c r="K73" s="20" t="s">
        <v>5256</v>
      </c>
      <c r="L73" s="20">
        <v>1</v>
      </c>
      <c r="M73" s="20">
        <v>0</v>
      </c>
      <c r="N73" s="20">
        <v>17026455</v>
      </c>
      <c r="O73" s="20" t="s">
        <v>5206</v>
      </c>
      <c r="P73" s="98" t="s">
        <v>5207</v>
      </c>
      <c r="Q73" s="9" t="s">
        <v>33</v>
      </c>
    </row>
    <row r="74" spans="1:17">
      <c r="A74" s="20">
        <v>75</v>
      </c>
      <c r="B74" s="20">
        <v>2022</v>
      </c>
      <c r="C74" s="96">
        <v>44705</v>
      </c>
      <c r="D74" s="97" t="s">
        <v>47</v>
      </c>
      <c r="E74" s="98">
        <v>1</v>
      </c>
      <c r="F74" s="98" t="s">
        <v>30</v>
      </c>
      <c r="G74" s="98">
        <v>35067</v>
      </c>
      <c r="H74" s="98" t="s">
        <v>31</v>
      </c>
      <c r="I74" s="98" t="s">
        <v>2321</v>
      </c>
      <c r="J74" s="20" t="s">
        <v>5204</v>
      </c>
      <c r="K74" s="20" t="s">
        <v>5205</v>
      </c>
      <c r="L74" s="20">
        <v>1</v>
      </c>
      <c r="M74" s="20">
        <v>0</v>
      </c>
      <c r="N74" s="20">
        <v>25633481</v>
      </c>
      <c r="O74" s="20" t="s">
        <v>5206</v>
      </c>
      <c r="P74" s="98" t="s">
        <v>5207</v>
      </c>
      <c r="Q74" s="9" t="s">
        <v>33</v>
      </c>
    </row>
    <row r="75" spans="1:17">
      <c r="A75" s="20">
        <v>75</v>
      </c>
      <c r="B75" s="20">
        <v>2022</v>
      </c>
      <c r="C75" s="96">
        <v>44705</v>
      </c>
      <c r="D75" s="97" t="s">
        <v>47</v>
      </c>
      <c r="E75" s="98">
        <v>1</v>
      </c>
      <c r="F75" s="98" t="s">
        <v>30</v>
      </c>
      <c r="G75" s="98">
        <v>35067</v>
      </c>
      <c r="H75" s="98" t="s">
        <v>31</v>
      </c>
      <c r="I75" s="98" t="s">
        <v>2321</v>
      </c>
      <c r="J75" s="20" t="s">
        <v>5208</v>
      </c>
      <c r="K75" s="20" t="s">
        <v>5209</v>
      </c>
      <c r="L75" s="20">
        <v>0</v>
      </c>
      <c r="M75" s="20">
        <v>1</v>
      </c>
      <c r="N75" s="20">
        <v>16430626</v>
      </c>
      <c r="O75" s="20" t="s">
        <v>5210</v>
      </c>
      <c r="P75" s="20" t="s">
        <v>5207</v>
      </c>
      <c r="Q75" s="9" t="s">
        <v>33</v>
      </c>
    </row>
    <row r="76" spans="1:17">
      <c r="A76" s="20">
        <v>75</v>
      </c>
      <c r="B76" s="20">
        <v>2022</v>
      </c>
      <c r="C76" s="96">
        <v>44705</v>
      </c>
      <c r="D76" s="97" t="s">
        <v>47</v>
      </c>
      <c r="E76" s="98">
        <v>1</v>
      </c>
      <c r="F76" s="98" t="s">
        <v>30</v>
      </c>
      <c r="G76" s="98">
        <v>35067</v>
      </c>
      <c r="H76" s="98" t="s">
        <v>31</v>
      </c>
      <c r="I76" s="98" t="s">
        <v>2321</v>
      </c>
      <c r="J76" s="20" t="s">
        <v>5213</v>
      </c>
      <c r="K76" s="20" t="s">
        <v>5214</v>
      </c>
      <c r="L76" s="20">
        <v>1</v>
      </c>
      <c r="M76" s="20">
        <v>0</v>
      </c>
      <c r="N76" s="20">
        <v>32933367</v>
      </c>
      <c r="O76" s="20" t="s">
        <v>5206</v>
      </c>
      <c r="P76" s="20" t="s">
        <v>5207</v>
      </c>
      <c r="Q76" s="9" t="s">
        <v>33</v>
      </c>
    </row>
    <row r="77" spans="1:17">
      <c r="A77" s="20">
        <v>75</v>
      </c>
      <c r="B77" s="20">
        <v>2022</v>
      </c>
      <c r="C77" s="96">
        <v>44705</v>
      </c>
      <c r="D77" s="97" t="s">
        <v>47</v>
      </c>
      <c r="E77" s="98">
        <v>1</v>
      </c>
      <c r="F77" s="98" t="s">
        <v>30</v>
      </c>
      <c r="G77" s="98">
        <v>35067</v>
      </c>
      <c r="H77" s="98" t="s">
        <v>31</v>
      </c>
      <c r="I77" s="98" t="s">
        <v>2321</v>
      </c>
      <c r="J77" s="98" t="s">
        <v>5236</v>
      </c>
      <c r="K77" s="98" t="s">
        <v>5237</v>
      </c>
      <c r="L77" s="98">
        <v>1</v>
      </c>
      <c r="M77" s="98">
        <v>0</v>
      </c>
      <c r="N77" s="98">
        <v>17628399</v>
      </c>
      <c r="O77" s="98" t="s">
        <v>5238</v>
      </c>
      <c r="P77" s="98" t="s">
        <v>5217</v>
      </c>
      <c r="Q77" s="9" t="s">
        <v>5222</v>
      </c>
    </row>
    <row r="78" spans="1:17">
      <c r="A78" s="20">
        <v>75</v>
      </c>
      <c r="B78" s="20">
        <v>2022</v>
      </c>
      <c r="C78" s="96">
        <v>44705</v>
      </c>
      <c r="D78" s="97" t="s">
        <v>47</v>
      </c>
      <c r="E78" s="98">
        <v>1</v>
      </c>
      <c r="F78" s="98" t="s">
        <v>30</v>
      </c>
      <c r="G78" s="98">
        <v>35067</v>
      </c>
      <c r="H78" s="98" t="s">
        <v>31</v>
      </c>
      <c r="I78" s="98" t="s">
        <v>2321</v>
      </c>
      <c r="J78" s="98" t="s">
        <v>5225</v>
      </c>
      <c r="K78" s="98" t="s">
        <v>5226</v>
      </c>
      <c r="L78" s="98">
        <v>0</v>
      </c>
      <c r="M78" s="98">
        <v>1</v>
      </c>
      <c r="N78" s="98">
        <v>25858534</v>
      </c>
      <c r="O78" s="98" t="s">
        <v>5206</v>
      </c>
      <c r="P78" s="98" t="s">
        <v>5221</v>
      </c>
      <c r="Q78" s="9" t="s">
        <v>22</v>
      </c>
    </row>
    <row r="79" spans="1:17">
      <c r="A79" s="20">
        <v>75</v>
      </c>
      <c r="B79" s="20">
        <v>2022</v>
      </c>
      <c r="C79" s="96">
        <v>44705</v>
      </c>
      <c r="D79" s="97" t="s">
        <v>47</v>
      </c>
      <c r="E79" s="98">
        <v>1</v>
      </c>
      <c r="F79" s="98" t="s">
        <v>30</v>
      </c>
      <c r="G79" s="98">
        <v>35067</v>
      </c>
      <c r="H79" s="98" t="s">
        <v>31</v>
      </c>
      <c r="I79" s="98" t="s">
        <v>2321</v>
      </c>
      <c r="J79" s="98" t="s">
        <v>5227</v>
      </c>
      <c r="K79" s="98" t="s">
        <v>5228</v>
      </c>
      <c r="L79" s="98">
        <v>0</v>
      </c>
      <c r="M79" s="98">
        <v>1</v>
      </c>
      <c r="N79" s="98">
        <v>12670333</v>
      </c>
      <c r="O79" s="98" t="s">
        <v>5229</v>
      </c>
      <c r="P79" s="98" t="s">
        <v>5221</v>
      </c>
      <c r="Q79" s="9" t="s">
        <v>22</v>
      </c>
    </row>
    <row r="80" spans="1:17">
      <c r="A80" s="20">
        <v>75</v>
      </c>
      <c r="B80" s="20">
        <v>2022</v>
      </c>
      <c r="C80" s="96">
        <v>44705</v>
      </c>
      <c r="D80" s="97" t="s">
        <v>47</v>
      </c>
      <c r="E80" s="98">
        <v>1</v>
      </c>
      <c r="F80" s="98" t="s">
        <v>30</v>
      </c>
      <c r="G80" s="98">
        <v>35067</v>
      </c>
      <c r="H80" s="98" t="s">
        <v>31</v>
      </c>
      <c r="I80" s="98" t="s">
        <v>2321</v>
      </c>
      <c r="J80" s="98" t="s">
        <v>5279</v>
      </c>
      <c r="K80" s="98" t="s">
        <v>5280</v>
      </c>
      <c r="L80" s="98">
        <v>1</v>
      </c>
      <c r="M80" s="98">
        <v>0</v>
      </c>
      <c r="N80" s="98">
        <v>24304887</v>
      </c>
      <c r="O80" s="98" t="s">
        <v>5206</v>
      </c>
      <c r="P80" s="98" t="s">
        <v>5221</v>
      </c>
      <c r="Q80" s="9" t="s">
        <v>22</v>
      </c>
    </row>
    <row r="81" spans="1:17">
      <c r="A81" s="20">
        <v>78</v>
      </c>
      <c r="B81" s="20">
        <v>2022</v>
      </c>
      <c r="C81" s="96">
        <v>44712</v>
      </c>
      <c r="D81" s="97" t="s">
        <v>2334</v>
      </c>
      <c r="E81" s="20">
        <v>1</v>
      </c>
      <c r="F81" s="20" t="s">
        <v>30</v>
      </c>
      <c r="G81" s="20">
        <v>35051</v>
      </c>
      <c r="H81" s="20" t="s">
        <v>61</v>
      </c>
      <c r="I81" s="20" t="s">
        <v>2315</v>
      </c>
      <c r="J81" s="20" t="s">
        <v>5281</v>
      </c>
      <c r="K81" s="20" t="s">
        <v>5282</v>
      </c>
      <c r="L81" s="20">
        <v>0</v>
      </c>
      <c r="M81" s="20">
        <v>1</v>
      </c>
      <c r="N81" s="20">
        <v>14130983</v>
      </c>
      <c r="O81" s="20" t="s">
        <v>5206</v>
      </c>
      <c r="P81" s="98" t="s">
        <v>5207</v>
      </c>
      <c r="Q81" s="9" t="s">
        <v>33</v>
      </c>
    </row>
    <row r="82" spans="1:17">
      <c r="A82" s="20">
        <v>78</v>
      </c>
      <c r="B82" s="20">
        <v>2022</v>
      </c>
      <c r="C82" s="96">
        <v>44712</v>
      </c>
      <c r="D82" s="97" t="s">
        <v>2334</v>
      </c>
      <c r="E82" s="20">
        <v>1</v>
      </c>
      <c r="F82" s="20" t="s">
        <v>30</v>
      </c>
      <c r="G82" s="20">
        <v>35051</v>
      </c>
      <c r="H82" s="20" t="s">
        <v>61</v>
      </c>
      <c r="I82" s="20" t="s">
        <v>2315</v>
      </c>
      <c r="J82" s="20" t="s">
        <v>5253</v>
      </c>
      <c r="K82" s="20" t="s">
        <v>5254</v>
      </c>
      <c r="L82" s="20">
        <v>1</v>
      </c>
      <c r="M82" s="20">
        <v>0</v>
      </c>
      <c r="N82" s="20">
        <v>12794217</v>
      </c>
      <c r="O82" s="20" t="s">
        <v>5255</v>
      </c>
      <c r="P82" s="20" t="s">
        <v>5207</v>
      </c>
      <c r="Q82" s="9" t="s">
        <v>33</v>
      </c>
    </row>
    <row r="83" spans="1:17">
      <c r="A83" s="20">
        <v>78</v>
      </c>
      <c r="B83" s="20">
        <v>2022</v>
      </c>
      <c r="C83" s="96">
        <v>44712</v>
      </c>
      <c r="D83" s="97" t="s">
        <v>2334</v>
      </c>
      <c r="E83" s="20">
        <v>1</v>
      </c>
      <c r="F83" s="20" t="s">
        <v>30</v>
      </c>
      <c r="G83" s="20">
        <v>35051</v>
      </c>
      <c r="H83" s="20" t="s">
        <v>61</v>
      </c>
      <c r="I83" s="20" t="s">
        <v>2315</v>
      </c>
      <c r="J83" s="20" t="s">
        <v>5223</v>
      </c>
      <c r="K83" s="20" t="s">
        <v>5224</v>
      </c>
      <c r="L83" s="20">
        <v>0</v>
      </c>
      <c r="M83" s="20">
        <v>1</v>
      </c>
      <c r="N83" s="20">
        <v>18488164</v>
      </c>
      <c r="O83" s="20" t="s">
        <v>5206</v>
      </c>
      <c r="P83" s="20" t="s">
        <v>5207</v>
      </c>
      <c r="Q83" s="9" t="s">
        <v>33</v>
      </c>
    </row>
    <row r="84" spans="1:17">
      <c r="A84" s="20">
        <v>78</v>
      </c>
      <c r="B84" s="20">
        <v>2022</v>
      </c>
      <c r="C84" s="96">
        <v>44712</v>
      </c>
      <c r="D84" s="97" t="s">
        <v>2334</v>
      </c>
      <c r="E84" s="20">
        <v>1</v>
      </c>
      <c r="F84" s="20" t="s">
        <v>30</v>
      </c>
      <c r="G84" s="20">
        <v>35051</v>
      </c>
      <c r="H84" s="20" t="s">
        <v>61</v>
      </c>
      <c r="I84" s="20" t="s">
        <v>2315</v>
      </c>
      <c r="J84" s="20" t="s">
        <v>5218</v>
      </c>
      <c r="K84" s="20" t="s">
        <v>5219</v>
      </c>
      <c r="L84" s="20">
        <v>0</v>
      </c>
      <c r="M84" s="20">
        <v>1</v>
      </c>
      <c r="N84" s="20">
        <v>28116708</v>
      </c>
      <c r="O84" s="20" t="s">
        <v>5220</v>
      </c>
      <c r="P84" s="20" t="s">
        <v>5207</v>
      </c>
      <c r="Q84" s="9" t="s">
        <v>20</v>
      </c>
    </row>
    <row r="85" spans="1:17">
      <c r="A85" s="20">
        <v>78</v>
      </c>
      <c r="B85" s="20">
        <v>2022</v>
      </c>
      <c r="C85" s="96">
        <v>44712</v>
      </c>
      <c r="D85" s="97" t="s">
        <v>2334</v>
      </c>
      <c r="E85" s="20">
        <v>1</v>
      </c>
      <c r="F85" s="20" t="s">
        <v>30</v>
      </c>
      <c r="G85" s="20">
        <v>35051</v>
      </c>
      <c r="H85" s="20" t="s">
        <v>61</v>
      </c>
      <c r="I85" s="20" t="s">
        <v>2315</v>
      </c>
      <c r="J85" s="20" t="s">
        <v>5283</v>
      </c>
      <c r="K85" s="20" t="s">
        <v>5284</v>
      </c>
      <c r="L85" s="20">
        <v>0</v>
      </c>
      <c r="M85" s="20">
        <v>1</v>
      </c>
      <c r="N85" s="20">
        <v>33592427</v>
      </c>
      <c r="O85" s="20" t="s">
        <v>5206</v>
      </c>
      <c r="P85" s="20" t="s">
        <v>5207</v>
      </c>
      <c r="Q85" s="9" t="s">
        <v>33</v>
      </c>
    </row>
    <row r="86" spans="1:17">
      <c r="A86" s="20">
        <v>78</v>
      </c>
      <c r="B86" s="20">
        <v>2022</v>
      </c>
      <c r="C86" s="96">
        <v>44712</v>
      </c>
      <c r="D86" s="97" t="s">
        <v>2334</v>
      </c>
      <c r="E86" s="20">
        <v>1</v>
      </c>
      <c r="F86" s="20" t="s">
        <v>30</v>
      </c>
      <c r="G86" s="20">
        <v>35051</v>
      </c>
      <c r="H86" s="20" t="s">
        <v>61</v>
      </c>
      <c r="I86" s="20" t="s">
        <v>2315</v>
      </c>
      <c r="J86" s="20" t="s">
        <v>5211</v>
      </c>
      <c r="K86" s="20" t="s">
        <v>5212</v>
      </c>
      <c r="L86" s="20">
        <v>0</v>
      </c>
      <c r="M86" s="20">
        <v>1</v>
      </c>
      <c r="N86" s="20">
        <v>16885984</v>
      </c>
      <c r="O86" s="20" t="s">
        <v>5206</v>
      </c>
      <c r="P86" s="98" t="s">
        <v>5207</v>
      </c>
      <c r="Q86" s="9" t="s">
        <v>33</v>
      </c>
    </row>
    <row r="87" spans="1:17">
      <c r="A87" s="20">
        <v>78</v>
      </c>
      <c r="B87" s="20">
        <v>2022</v>
      </c>
      <c r="C87" s="96">
        <v>44712</v>
      </c>
      <c r="D87" s="97" t="s">
        <v>2334</v>
      </c>
      <c r="E87" s="20">
        <v>1</v>
      </c>
      <c r="F87" s="20" t="s">
        <v>30</v>
      </c>
      <c r="G87" s="20">
        <v>35051</v>
      </c>
      <c r="H87" s="20" t="s">
        <v>61</v>
      </c>
      <c r="I87" s="20" t="s">
        <v>2315</v>
      </c>
      <c r="J87" s="20" t="s">
        <v>5273</v>
      </c>
      <c r="K87" s="20" t="s">
        <v>5274</v>
      </c>
      <c r="L87" s="20">
        <v>0</v>
      </c>
      <c r="M87" s="20">
        <v>1</v>
      </c>
      <c r="N87" s="20">
        <v>18525288</v>
      </c>
      <c r="O87" s="20" t="s">
        <v>5206</v>
      </c>
      <c r="P87" s="98" t="s">
        <v>5207</v>
      </c>
      <c r="Q87" s="9" t="s">
        <v>33</v>
      </c>
    </row>
    <row r="88" spans="1:17">
      <c r="A88" s="20">
        <v>78</v>
      </c>
      <c r="B88" s="20">
        <v>2022</v>
      </c>
      <c r="C88" s="96">
        <v>44712</v>
      </c>
      <c r="D88" s="97" t="s">
        <v>2334</v>
      </c>
      <c r="E88" s="20">
        <v>1</v>
      </c>
      <c r="F88" s="20" t="s">
        <v>30</v>
      </c>
      <c r="G88" s="20">
        <v>35051</v>
      </c>
      <c r="H88" s="20" t="s">
        <v>61</v>
      </c>
      <c r="I88" s="20" t="s">
        <v>2315</v>
      </c>
      <c r="J88" s="20" t="s">
        <v>5277</v>
      </c>
      <c r="K88" s="20" t="s">
        <v>5278</v>
      </c>
      <c r="L88" s="20">
        <v>0</v>
      </c>
      <c r="M88" s="20">
        <v>1</v>
      </c>
      <c r="N88" s="20">
        <v>32426838</v>
      </c>
      <c r="O88" s="20" t="s">
        <v>5255</v>
      </c>
      <c r="P88" s="20" t="s">
        <v>5207</v>
      </c>
      <c r="Q88" s="9" t="s">
        <v>33</v>
      </c>
    </row>
    <row r="89" spans="1:17">
      <c r="A89" s="20">
        <v>78</v>
      </c>
      <c r="B89" s="20">
        <v>2022</v>
      </c>
      <c r="C89" s="96">
        <v>44712</v>
      </c>
      <c r="D89" s="97" t="s">
        <v>2334</v>
      </c>
      <c r="E89" s="20">
        <v>1</v>
      </c>
      <c r="F89" s="20" t="s">
        <v>30</v>
      </c>
      <c r="G89" s="20">
        <v>35051</v>
      </c>
      <c r="H89" s="20" t="s">
        <v>61</v>
      </c>
      <c r="I89" s="20" t="s">
        <v>2315</v>
      </c>
      <c r="J89" s="98" t="s">
        <v>5225</v>
      </c>
      <c r="K89" s="98" t="s">
        <v>5226</v>
      </c>
      <c r="L89" s="98">
        <v>0</v>
      </c>
      <c r="M89" s="98">
        <v>1</v>
      </c>
      <c r="N89" s="98">
        <v>25858534</v>
      </c>
      <c r="O89" s="98" t="s">
        <v>5206</v>
      </c>
      <c r="P89" s="98" t="s">
        <v>5217</v>
      </c>
      <c r="Q89" s="9" t="s">
        <v>33</v>
      </c>
    </row>
    <row r="90" spans="1:17">
      <c r="A90" s="20">
        <v>78</v>
      </c>
      <c r="B90" s="20">
        <v>2022</v>
      </c>
      <c r="C90" s="96">
        <v>44712</v>
      </c>
      <c r="D90" s="97" t="s">
        <v>2334</v>
      </c>
      <c r="E90" s="20">
        <v>1</v>
      </c>
      <c r="F90" s="20" t="s">
        <v>30</v>
      </c>
      <c r="G90" s="20">
        <v>35051</v>
      </c>
      <c r="H90" s="20" t="s">
        <v>61</v>
      </c>
      <c r="I90" s="20" t="s">
        <v>2315</v>
      </c>
      <c r="J90" s="98" t="s">
        <v>5227</v>
      </c>
      <c r="K90" s="98" t="s">
        <v>5228</v>
      </c>
      <c r="L90" s="98">
        <v>0</v>
      </c>
      <c r="M90" s="98">
        <v>1</v>
      </c>
      <c r="N90" s="98">
        <v>12670333</v>
      </c>
      <c r="O90" s="98" t="s">
        <v>5229</v>
      </c>
      <c r="P90" s="98" t="s">
        <v>5217</v>
      </c>
      <c r="Q90" s="9" t="s">
        <v>33</v>
      </c>
    </row>
    <row r="91" spans="1:17">
      <c r="A91" s="20">
        <v>79</v>
      </c>
      <c r="B91" s="20">
        <v>2022</v>
      </c>
      <c r="C91" s="96">
        <v>44713</v>
      </c>
      <c r="D91" s="97" t="s">
        <v>53</v>
      </c>
      <c r="E91" s="20">
        <v>1</v>
      </c>
      <c r="F91" s="20" t="s">
        <v>30</v>
      </c>
      <c r="G91" s="20">
        <v>34930</v>
      </c>
      <c r="H91" s="20" t="s">
        <v>31</v>
      </c>
      <c r="I91" s="20" t="s">
        <v>2338</v>
      </c>
      <c r="J91" s="20" t="s">
        <v>5251</v>
      </c>
      <c r="K91" s="20" t="s">
        <v>5252</v>
      </c>
      <c r="L91" s="20">
        <v>0</v>
      </c>
      <c r="M91" s="20">
        <v>1</v>
      </c>
      <c r="N91" s="20">
        <v>30643373</v>
      </c>
      <c r="O91" s="20" t="s">
        <v>5206</v>
      </c>
      <c r="P91" s="98" t="s">
        <v>5207</v>
      </c>
      <c r="Q91" s="9" t="s">
        <v>33</v>
      </c>
    </row>
    <row r="92" spans="1:17">
      <c r="A92" s="20">
        <v>79</v>
      </c>
      <c r="B92" s="20">
        <v>2022</v>
      </c>
      <c r="C92" s="96">
        <v>44713</v>
      </c>
      <c r="D92" s="97" t="s">
        <v>53</v>
      </c>
      <c r="E92" s="20">
        <v>1</v>
      </c>
      <c r="F92" s="20" t="s">
        <v>30</v>
      </c>
      <c r="G92" s="20">
        <v>34930</v>
      </c>
      <c r="H92" s="20" t="s">
        <v>31</v>
      </c>
      <c r="I92" s="20" t="s">
        <v>2338</v>
      </c>
      <c r="J92" s="20" t="s">
        <v>5245</v>
      </c>
      <c r="K92" s="20" t="s">
        <v>5246</v>
      </c>
      <c r="L92" s="20">
        <v>0</v>
      </c>
      <c r="M92" s="20">
        <v>1</v>
      </c>
      <c r="N92" s="20">
        <v>37287279</v>
      </c>
      <c r="O92" s="20" t="s">
        <v>5206</v>
      </c>
      <c r="P92" s="98" t="s">
        <v>5207</v>
      </c>
      <c r="Q92" s="9" t="s">
        <v>33</v>
      </c>
    </row>
    <row r="93" spans="1:17">
      <c r="A93" s="20">
        <v>79</v>
      </c>
      <c r="B93" s="20">
        <v>2022</v>
      </c>
      <c r="C93" s="96">
        <v>44713</v>
      </c>
      <c r="D93" s="97" t="s">
        <v>53</v>
      </c>
      <c r="E93" s="20">
        <v>1</v>
      </c>
      <c r="F93" s="20" t="s">
        <v>30</v>
      </c>
      <c r="G93" s="20">
        <v>34930</v>
      </c>
      <c r="H93" s="20" t="s">
        <v>31</v>
      </c>
      <c r="I93" s="20" t="s">
        <v>2338</v>
      </c>
      <c r="J93" s="20" t="s">
        <v>5253</v>
      </c>
      <c r="K93" s="20" t="s">
        <v>5254</v>
      </c>
      <c r="L93" s="20">
        <v>1</v>
      </c>
      <c r="M93" s="20">
        <v>0</v>
      </c>
      <c r="N93" s="20">
        <v>12794217</v>
      </c>
      <c r="O93" s="20" t="s">
        <v>5255</v>
      </c>
      <c r="P93" s="20" t="s">
        <v>5207</v>
      </c>
      <c r="Q93" s="9" t="s">
        <v>33</v>
      </c>
    </row>
    <row r="94" spans="1:17">
      <c r="A94" s="20">
        <v>79</v>
      </c>
      <c r="B94" s="20">
        <v>2022</v>
      </c>
      <c r="C94" s="96">
        <v>44713</v>
      </c>
      <c r="D94" s="97" t="s">
        <v>53</v>
      </c>
      <c r="E94" s="20">
        <v>1</v>
      </c>
      <c r="F94" s="20" t="s">
        <v>30</v>
      </c>
      <c r="G94" s="20">
        <v>34930</v>
      </c>
      <c r="H94" s="20" t="s">
        <v>31</v>
      </c>
      <c r="I94" s="20" t="s">
        <v>2338</v>
      </c>
      <c r="J94" s="20" t="s">
        <v>5208</v>
      </c>
      <c r="K94" s="20" t="s">
        <v>5209</v>
      </c>
      <c r="L94" s="20">
        <v>0</v>
      </c>
      <c r="M94" s="20">
        <v>1</v>
      </c>
      <c r="N94" s="20">
        <v>16430626</v>
      </c>
      <c r="O94" s="20" t="s">
        <v>5210</v>
      </c>
      <c r="P94" s="20" t="s">
        <v>5207</v>
      </c>
      <c r="Q94" s="9" t="s">
        <v>33</v>
      </c>
    </row>
    <row r="95" spans="1:17">
      <c r="A95" s="20">
        <v>79</v>
      </c>
      <c r="B95" s="20">
        <v>2022</v>
      </c>
      <c r="C95" s="96">
        <v>44713</v>
      </c>
      <c r="D95" s="97" t="s">
        <v>53</v>
      </c>
      <c r="E95" s="20">
        <v>1</v>
      </c>
      <c r="F95" s="20" t="s">
        <v>30</v>
      </c>
      <c r="G95" s="20">
        <v>34930</v>
      </c>
      <c r="H95" s="20" t="s">
        <v>31</v>
      </c>
      <c r="I95" s="20" t="s">
        <v>2338</v>
      </c>
      <c r="J95" s="20" t="s">
        <v>5285</v>
      </c>
      <c r="K95" s="20" t="s">
        <v>5286</v>
      </c>
      <c r="L95" s="20">
        <v>0</v>
      </c>
      <c r="M95" s="20">
        <v>1</v>
      </c>
      <c r="N95" s="20">
        <v>24473674</v>
      </c>
      <c r="O95" s="20" t="s">
        <v>5206</v>
      </c>
      <c r="P95" s="20" t="s">
        <v>5207</v>
      </c>
      <c r="Q95" s="9" t="s">
        <v>33</v>
      </c>
    </row>
    <row r="96" spans="1:17">
      <c r="A96" s="20">
        <v>79</v>
      </c>
      <c r="B96" s="20">
        <v>2022</v>
      </c>
      <c r="C96" s="96">
        <v>44713</v>
      </c>
      <c r="D96" s="97" t="s">
        <v>53</v>
      </c>
      <c r="E96" s="20">
        <v>1</v>
      </c>
      <c r="F96" s="20" t="s">
        <v>30</v>
      </c>
      <c r="G96" s="20">
        <v>34930</v>
      </c>
      <c r="H96" s="20" t="s">
        <v>31</v>
      </c>
      <c r="I96" s="20" t="s">
        <v>2338</v>
      </c>
      <c r="J96" s="20" t="s">
        <v>5247</v>
      </c>
      <c r="K96" s="20" t="s">
        <v>5248</v>
      </c>
      <c r="L96" s="20">
        <v>1</v>
      </c>
      <c r="M96" s="20">
        <v>0</v>
      </c>
      <c r="N96" s="20">
        <v>27498041</v>
      </c>
      <c r="O96" s="20" t="s">
        <v>5206</v>
      </c>
      <c r="P96" s="20" t="s">
        <v>5207</v>
      </c>
      <c r="Q96" s="9" t="s">
        <v>33</v>
      </c>
    </row>
    <row r="97" spans="1:17">
      <c r="A97" s="20">
        <v>79</v>
      </c>
      <c r="B97" s="20">
        <v>2022</v>
      </c>
      <c r="C97" s="96">
        <v>44713</v>
      </c>
      <c r="D97" s="97" t="s">
        <v>53</v>
      </c>
      <c r="E97" s="20">
        <v>1</v>
      </c>
      <c r="F97" s="20" t="s">
        <v>30</v>
      </c>
      <c r="G97" s="20">
        <v>34930</v>
      </c>
      <c r="H97" s="20" t="s">
        <v>31</v>
      </c>
      <c r="I97" s="20" t="s">
        <v>2338</v>
      </c>
      <c r="J97" s="20" t="s">
        <v>5283</v>
      </c>
      <c r="K97" s="20" t="s">
        <v>5284</v>
      </c>
      <c r="L97" s="20">
        <v>0</v>
      </c>
      <c r="M97" s="20">
        <v>1</v>
      </c>
      <c r="N97" s="20">
        <v>33592427</v>
      </c>
      <c r="O97" s="20" t="s">
        <v>5206</v>
      </c>
      <c r="P97" s="20" t="s">
        <v>5207</v>
      </c>
      <c r="Q97" s="9" t="s">
        <v>33</v>
      </c>
    </row>
    <row r="98" spans="1:17">
      <c r="A98" s="20">
        <v>79</v>
      </c>
      <c r="B98" s="20">
        <v>2022</v>
      </c>
      <c r="C98" s="96">
        <v>44713</v>
      </c>
      <c r="D98" s="97" t="s">
        <v>53</v>
      </c>
      <c r="E98" s="20">
        <v>1</v>
      </c>
      <c r="F98" s="20" t="s">
        <v>30</v>
      </c>
      <c r="G98" s="20">
        <v>34930</v>
      </c>
      <c r="H98" s="20" t="s">
        <v>31</v>
      </c>
      <c r="I98" s="20" t="s">
        <v>2338</v>
      </c>
      <c r="J98" s="98" t="s">
        <v>5230</v>
      </c>
      <c r="K98" s="98" t="s">
        <v>5231</v>
      </c>
      <c r="L98" s="98">
        <v>0</v>
      </c>
      <c r="M98" s="98">
        <v>1</v>
      </c>
      <c r="N98" s="98">
        <v>12334380</v>
      </c>
      <c r="O98" s="98" t="s">
        <v>5206</v>
      </c>
      <c r="P98" s="98" t="s">
        <v>5221</v>
      </c>
      <c r="Q98" s="9" t="s">
        <v>22</v>
      </c>
    </row>
    <row r="99" spans="1:17">
      <c r="A99" s="20">
        <v>79</v>
      </c>
      <c r="B99" s="20">
        <v>2022</v>
      </c>
      <c r="C99" s="96">
        <v>44713</v>
      </c>
      <c r="D99" s="97" t="s">
        <v>53</v>
      </c>
      <c r="E99" s="20">
        <v>2</v>
      </c>
      <c r="F99" s="20" t="s">
        <v>30</v>
      </c>
      <c r="G99" s="20">
        <v>35067</v>
      </c>
      <c r="H99" s="20" t="s">
        <v>31</v>
      </c>
      <c r="I99" s="20" t="s">
        <v>2341</v>
      </c>
      <c r="J99" s="20" t="s">
        <v>5251</v>
      </c>
      <c r="K99" s="20" t="s">
        <v>5252</v>
      </c>
      <c r="L99" s="20">
        <v>0</v>
      </c>
      <c r="M99" s="20">
        <v>1</v>
      </c>
      <c r="N99" s="20">
        <v>30643373</v>
      </c>
      <c r="O99" s="20" t="s">
        <v>5206</v>
      </c>
      <c r="P99" s="98" t="s">
        <v>5207</v>
      </c>
      <c r="Q99" s="9" t="s">
        <v>33</v>
      </c>
    </row>
    <row r="100" spans="1:17">
      <c r="A100" s="20">
        <v>79</v>
      </c>
      <c r="B100" s="20">
        <v>2022</v>
      </c>
      <c r="C100" s="96">
        <v>44713</v>
      </c>
      <c r="D100" s="97" t="s">
        <v>53</v>
      </c>
      <c r="E100" s="20">
        <v>2</v>
      </c>
      <c r="F100" s="20" t="s">
        <v>30</v>
      </c>
      <c r="G100" s="20">
        <v>35067</v>
      </c>
      <c r="H100" s="20" t="s">
        <v>31</v>
      </c>
      <c r="I100" s="20" t="s">
        <v>2341</v>
      </c>
      <c r="J100" s="20" t="s">
        <v>5245</v>
      </c>
      <c r="K100" s="20" t="s">
        <v>5246</v>
      </c>
      <c r="L100" s="20">
        <v>0</v>
      </c>
      <c r="M100" s="20">
        <v>1</v>
      </c>
      <c r="N100" s="20">
        <v>37287279</v>
      </c>
      <c r="O100" s="20" t="s">
        <v>5206</v>
      </c>
      <c r="P100" s="98" t="s">
        <v>5207</v>
      </c>
      <c r="Q100" s="9" t="s">
        <v>33</v>
      </c>
    </row>
    <row r="101" spans="1:17">
      <c r="A101" s="20">
        <v>79</v>
      </c>
      <c r="B101" s="20">
        <v>2022</v>
      </c>
      <c r="C101" s="96">
        <v>44713</v>
      </c>
      <c r="D101" s="97" t="s">
        <v>53</v>
      </c>
      <c r="E101" s="20">
        <v>2</v>
      </c>
      <c r="F101" s="20" t="s">
        <v>30</v>
      </c>
      <c r="G101" s="20">
        <v>35067</v>
      </c>
      <c r="H101" s="20" t="s">
        <v>31</v>
      </c>
      <c r="I101" s="20" t="s">
        <v>2341</v>
      </c>
      <c r="J101" s="20" t="s">
        <v>5253</v>
      </c>
      <c r="K101" s="20" t="s">
        <v>5254</v>
      </c>
      <c r="L101" s="20">
        <v>1</v>
      </c>
      <c r="M101" s="20">
        <v>0</v>
      </c>
      <c r="N101" s="20">
        <v>12794217</v>
      </c>
      <c r="O101" s="20" t="s">
        <v>5255</v>
      </c>
      <c r="P101" s="20" t="s">
        <v>5207</v>
      </c>
      <c r="Q101" s="9" t="s">
        <v>20</v>
      </c>
    </row>
    <row r="102" spans="1:17">
      <c r="A102" s="20">
        <v>79</v>
      </c>
      <c r="B102" s="20">
        <v>2022</v>
      </c>
      <c r="C102" s="96">
        <v>44713</v>
      </c>
      <c r="D102" s="97" t="s">
        <v>53</v>
      </c>
      <c r="E102" s="20">
        <v>2</v>
      </c>
      <c r="F102" s="20" t="s">
        <v>30</v>
      </c>
      <c r="G102" s="20">
        <v>35067</v>
      </c>
      <c r="H102" s="20" t="s">
        <v>31</v>
      </c>
      <c r="I102" s="20" t="s">
        <v>2341</v>
      </c>
      <c r="J102" s="20" t="s">
        <v>5208</v>
      </c>
      <c r="K102" s="20" t="s">
        <v>5209</v>
      </c>
      <c r="L102" s="20">
        <v>0</v>
      </c>
      <c r="M102" s="20">
        <v>1</v>
      </c>
      <c r="N102" s="20">
        <v>16430626</v>
      </c>
      <c r="O102" s="20" t="s">
        <v>5210</v>
      </c>
      <c r="P102" s="20" t="s">
        <v>5207</v>
      </c>
      <c r="Q102" s="9" t="s">
        <v>33</v>
      </c>
    </row>
    <row r="103" spans="1:17">
      <c r="A103" s="20">
        <v>79</v>
      </c>
      <c r="B103" s="20">
        <v>2022</v>
      </c>
      <c r="C103" s="96">
        <v>44713</v>
      </c>
      <c r="D103" s="97" t="s">
        <v>53</v>
      </c>
      <c r="E103" s="20">
        <v>2</v>
      </c>
      <c r="F103" s="20" t="s">
        <v>30</v>
      </c>
      <c r="G103" s="20">
        <v>35067</v>
      </c>
      <c r="H103" s="20" t="s">
        <v>31</v>
      </c>
      <c r="I103" s="20" t="s">
        <v>2341</v>
      </c>
      <c r="J103" s="20" t="s">
        <v>5285</v>
      </c>
      <c r="K103" s="20" t="s">
        <v>5286</v>
      </c>
      <c r="L103" s="20">
        <v>0</v>
      </c>
      <c r="M103" s="20">
        <v>1</v>
      </c>
      <c r="N103" s="20">
        <v>24473674</v>
      </c>
      <c r="O103" s="20" t="s">
        <v>5206</v>
      </c>
      <c r="P103" s="20" t="s">
        <v>5207</v>
      </c>
      <c r="Q103" s="9" t="s">
        <v>33</v>
      </c>
    </row>
    <row r="104" spans="1:17">
      <c r="A104" s="20">
        <v>79</v>
      </c>
      <c r="B104" s="20">
        <v>2022</v>
      </c>
      <c r="C104" s="96">
        <v>44713</v>
      </c>
      <c r="D104" s="97" t="s">
        <v>53</v>
      </c>
      <c r="E104" s="20">
        <v>2</v>
      </c>
      <c r="F104" s="20" t="s">
        <v>30</v>
      </c>
      <c r="G104" s="20">
        <v>35067</v>
      </c>
      <c r="H104" s="20" t="s">
        <v>31</v>
      </c>
      <c r="I104" s="20" t="s">
        <v>2341</v>
      </c>
      <c r="J104" s="20" t="s">
        <v>5247</v>
      </c>
      <c r="K104" s="20" t="s">
        <v>5248</v>
      </c>
      <c r="L104" s="20">
        <v>1</v>
      </c>
      <c r="M104" s="20">
        <v>0</v>
      </c>
      <c r="N104" s="20">
        <v>27498041</v>
      </c>
      <c r="O104" s="20" t="s">
        <v>5206</v>
      </c>
      <c r="P104" s="20" t="s">
        <v>5207</v>
      </c>
      <c r="Q104" s="9" t="s">
        <v>33</v>
      </c>
    </row>
    <row r="105" spans="1:17">
      <c r="A105" s="20">
        <v>79</v>
      </c>
      <c r="B105" s="20">
        <v>2022</v>
      </c>
      <c r="C105" s="96">
        <v>44713</v>
      </c>
      <c r="D105" s="97" t="s">
        <v>53</v>
      </c>
      <c r="E105" s="20">
        <v>2</v>
      </c>
      <c r="F105" s="20" t="s">
        <v>30</v>
      </c>
      <c r="G105" s="20">
        <v>35067</v>
      </c>
      <c r="H105" s="20" t="s">
        <v>31</v>
      </c>
      <c r="I105" s="20" t="s">
        <v>2341</v>
      </c>
      <c r="J105" s="20" t="s">
        <v>5283</v>
      </c>
      <c r="K105" s="20" t="s">
        <v>5284</v>
      </c>
      <c r="L105" s="20">
        <v>0</v>
      </c>
      <c r="M105" s="20">
        <v>1</v>
      </c>
      <c r="N105" s="20">
        <v>33592427</v>
      </c>
      <c r="O105" s="20" t="s">
        <v>5206</v>
      </c>
      <c r="P105" s="20" t="s">
        <v>5207</v>
      </c>
      <c r="Q105" s="9" t="s">
        <v>33</v>
      </c>
    </row>
    <row r="106" spans="1:17">
      <c r="A106" s="20">
        <v>79</v>
      </c>
      <c r="B106" s="20">
        <v>2022</v>
      </c>
      <c r="C106" s="96">
        <v>44713</v>
      </c>
      <c r="D106" s="97" t="s">
        <v>53</v>
      </c>
      <c r="E106" s="20">
        <v>2</v>
      </c>
      <c r="F106" s="20" t="s">
        <v>30</v>
      </c>
      <c r="G106" s="20">
        <v>35067</v>
      </c>
      <c r="H106" s="20" t="s">
        <v>31</v>
      </c>
      <c r="I106" s="20" t="s">
        <v>2341</v>
      </c>
      <c r="J106" s="98" t="s">
        <v>5230</v>
      </c>
      <c r="K106" s="98" t="s">
        <v>5231</v>
      </c>
      <c r="L106" s="98">
        <v>0</v>
      </c>
      <c r="M106" s="98">
        <v>1</v>
      </c>
      <c r="N106" s="98">
        <v>12334380</v>
      </c>
      <c r="O106" s="98" t="s">
        <v>5206</v>
      </c>
      <c r="P106" s="98" t="s">
        <v>5221</v>
      </c>
      <c r="Q106" s="9" t="s">
        <v>22</v>
      </c>
    </row>
    <row r="107" spans="1:17">
      <c r="A107" s="20">
        <v>79</v>
      </c>
      <c r="B107" s="20">
        <v>2022</v>
      </c>
      <c r="C107" s="96">
        <v>44713</v>
      </c>
      <c r="D107" s="97" t="s">
        <v>53</v>
      </c>
      <c r="E107" s="20">
        <v>3</v>
      </c>
      <c r="F107" s="20" t="s">
        <v>30</v>
      </c>
      <c r="G107" s="20">
        <v>35051</v>
      </c>
      <c r="H107" s="20" t="s">
        <v>61</v>
      </c>
      <c r="I107" s="20" t="s">
        <v>2342</v>
      </c>
      <c r="J107" s="20" t="s">
        <v>5251</v>
      </c>
      <c r="K107" s="20" t="s">
        <v>5252</v>
      </c>
      <c r="L107" s="20">
        <v>0</v>
      </c>
      <c r="M107" s="20">
        <v>1</v>
      </c>
      <c r="N107" s="20">
        <v>30643373</v>
      </c>
      <c r="O107" s="20" t="s">
        <v>5206</v>
      </c>
      <c r="P107" s="98" t="s">
        <v>5207</v>
      </c>
      <c r="Q107" s="9" t="s">
        <v>33</v>
      </c>
    </row>
    <row r="108" spans="1:17">
      <c r="A108" s="20">
        <v>79</v>
      </c>
      <c r="B108" s="20">
        <v>2022</v>
      </c>
      <c r="C108" s="96">
        <v>44713</v>
      </c>
      <c r="D108" s="97" t="s">
        <v>53</v>
      </c>
      <c r="E108" s="20">
        <v>3</v>
      </c>
      <c r="F108" s="20" t="s">
        <v>30</v>
      </c>
      <c r="G108" s="20">
        <v>35051</v>
      </c>
      <c r="H108" s="20" t="s">
        <v>61</v>
      </c>
      <c r="I108" s="20" t="s">
        <v>2342</v>
      </c>
      <c r="J108" s="20" t="s">
        <v>5245</v>
      </c>
      <c r="K108" s="20" t="s">
        <v>5246</v>
      </c>
      <c r="L108" s="20">
        <v>0</v>
      </c>
      <c r="M108" s="20">
        <v>1</v>
      </c>
      <c r="N108" s="20">
        <v>37287279</v>
      </c>
      <c r="O108" s="20" t="s">
        <v>5206</v>
      </c>
      <c r="P108" s="98" t="s">
        <v>5207</v>
      </c>
      <c r="Q108" s="9" t="s">
        <v>33</v>
      </c>
    </row>
    <row r="109" spans="1:17">
      <c r="A109" s="20">
        <v>79</v>
      </c>
      <c r="B109" s="20">
        <v>2022</v>
      </c>
      <c r="C109" s="96">
        <v>44713</v>
      </c>
      <c r="D109" s="97" t="s">
        <v>53</v>
      </c>
      <c r="E109" s="20">
        <v>3</v>
      </c>
      <c r="F109" s="20" t="s">
        <v>30</v>
      </c>
      <c r="G109" s="20">
        <v>35051</v>
      </c>
      <c r="H109" s="20" t="s">
        <v>61</v>
      </c>
      <c r="I109" s="20" t="s">
        <v>2342</v>
      </c>
      <c r="J109" s="20" t="s">
        <v>5253</v>
      </c>
      <c r="K109" s="20" t="s">
        <v>5254</v>
      </c>
      <c r="L109" s="20">
        <v>1</v>
      </c>
      <c r="M109" s="20">
        <v>0</v>
      </c>
      <c r="N109" s="20">
        <v>12794217</v>
      </c>
      <c r="O109" s="20" t="s">
        <v>5255</v>
      </c>
      <c r="P109" s="20" t="s">
        <v>5207</v>
      </c>
      <c r="Q109" s="9" t="s">
        <v>33</v>
      </c>
    </row>
    <row r="110" spans="1:17">
      <c r="A110" s="20">
        <v>79</v>
      </c>
      <c r="B110" s="20">
        <v>2022</v>
      </c>
      <c r="C110" s="96">
        <v>44713</v>
      </c>
      <c r="D110" s="97" t="s">
        <v>53</v>
      </c>
      <c r="E110" s="20">
        <v>3</v>
      </c>
      <c r="F110" s="20" t="s">
        <v>30</v>
      </c>
      <c r="G110" s="20">
        <v>35051</v>
      </c>
      <c r="H110" s="20" t="s">
        <v>61</v>
      </c>
      <c r="I110" s="20" t="s">
        <v>2342</v>
      </c>
      <c r="J110" s="20" t="s">
        <v>5208</v>
      </c>
      <c r="K110" s="20" t="s">
        <v>5209</v>
      </c>
      <c r="L110" s="20">
        <v>0</v>
      </c>
      <c r="M110" s="20">
        <v>1</v>
      </c>
      <c r="N110" s="20">
        <v>16430626</v>
      </c>
      <c r="O110" s="20" t="s">
        <v>5210</v>
      </c>
      <c r="P110" s="20" t="s">
        <v>5207</v>
      </c>
      <c r="Q110" s="9" t="s">
        <v>33</v>
      </c>
    </row>
    <row r="111" spans="1:17">
      <c r="A111" s="20">
        <v>79</v>
      </c>
      <c r="B111" s="20">
        <v>2022</v>
      </c>
      <c r="C111" s="96">
        <v>44713</v>
      </c>
      <c r="D111" s="97" t="s">
        <v>53</v>
      </c>
      <c r="E111" s="20">
        <v>3</v>
      </c>
      <c r="F111" s="20" t="s">
        <v>30</v>
      </c>
      <c r="G111" s="20">
        <v>35051</v>
      </c>
      <c r="H111" s="20" t="s">
        <v>61</v>
      </c>
      <c r="I111" s="20" t="s">
        <v>2342</v>
      </c>
      <c r="J111" s="20" t="s">
        <v>5285</v>
      </c>
      <c r="K111" s="20" t="s">
        <v>5286</v>
      </c>
      <c r="L111" s="20">
        <v>0</v>
      </c>
      <c r="M111" s="20">
        <v>1</v>
      </c>
      <c r="N111" s="20">
        <v>24473674</v>
      </c>
      <c r="O111" s="20" t="s">
        <v>5206</v>
      </c>
      <c r="P111" s="20" t="s">
        <v>5207</v>
      </c>
      <c r="Q111" s="9" t="s">
        <v>33</v>
      </c>
    </row>
    <row r="112" spans="1:17">
      <c r="A112" s="20">
        <v>79</v>
      </c>
      <c r="B112" s="20">
        <v>2022</v>
      </c>
      <c r="C112" s="96">
        <v>44713</v>
      </c>
      <c r="D112" s="97" t="s">
        <v>53</v>
      </c>
      <c r="E112" s="20">
        <v>3</v>
      </c>
      <c r="F112" s="20" t="s">
        <v>30</v>
      </c>
      <c r="G112" s="20">
        <v>35051</v>
      </c>
      <c r="H112" s="20" t="s">
        <v>61</v>
      </c>
      <c r="I112" s="20" t="s">
        <v>2342</v>
      </c>
      <c r="J112" s="20" t="s">
        <v>5247</v>
      </c>
      <c r="K112" s="20" t="s">
        <v>5248</v>
      </c>
      <c r="L112" s="20">
        <v>1</v>
      </c>
      <c r="M112" s="20">
        <v>0</v>
      </c>
      <c r="N112" s="20">
        <v>27498041</v>
      </c>
      <c r="O112" s="20" t="s">
        <v>5206</v>
      </c>
      <c r="P112" s="20" t="s">
        <v>5207</v>
      </c>
      <c r="Q112" s="9" t="s">
        <v>33</v>
      </c>
    </row>
    <row r="113" spans="1:17">
      <c r="A113" s="20">
        <v>79</v>
      </c>
      <c r="B113" s="20">
        <v>2022</v>
      </c>
      <c r="C113" s="96">
        <v>44713</v>
      </c>
      <c r="D113" s="97" t="s">
        <v>53</v>
      </c>
      <c r="E113" s="20">
        <v>3</v>
      </c>
      <c r="F113" s="20" t="s">
        <v>30</v>
      </c>
      <c r="G113" s="20">
        <v>35051</v>
      </c>
      <c r="H113" s="20" t="s">
        <v>61</v>
      </c>
      <c r="I113" s="20" t="s">
        <v>2342</v>
      </c>
      <c r="J113" s="20" t="s">
        <v>5283</v>
      </c>
      <c r="K113" s="20" t="s">
        <v>5284</v>
      </c>
      <c r="L113" s="20">
        <v>0</v>
      </c>
      <c r="M113" s="20">
        <v>1</v>
      </c>
      <c r="N113" s="20">
        <v>33592427</v>
      </c>
      <c r="O113" s="20" t="s">
        <v>5206</v>
      </c>
      <c r="P113" s="20" t="s">
        <v>5207</v>
      </c>
      <c r="Q113" s="9" t="s">
        <v>33</v>
      </c>
    </row>
    <row r="114" spans="1:17">
      <c r="A114" s="20">
        <v>79</v>
      </c>
      <c r="B114" s="20">
        <v>2022</v>
      </c>
      <c r="C114" s="96">
        <v>44713</v>
      </c>
      <c r="D114" s="97" t="s">
        <v>53</v>
      </c>
      <c r="E114" s="20">
        <v>3</v>
      </c>
      <c r="F114" s="20" t="s">
        <v>30</v>
      </c>
      <c r="G114" s="20">
        <v>35051</v>
      </c>
      <c r="H114" s="20" t="s">
        <v>61</v>
      </c>
      <c r="I114" s="20" t="s">
        <v>2342</v>
      </c>
      <c r="J114" s="98" t="s">
        <v>5230</v>
      </c>
      <c r="K114" s="98" t="s">
        <v>5231</v>
      </c>
      <c r="L114" s="98">
        <v>0</v>
      </c>
      <c r="M114" s="98">
        <v>1</v>
      </c>
      <c r="N114" s="98">
        <v>12334380</v>
      </c>
      <c r="O114" s="98" t="s">
        <v>5206</v>
      </c>
      <c r="P114" s="98" t="s">
        <v>5221</v>
      </c>
      <c r="Q114" s="9" t="s">
        <v>22</v>
      </c>
    </row>
    <row r="115" spans="1:17">
      <c r="A115" s="20">
        <v>81</v>
      </c>
      <c r="B115" s="20">
        <v>2022</v>
      </c>
      <c r="C115" s="96">
        <v>44719</v>
      </c>
      <c r="D115" s="97" t="s">
        <v>37</v>
      </c>
      <c r="E115" s="20">
        <v>1</v>
      </c>
      <c r="F115" s="20" t="s">
        <v>64</v>
      </c>
      <c r="G115" s="20">
        <v>35141</v>
      </c>
      <c r="H115" s="20" t="s">
        <v>31</v>
      </c>
      <c r="I115" s="20" t="s">
        <v>2347</v>
      </c>
      <c r="J115" s="20" t="s">
        <v>5232</v>
      </c>
      <c r="K115" s="20" t="s">
        <v>5233</v>
      </c>
      <c r="L115" s="20">
        <v>1</v>
      </c>
      <c r="M115" s="20">
        <v>0</v>
      </c>
      <c r="N115" s="20">
        <v>25565003</v>
      </c>
      <c r="O115" s="20" t="s">
        <v>5206</v>
      </c>
      <c r="P115" s="98" t="s">
        <v>5207</v>
      </c>
      <c r="Q115" s="9" t="s">
        <v>33</v>
      </c>
    </row>
    <row r="116" spans="1:17">
      <c r="A116" s="20">
        <v>81</v>
      </c>
      <c r="B116" s="20">
        <v>2022</v>
      </c>
      <c r="C116" s="96">
        <v>44719</v>
      </c>
      <c r="D116" s="97" t="s">
        <v>37</v>
      </c>
      <c r="E116" s="20">
        <v>1</v>
      </c>
      <c r="F116" s="20" t="s">
        <v>64</v>
      </c>
      <c r="G116" s="20">
        <v>35141</v>
      </c>
      <c r="H116" s="20" t="s">
        <v>31</v>
      </c>
      <c r="I116" s="20" t="s">
        <v>2347</v>
      </c>
      <c r="J116" s="20" t="s">
        <v>5204</v>
      </c>
      <c r="K116" s="20" t="s">
        <v>5205</v>
      </c>
      <c r="L116" s="20">
        <v>1</v>
      </c>
      <c r="M116" s="20">
        <v>0</v>
      </c>
      <c r="N116" s="20">
        <v>25633481</v>
      </c>
      <c r="O116" s="20" t="s">
        <v>5206</v>
      </c>
      <c r="P116" s="98" t="s">
        <v>5207</v>
      </c>
      <c r="Q116" s="9" t="s">
        <v>33</v>
      </c>
    </row>
    <row r="117" spans="1:17">
      <c r="A117" s="20">
        <v>81</v>
      </c>
      <c r="B117" s="20">
        <v>2022</v>
      </c>
      <c r="C117" s="96">
        <v>44719</v>
      </c>
      <c r="D117" s="97" t="s">
        <v>37</v>
      </c>
      <c r="E117" s="20">
        <v>1</v>
      </c>
      <c r="F117" s="20" t="s">
        <v>64</v>
      </c>
      <c r="G117" s="20">
        <v>35141</v>
      </c>
      <c r="H117" s="20" t="s">
        <v>31</v>
      </c>
      <c r="I117" s="20" t="s">
        <v>2347</v>
      </c>
      <c r="J117" s="20" t="s">
        <v>5234</v>
      </c>
      <c r="K117" s="20" t="s">
        <v>5235</v>
      </c>
      <c r="L117" s="20">
        <v>0</v>
      </c>
      <c r="M117" s="20">
        <v>1</v>
      </c>
      <c r="N117" s="20">
        <v>17325355</v>
      </c>
      <c r="O117" s="20" t="s">
        <v>5206</v>
      </c>
      <c r="P117" s="20" t="s">
        <v>5207</v>
      </c>
      <c r="Q117" s="9" t="s">
        <v>33</v>
      </c>
    </row>
    <row r="118" spans="1:17">
      <c r="A118" s="20">
        <v>81</v>
      </c>
      <c r="B118" s="20">
        <v>2022</v>
      </c>
      <c r="C118" s="96">
        <v>44719</v>
      </c>
      <c r="D118" s="97" t="s">
        <v>37</v>
      </c>
      <c r="E118" s="20">
        <v>1</v>
      </c>
      <c r="F118" s="20" t="s">
        <v>64</v>
      </c>
      <c r="G118" s="20">
        <v>35141</v>
      </c>
      <c r="H118" s="20" t="s">
        <v>31</v>
      </c>
      <c r="I118" s="20" t="s">
        <v>2347</v>
      </c>
      <c r="J118" s="20" t="s">
        <v>5236</v>
      </c>
      <c r="K118" s="20" t="s">
        <v>5237</v>
      </c>
      <c r="L118" s="20">
        <v>1</v>
      </c>
      <c r="M118" s="20">
        <v>0</v>
      </c>
      <c r="N118" s="20">
        <v>17628399</v>
      </c>
      <c r="O118" s="20" t="s">
        <v>5238</v>
      </c>
      <c r="P118" s="20" t="s">
        <v>5207</v>
      </c>
      <c r="Q118" s="9" t="s">
        <v>33</v>
      </c>
    </row>
    <row r="119" spans="1:17">
      <c r="A119" s="20">
        <v>81</v>
      </c>
      <c r="B119" s="20">
        <v>2022</v>
      </c>
      <c r="C119" s="96">
        <v>44719</v>
      </c>
      <c r="D119" s="97" t="s">
        <v>37</v>
      </c>
      <c r="E119" s="20">
        <v>1</v>
      </c>
      <c r="F119" s="20" t="s">
        <v>64</v>
      </c>
      <c r="G119" s="20">
        <v>35141</v>
      </c>
      <c r="H119" s="20" t="s">
        <v>31</v>
      </c>
      <c r="I119" s="20" t="s">
        <v>2347</v>
      </c>
      <c r="J119" s="20" t="s">
        <v>5239</v>
      </c>
      <c r="K119" s="20" t="s">
        <v>5240</v>
      </c>
      <c r="L119" s="20">
        <v>0</v>
      </c>
      <c r="M119" s="20">
        <v>1</v>
      </c>
      <c r="N119" s="20">
        <v>21391153</v>
      </c>
      <c r="O119" s="20" t="s">
        <v>5210</v>
      </c>
      <c r="P119" s="20" t="s">
        <v>5207</v>
      </c>
      <c r="Q119" s="9" t="s">
        <v>20</v>
      </c>
    </row>
    <row r="120" spans="1:17">
      <c r="A120" s="20">
        <v>81</v>
      </c>
      <c r="B120" s="20">
        <v>2022</v>
      </c>
      <c r="C120" s="96">
        <v>44719</v>
      </c>
      <c r="D120" s="97" t="s">
        <v>37</v>
      </c>
      <c r="E120" s="20">
        <v>1</v>
      </c>
      <c r="F120" s="20" t="s">
        <v>64</v>
      </c>
      <c r="G120" s="20">
        <v>35141</v>
      </c>
      <c r="H120" s="20" t="s">
        <v>31</v>
      </c>
      <c r="I120" s="20" t="s">
        <v>2347</v>
      </c>
      <c r="J120" s="20" t="s">
        <v>5241</v>
      </c>
      <c r="K120" s="20" t="s">
        <v>5242</v>
      </c>
      <c r="L120" s="20">
        <v>0</v>
      </c>
      <c r="M120" s="20">
        <v>1</v>
      </c>
      <c r="N120" s="20">
        <v>30167048</v>
      </c>
      <c r="O120" s="20" t="s">
        <v>5206</v>
      </c>
      <c r="P120" s="20" t="s">
        <v>5207</v>
      </c>
      <c r="Q120" s="9" t="s">
        <v>33</v>
      </c>
    </row>
    <row r="121" spans="1:17">
      <c r="A121" s="20">
        <v>81</v>
      </c>
      <c r="B121" s="20">
        <v>2022</v>
      </c>
      <c r="C121" s="96">
        <v>44719</v>
      </c>
      <c r="D121" s="97" t="s">
        <v>37</v>
      </c>
      <c r="E121" s="20">
        <v>1</v>
      </c>
      <c r="F121" s="20" t="s">
        <v>64</v>
      </c>
      <c r="G121" s="20">
        <v>35141</v>
      </c>
      <c r="H121" s="20" t="s">
        <v>31</v>
      </c>
      <c r="I121" s="20" t="s">
        <v>2347</v>
      </c>
      <c r="J121" s="20" t="s">
        <v>5243</v>
      </c>
      <c r="K121" s="20" t="s">
        <v>5244</v>
      </c>
      <c r="L121" s="20">
        <v>0</v>
      </c>
      <c r="M121" s="20">
        <v>1</v>
      </c>
      <c r="N121" s="20">
        <v>30682704</v>
      </c>
      <c r="O121" s="20" t="s">
        <v>5210</v>
      </c>
      <c r="P121" s="20" t="s">
        <v>5207</v>
      </c>
      <c r="Q121" s="9" t="s">
        <v>20</v>
      </c>
    </row>
    <row r="122" spans="1:17">
      <c r="A122" s="20">
        <v>81</v>
      </c>
      <c r="B122" s="20">
        <v>2022</v>
      </c>
      <c r="C122" s="96">
        <v>44719</v>
      </c>
      <c r="D122" s="97" t="s">
        <v>37</v>
      </c>
      <c r="E122" s="20">
        <v>1</v>
      </c>
      <c r="F122" s="20" t="s">
        <v>64</v>
      </c>
      <c r="G122" s="20">
        <v>35141</v>
      </c>
      <c r="H122" s="20" t="s">
        <v>31</v>
      </c>
      <c r="I122" s="20" t="s">
        <v>2347</v>
      </c>
      <c r="J122" s="20" t="s">
        <v>5245</v>
      </c>
      <c r="K122" s="20" t="s">
        <v>5246</v>
      </c>
      <c r="L122" s="20">
        <v>0</v>
      </c>
      <c r="M122" s="20">
        <v>1</v>
      </c>
      <c r="N122" s="20">
        <v>37287279</v>
      </c>
      <c r="O122" s="20" t="s">
        <v>5206</v>
      </c>
      <c r="P122" s="20" t="s">
        <v>5207</v>
      </c>
      <c r="Q122" s="9" t="s">
        <v>33</v>
      </c>
    </row>
    <row r="123" spans="1:17">
      <c r="A123" s="20">
        <v>81</v>
      </c>
      <c r="B123" s="20">
        <v>2022</v>
      </c>
      <c r="C123" s="96">
        <v>44719</v>
      </c>
      <c r="D123" s="97" t="s">
        <v>37</v>
      </c>
      <c r="E123" s="20">
        <v>1</v>
      </c>
      <c r="F123" s="20" t="s">
        <v>64</v>
      </c>
      <c r="G123" s="20">
        <v>35141</v>
      </c>
      <c r="H123" s="20" t="s">
        <v>31</v>
      </c>
      <c r="I123" s="20" t="s">
        <v>2347</v>
      </c>
      <c r="J123" s="98" t="s">
        <v>5273</v>
      </c>
      <c r="K123" s="98" t="s">
        <v>5274</v>
      </c>
      <c r="L123" s="98">
        <v>0</v>
      </c>
      <c r="M123" s="98">
        <v>1</v>
      </c>
      <c r="N123" s="98">
        <v>18525288</v>
      </c>
      <c r="O123" s="98" t="s">
        <v>5206</v>
      </c>
      <c r="P123" s="98" t="s">
        <v>5217</v>
      </c>
      <c r="Q123" s="9" t="s">
        <v>5222</v>
      </c>
    </row>
    <row r="124" spans="1:17">
      <c r="A124" s="20">
        <v>81</v>
      </c>
      <c r="B124" s="20">
        <v>2022</v>
      </c>
      <c r="C124" s="96">
        <v>44719</v>
      </c>
      <c r="D124" s="97" t="s">
        <v>37</v>
      </c>
      <c r="E124" s="20">
        <v>1</v>
      </c>
      <c r="F124" s="20" t="s">
        <v>64</v>
      </c>
      <c r="G124" s="20">
        <v>35141</v>
      </c>
      <c r="H124" s="20" t="s">
        <v>31</v>
      </c>
      <c r="I124" s="20" t="s">
        <v>2347</v>
      </c>
      <c r="J124" s="98" t="s">
        <v>5225</v>
      </c>
      <c r="K124" s="98" t="s">
        <v>5226</v>
      </c>
      <c r="L124" s="98">
        <v>0</v>
      </c>
      <c r="M124" s="98">
        <v>1</v>
      </c>
      <c r="N124" s="98">
        <v>25858534</v>
      </c>
      <c r="O124" s="98" t="s">
        <v>5206</v>
      </c>
      <c r="P124" s="98" t="s">
        <v>5221</v>
      </c>
      <c r="Q124" s="9" t="s">
        <v>22</v>
      </c>
    </row>
    <row r="125" spans="1:17">
      <c r="A125" s="20">
        <v>81</v>
      </c>
      <c r="B125" s="20">
        <v>2022</v>
      </c>
      <c r="C125" s="96">
        <v>44719</v>
      </c>
      <c r="D125" s="97" t="s">
        <v>37</v>
      </c>
      <c r="E125" s="20">
        <v>1</v>
      </c>
      <c r="F125" s="20" t="s">
        <v>64</v>
      </c>
      <c r="G125" s="20">
        <v>35141</v>
      </c>
      <c r="H125" s="20" t="s">
        <v>31</v>
      </c>
      <c r="I125" s="20" t="s">
        <v>2347</v>
      </c>
      <c r="J125" s="98" t="s">
        <v>5230</v>
      </c>
      <c r="K125" s="98" t="s">
        <v>5231</v>
      </c>
      <c r="L125" s="98">
        <v>0</v>
      </c>
      <c r="M125" s="98">
        <v>1</v>
      </c>
      <c r="N125" s="98">
        <v>12334380</v>
      </c>
      <c r="O125" s="98" t="s">
        <v>5206</v>
      </c>
      <c r="P125" s="98" t="s">
        <v>5221</v>
      </c>
      <c r="Q125" s="9" t="s">
        <v>22</v>
      </c>
    </row>
    <row r="126" spans="1:17">
      <c r="A126" s="20">
        <v>82</v>
      </c>
      <c r="B126" s="20">
        <v>2022</v>
      </c>
      <c r="C126" s="96">
        <v>44719</v>
      </c>
      <c r="D126" s="97" t="s">
        <v>2300</v>
      </c>
      <c r="E126" s="20">
        <v>1</v>
      </c>
      <c r="F126" s="20" t="s">
        <v>30</v>
      </c>
      <c r="G126" s="20">
        <v>29532</v>
      </c>
      <c r="H126" s="20" t="s">
        <v>61</v>
      </c>
      <c r="I126" s="20" t="s">
        <v>2351</v>
      </c>
      <c r="J126" s="20" t="s">
        <v>5251</v>
      </c>
      <c r="K126" s="20" t="s">
        <v>5252</v>
      </c>
      <c r="L126" s="20">
        <v>0</v>
      </c>
      <c r="M126" s="20">
        <v>1</v>
      </c>
      <c r="N126" s="20">
        <v>30643373</v>
      </c>
      <c r="O126" s="20" t="s">
        <v>5206</v>
      </c>
      <c r="P126" s="98" t="s">
        <v>5207</v>
      </c>
      <c r="Q126" s="9" t="s">
        <v>33</v>
      </c>
    </row>
    <row r="127" spans="1:17">
      <c r="A127" s="20">
        <v>82</v>
      </c>
      <c r="B127" s="20">
        <v>2022</v>
      </c>
      <c r="C127" s="96">
        <v>44719</v>
      </c>
      <c r="D127" s="97" t="s">
        <v>2300</v>
      </c>
      <c r="E127" s="20">
        <v>1</v>
      </c>
      <c r="F127" s="20" t="s">
        <v>30</v>
      </c>
      <c r="G127" s="20">
        <v>29532</v>
      </c>
      <c r="H127" s="20" t="s">
        <v>61</v>
      </c>
      <c r="I127" s="20" t="s">
        <v>2351</v>
      </c>
      <c r="J127" s="20" t="s">
        <v>5245</v>
      </c>
      <c r="K127" s="20" t="s">
        <v>5246</v>
      </c>
      <c r="L127" s="20">
        <v>0</v>
      </c>
      <c r="M127" s="20">
        <v>1</v>
      </c>
      <c r="N127" s="20">
        <v>37287279</v>
      </c>
      <c r="O127" s="20" t="s">
        <v>5206</v>
      </c>
      <c r="P127" s="98" t="s">
        <v>5207</v>
      </c>
      <c r="Q127" s="9" t="s">
        <v>33</v>
      </c>
    </row>
    <row r="128" spans="1:17">
      <c r="A128" s="20">
        <v>82</v>
      </c>
      <c r="B128" s="20">
        <v>2022</v>
      </c>
      <c r="C128" s="96">
        <v>44719</v>
      </c>
      <c r="D128" s="97" t="s">
        <v>2300</v>
      </c>
      <c r="E128" s="20">
        <v>1</v>
      </c>
      <c r="F128" s="20" t="s">
        <v>30</v>
      </c>
      <c r="G128" s="20">
        <v>29532</v>
      </c>
      <c r="H128" s="20" t="s">
        <v>61</v>
      </c>
      <c r="I128" s="20" t="s">
        <v>2351</v>
      </c>
      <c r="J128" s="20" t="s">
        <v>5253</v>
      </c>
      <c r="K128" s="20" t="s">
        <v>5254</v>
      </c>
      <c r="L128" s="20">
        <v>1</v>
      </c>
      <c r="M128" s="20">
        <v>0</v>
      </c>
      <c r="N128" s="20">
        <v>12794217</v>
      </c>
      <c r="O128" s="20" t="s">
        <v>5255</v>
      </c>
      <c r="P128" s="20" t="s">
        <v>5207</v>
      </c>
      <c r="Q128" s="98" t="s">
        <v>33</v>
      </c>
    </row>
    <row r="129" spans="1:17">
      <c r="A129" s="20">
        <v>82</v>
      </c>
      <c r="B129" s="20">
        <v>2022</v>
      </c>
      <c r="C129" s="96">
        <v>44719</v>
      </c>
      <c r="D129" s="97" t="s">
        <v>2300</v>
      </c>
      <c r="E129" s="20">
        <v>1</v>
      </c>
      <c r="F129" s="20" t="s">
        <v>30</v>
      </c>
      <c r="G129" s="20">
        <v>29532</v>
      </c>
      <c r="H129" s="20" t="s">
        <v>61</v>
      </c>
      <c r="I129" s="20" t="s">
        <v>2351</v>
      </c>
      <c r="J129" s="20" t="s">
        <v>5208</v>
      </c>
      <c r="K129" s="20" t="s">
        <v>5209</v>
      </c>
      <c r="L129" s="20">
        <v>0</v>
      </c>
      <c r="M129" s="20">
        <v>1</v>
      </c>
      <c r="N129" s="20">
        <v>16430626</v>
      </c>
      <c r="O129" s="20" t="s">
        <v>5210</v>
      </c>
      <c r="P129" s="20" t="s">
        <v>5207</v>
      </c>
      <c r="Q129" s="98" t="s">
        <v>33</v>
      </c>
    </row>
    <row r="130" spans="1:17">
      <c r="A130" s="20">
        <v>82</v>
      </c>
      <c r="B130" s="20">
        <v>2022</v>
      </c>
      <c r="C130" s="96">
        <v>44719</v>
      </c>
      <c r="D130" s="97" t="s">
        <v>2300</v>
      </c>
      <c r="E130" s="20">
        <v>1</v>
      </c>
      <c r="F130" s="20" t="s">
        <v>30</v>
      </c>
      <c r="G130" s="20">
        <v>29532</v>
      </c>
      <c r="H130" s="20" t="s">
        <v>61</v>
      </c>
      <c r="I130" s="20" t="s">
        <v>2351</v>
      </c>
      <c r="J130" s="20" t="s">
        <v>5285</v>
      </c>
      <c r="K130" s="20" t="s">
        <v>5286</v>
      </c>
      <c r="L130" s="20">
        <v>0</v>
      </c>
      <c r="M130" s="20">
        <v>1</v>
      </c>
      <c r="N130" s="20">
        <v>24473674</v>
      </c>
      <c r="O130" s="20" t="s">
        <v>5206</v>
      </c>
      <c r="P130" s="20" t="s">
        <v>5207</v>
      </c>
      <c r="Q130" s="98" t="s">
        <v>33</v>
      </c>
    </row>
    <row r="131" spans="1:17">
      <c r="A131" s="20">
        <v>82</v>
      </c>
      <c r="B131" s="20">
        <v>2022</v>
      </c>
      <c r="C131" s="96">
        <v>44719</v>
      </c>
      <c r="D131" s="97" t="s">
        <v>2300</v>
      </c>
      <c r="E131" s="20">
        <v>1</v>
      </c>
      <c r="F131" s="20" t="s">
        <v>30</v>
      </c>
      <c r="G131" s="20">
        <v>29532</v>
      </c>
      <c r="H131" s="20" t="s">
        <v>61</v>
      </c>
      <c r="I131" s="20" t="s">
        <v>2351</v>
      </c>
      <c r="J131" s="20" t="s">
        <v>5247</v>
      </c>
      <c r="K131" s="20" t="s">
        <v>5248</v>
      </c>
      <c r="L131" s="20">
        <v>1</v>
      </c>
      <c r="M131" s="20">
        <v>0</v>
      </c>
      <c r="N131" s="20">
        <v>27498041</v>
      </c>
      <c r="O131" s="20" t="s">
        <v>5206</v>
      </c>
      <c r="P131" s="20" t="s">
        <v>5207</v>
      </c>
      <c r="Q131" s="98" t="s">
        <v>33</v>
      </c>
    </row>
    <row r="132" spans="1:17">
      <c r="A132" s="20">
        <v>82</v>
      </c>
      <c r="B132" s="20">
        <v>2022</v>
      </c>
      <c r="C132" s="96">
        <v>44719</v>
      </c>
      <c r="D132" s="97" t="s">
        <v>2300</v>
      </c>
      <c r="E132" s="20">
        <v>1</v>
      </c>
      <c r="F132" s="20" t="s">
        <v>30</v>
      </c>
      <c r="G132" s="20">
        <v>29532</v>
      </c>
      <c r="H132" s="20" t="s">
        <v>61</v>
      </c>
      <c r="I132" s="20" t="s">
        <v>2351</v>
      </c>
      <c r="J132" s="20" t="s">
        <v>5283</v>
      </c>
      <c r="K132" s="20" t="s">
        <v>5284</v>
      </c>
      <c r="L132" s="20">
        <v>0</v>
      </c>
      <c r="M132" s="20">
        <v>1</v>
      </c>
      <c r="N132" s="20">
        <v>33592427</v>
      </c>
      <c r="O132" s="20" t="s">
        <v>5206</v>
      </c>
      <c r="P132" s="20" t="s">
        <v>5207</v>
      </c>
      <c r="Q132" s="9" t="s">
        <v>33</v>
      </c>
    </row>
    <row r="133" spans="1:17">
      <c r="A133" s="20">
        <v>82</v>
      </c>
      <c r="B133" s="20">
        <v>2022</v>
      </c>
      <c r="C133" s="96">
        <v>44719</v>
      </c>
      <c r="D133" s="97" t="s">
        <v>2300</v>
      </c>
      <c r="E133" s="20">
        <v>1</v>
      </c>
      <c r="F133" s="20" t="s">
        <v>30</v>
      </c>
      <c r="G133" s="20">
        <v>29532</v>
      </c>
      <c r="H133" s="20" t="s">
        <v>61</v>
      </c>
      <c r="I133" s="20" t="s">
        <v>2351</v>
      </c>
      <c r="J133" s="20" t="s">
        <v>5287</v>
      </c>
      <c r="K133" s="20" t="s">
        <v>5288</v>
      </c>
      <c r="L133" s="20">
        <v>0</v>
      </c>
      <c r="M133" s="20">
        <v>1</v>
      </c>
      <c r="N133" s="20">
        <v>5452903</v>
      </c>
      <c r="O133" s="20" t="s">
        <v>5206</v>
      </c>
      <c r="P133" s="98" t="s">
        <v>5207</v>
      </c>
      <c r="Q133" s="98" t="s">
        <v>33</v>
      </c>
    </row>
    <row r="134" spans="1:17">
      <c r="A134" s="20">
        <v>82</v>
      </c>
      <c r="B134" s="20">
        <v>2022</v>
      </c>
      <c r="C134" s="96">
        <v>44719</v>
      </c>
      <c r="D134" s="97" t="s">
        <v>2300</v>
      </c>
      <c r="E134" s="20">
        <v>1</v>
      </c>
      <c r="F134" s="20" t="s">
        <v>30</v>
      </c>
      <c r="G134" s="20">
        <v>29532</v>
      </c>
      <c r="H134" s="20" t="s">
        <v>61</v>
      </c>
      <c r="I134" s="20" t="s">
        <v>2351</v>
      </c>
      <c r="J134" s="20" t="s">
        <v>5289</v>
      </c>
      <c r="K134" s="20" t="s">
        <v>5290</v>
      </c>
      <c r="L134" s="20">
        <v>0</v>
      </c>
      <c r="M134" s="20">
        <v>1</v>
      </c>
      <c r="N134" s="20">
        <v>10212994</v>
      </c>
      <c r="O134" s="20" t="s">
        <v>5206</v>
      </c>
      <c r="P134" s="20" t="s">
        <v>5207</v>
      </c>
      <c r="Q134" s="98" t="s">
        <v>33</v>
      </c>
    </row>
    <row r="135" spans="1:17">
      <c r="A135" s="20">
        <v>82</v>
      </c>
      <c r="B135" s="20">
        <v>2022</v>
      </c>
      <c r="C135" s="96">
        <v>44719</v>
      </c>
      <c r="D135" s="97" t="s">
        <v>2300</v>
      </c>
      <c r="E135" s="20">
        <v>1</v>
      </c>
      <c r="F135" s="20" t="s">
        <v>30</v>
      </c>
      <c r="G135" s="20">
        <v>29532</v>
      </c>
      <c r="H135" s="20" t="s">
        <v>61</v>
      </c>
      <c r="I135" s="20" t="s">
        <v>2351</v>
      </c>
      <c r="J135" s="20" t="s">
        <v>5218</v>
      </c>
      <c r="K135" s="20" t="s">
        <v>5219</v>
      </c>
      <c r="L135" s="20">
        <v>0</v>
      </c>
      <c r="M135" s="20">
        <v>1</v>
      </c>
      <c r="N135" s="20">
        <v>28116708</v>
      </c>
      <c r="O135" s="20" t="s">
        <v>5220</v>
      </c>
      <c r="P135" s="20" t="s">
        <v>5207</v>
      </c>
      <c r="Q135" s="9" t="s">
        <v>20</v>
      </c>
    </row>
    <row r="136" spans="1:17">
      <c r="A136" s="20">
        <v>82</v>
      </c>
      <c r="B136" s="20">
        <v>2022</v>
      </c>
      <c r="C136" s="96">
        <v>44719</v>
      </c>
      <c r="D136" s="97" t="s">
        <v>2300</v>
      </c>
      <c r="E136" s="20">
        <v>1</v>
      </c>
      <c r="F136" s="20" t="s">
        <v>30</v>
      </c>
      <c r="G136" s="20">
        <v>29532</v>
      </c>
      <c r="H136" s="20" t="s">
        <v>61</v>
      </c>
      <c r="I136" s="20" t="s">
        <v>2351</v>
      </c>
      <c r="J136" s="20" t="s">
        <v>5241</v>
      </c>
      <c r="K136" s="20" t="s">
        <v>5242</v>
      </c>
      <c r="L136" s="20">
        <v>0</v>
      </c>
      <c r="M136" s="20">
        <v>1</v>
      </c>
      <c r="N136" s="20">
        <v>30167048</v>
      </c>
      <c r="O136" s="20" t="s">
        <v>5206</v>
      </c>
      <c r="P136" s="20" t="s">
        <v>5207</v>
      </c>
      <c r="Q136" s="98" t="s">
        <v>33</v>
      </c>
    </row>
    <row r="137" spans="1:17">
      <c r="A137" s="20">
        <v>82</v>
      </c>
      <c r="B137" s="20">
        <v>2022</v>
      </c>
      <c r="C137" s="96">
        <v>44719</v>
      </c>
      <c r="D137" s="97" t="s">
        <v>2300</v>
      </c>
      <c r="E137" s="20">
        <v>1</v>
      </c>
      <c r="F137" s="20" t="s">
        <v>30</v>
      </c>
      <c r="G137" s="20">
        <v>29532</v>
      </c>
      <c r="H137" s="20" t="s">
        <v>61</v>
      </c>
      <c r="I137" s="20" t="s">
        <v>2351</v>
      </c>
      <c r="J137" s="98" t="s">
        <v>5275</v>
      </c>
      <c r="K137" s="98" t="s">
        <v>5276</v>
      </c>
      <c r="L137" s="98">
        <v>1</v>
      </c>
      <c r="M137" s="98">
        <v>0</v>
      </c>
      <c r="N137" s="98">
        <v>24173039</v>
      </c>
      <c r="O137" s="98" t="s">
        <v>5206</v>
      </c>
      <c r="P137" s="98" t="s">
        <v>5217</v>
      </c>
      <c r="Q137" s="98" t="s">
        <v>33</v>
      </c>
    </row>
    <row r="138" spans="1:17">
      <c r="A138" s="20">
        <v>82</v>
      </c>
      <c r="B138" s="20">
        <v>2022</v>
      </c>
      <c r="C138" s="96">
        <v>44719</v>
      </c>
      <c r="D138" s="97" t="s">
        <v>2300</v>
      </c>
      <c r="E138" s="20">
        <v>1</v>
      </c>
      <c r="F138" s="20" t="s">
        <v>30</v>
      </c>
      <c r="G138" s="20">
        <v>29532</v>
      </c>
      <c r="H138" s="20" t="s">
        <v>61</v>
      </c>
      <c r="I138" s="20" t="s">
        <v>2351</v>
      </c>
      <c r="J138" s="98" t="s">
        <v>5277</v>
      </c>
      <c r="K138" s="98" t="s">
        <v>5278</v>
      </c>
      <c r="L138" s="98">
        <v>0</v>
      </c>
      <c r="M138" s="98">
        <v>1</v>
      </c>
      <c r="N138" s="98">
        <v>32426838</v>
      </c>
      <c r="O138" s="98" t="s">
        <v>5255</v>
      </c>
      <c r="P138" s="98" t="s">
        <v>5217</v>
      </c>
      <c r="Q138" s="9" t="s">
        <v>5222</v>
      </c>
    </row>
    <row r="139" spans="1:17">
      <c r="A139" s="20">
        <v>82</v>
      </c>
      <c r="B139" s="20">
        <v>2022</v>
      </c>
      <c r="C139" s="96">
        <v>44719</v>
      </c>
      <c r="D139" s="97" t="s">
        <v>2300</v>
      </c>
      <c r="E139" s="20">
        <v>1</v>
      </c>
      <c r="F139" s="20" t="s">
        <v>30</v>
      </c>
      <c r="G139" s="20">
        <v>29532</v>
      </c>
      <c r="H139" s="20" t="s">
        <v>61</v>
      </c>
      <c r="I139" s="20" t="s">
        <v>2351</v>
      </c>
      <c r="J139" s="98" t="s">
        <v>5230</v>
      </c>
      <c r="K139" s="98" t="s">
        <v>5231</v>
      </c>
      <c r="L139" s="98">
        <v>0</v>
      </c>
      <c r="M139" s="98">
        <v>1</v>
      </c>
      <c r="N139" s="98">
        <v>12334380</v>
      </c>
      <c r="O139" s="98" t="s">
        <v>5206</v>
      </c>
      <c r="P139" s="98" t="s">
        <v>5217</v>
      </c>
      <c r="Q139" s="9" t="s">
        <v>33</v>
      </c>
    </row>
    <row r="140" spans="1:17">
      <c r="A140" s="20">
        <v>82</v>
      </c>
      <c r="B140" s="20">
        <v>2022</v>
      </c>
      <c r="C140" s="96">
        <v>44719</v>
      </c>
      <c r="D140" s="97" t="s">
        <v>2300</v>
      </c>
      <c r="E140" s="20">
        <v>1</v>
      </c>
      <c r="F140" s="20" t="s">
        <v>30</v>
      </c>
      <c r="G140" s="20">
        <v>29532</v>
      </c>
      <c r="H140" s="20" t="s">
        <v>61</v>
      </c>
      <c r="I140" s="20" t="s">
        <v>2351</v>
      </c>
      <c r="J140" s="98" t="s">
        <v>5263</v>
      </c>
      <c r="K140" s="98" t="s">
        <v>5264</v>
      </c>
      <c r="L140" s="98">
        <v>0</v>
      </c>
      <c r="M140" s="98">
        <v>1</v>
      </c>
      <c r="N140" s="98">
        <v>10451539</v>
      </c>
      <c r="O140" s="98" t="s">
        <v>5238</v>
      </c>
      <c r="P140" s="98" t="s">
        <v>5221</v>
      </c>
      <c r="Q140" s="9" t="s">
        <v>22</v>
      </c>
    </row>
    <row r="141" spans="1:17">
      <c r="A141" s="20">
        <v>82</v>
      </c>
      <c r="B141" s="20">
        <v>2022</v>
      </c>
      <c r="C141" s="96">
        <v>44719</v>
      </c>
      <c r="D141" s="97" t="s">
        <v>2300</v>
      </c>
      <c r="E141" s="20">
        <v>1</v>
      </c>
      <c r="F141" s="20" t="s">
        <v>30</v>
      </c>
      <c r="G141" s="20">
        <v>29532</v>
      </c>
      <c r="H141" s="20" t="s">
        <v>61</v>
      </c>
      <c r="I141" s="20" t="s">
        <v>2351</v>
      </c>
      <c r="J141" s="98" t="s">
        <v>5225</v>
      </c>
      <c r="K141" s="98" t="s">
        <v>5226</v>
      </c>
      <c r="L141" s="98">
        <v>0</v>
      </c>
      <c r="M141" s="98">
        <v>1</v>
      </c>
      <c r="N141" s="98">
        <v>25858534</v>
      </c>
      <c r="O141" s="98" t="s">
        <v>5206</v>
      </c>
      <c r="P141" s="98" t="s">
        <v>5221</v>
      </c>
      <c r="Q141" s="9" t="s">
        <v>22</v>
      </c>
    </row>
    <row r="142" spans="1:17">
      <c r="A142" s="20">
        <v>84</v>
      </c>
      <c r="B142" s="20">
        <v>2022</v>
      </c>
      <c r="C142" s="96">
        <v>44720</v>
      </c>
      <c r="D142" s="97" t="s">
        <v>2192</v>
      </c>
      <c r="E142" s="20">
        <v>1</v>
      </c>
      <c r="F142" s="20" t="s">
        <v>85</v>
      </c>
      <c r="G142" s="20">
        <v>35169</v>
      </c>
      <c r="H142" s="20" t="s">
        <v>61</v>
      </c>
      <c r="I142" s="20" t="s">
        <v>2360</v>
      </c>
      <c r="J142" s="20" t="s">
        <v>5271</v>
      </c>
      <c r="K142" s="20" t="s">
        <v>5272</v>
      </c>
      <c r="L142" s="20">
        <v>0</v>
      </c>
      <c r="M142" s="20">
        <v>1</v>
      </c>
      <c r="N142" s="20">
        <v>32241277</v>
      </c>
      <c r="O142" s="20" t="s">
        <v>5206</v>
      </c>
      <c r="P142" s="98" t="s">
        <v>5207</v>
      </c>
      <c r="Q142" s="9" t="s">
        <v>33</v>
      </c>
    </row>
    <row r="143" spans="1:17">
      <c r="A143" s="20">
        <v>84</v>
      </c>
      <c r="B143" s="20">
        <v>2022</v>
      </c>
      <c r="C143" s="96">
        <v>44720</v>
      </c>
      <c r="D143" s="97" t="s">
        <v>2192</v>
      </c>
      <c r="E143" s="20">
        <v>1</v>
      </c>
      <c r="F143" s="20" t="s">
        <v>85</v>
      </c>
      <c r="G143" s="20">
        <v>35169</v>
      </c>
      <c r="H143" s="20" t="s">
        <v>61</v>
      </c>
      <c r="I143" s="20" t="s">
        <v>2360</v>
      </c>
      <c r="J143" s="20" t="s">
        <v>5291</v>
      </c>
      <c r="K143" s="20" t="s">
        <v>5292</v>
      </c>
      <c r="L143" s="20">
        <v>1</v>
      </c>
      <c r="M143" s="20">
        <v>0</v>
      </c>
      <c r="N143" s="20">
        <v>17534940</v>
      </c>
      <c r="O143" s="20" t="s">
        <v>5210</v>
      </c>
      <c r="P143" s="20" t="s">
        <v>5207</v>
      </c>
      <c r="Q143" s="9" t="s">
        <v>20</v>
      </c>
    </row>
    <row r="144" spans="1:17">
      <c r="A144" s="20">
        <v>84</v>
      </c>
      <c r="B144" s="20">
        <v>2022</v>
      </c>
      <c r="C144" s="96">
        <v>44720</v>
      </c>
      <c r="D144" s="97" t="s">
        <v>2192</v>
      </c>
      <c r="E144" s="20">
        <v>1</v>
      </c>
      <c r="F144" s="20" t="s">
        <v>85</v>
      </c>
      <c r="G144" s="20">
        <v>35169</v>
      </c>
      <c r="H144" s="20" t="s">
        <v>61</v>
      </c>
      <c r="I144" s="20" t="s">
        <v>2360</v>
      </c>
      <c r="J144" s="20" t="s">
        <v>5273</v>
      </c>
      <c r="K144" s="20" t="s">
        <v>5274</v>
      </c>
      <c r="L144" s="20">
        <v>0</v>
      </c>
      <c r="M144" s="20">
        <v>1</v>
      </c>
      <c r="N144" s="20">
        <v>18525288</v>
      </c>
      <c r="O144" s="20" t="s">
        <v>5206</v>
      </c>
      <c r="P144" s="20" t="s">
        <v>5207</v>
      </c>
      <c r="Q144" s="9" t="s">
        <v>33</v>
      </c>
    </row>
    <row r="145" spans="1:17">
      <c r="A145" s="20">
        <v>84</v>
      </c>
      <c r="B145" s="20">
        <v>2022</v>
      </c>
      <c r="C145" s="96">
        <v>44720</v>
      </c>
      <c r="D145" s="97" t="s">
        <v>2192</v>
      </c>
      <c r="E145" s="20">
        <v>1</v>
      </c>
      <c r="F145" s="20" t="s">
        <v>85</v>
      </c>
      <c r="G145" s="20">
        <v>35169</v>
      </c>
      <c r="H145" s="20" t="s">
        <v>61</v>
      </c>
      <c r="I145" s="20" t="s">
        <v>2360</v>
      </c>
      <c r="J145" s="20" t="s">
        <v>5275</v>
      </c>
      <c r="K145" s="20" t="s">
        <v>5276</v>
      </c>
      <c r="L145" s="20">
        <v>1</v>
      </c>
      <c r="M145" s="20">
        <v>0</v>
      </c>
      <c r="N145" s="20">
        <v>24173039</v>
      </c>
      <c r="O145" s="20" t="s">
        <v>5206</v>
      </c>
      <c r="P145" s="20" t="s">
        <v>5207</v>
      </c>
      <c r="Q145" s="9" t="s">
        <v>33</v>
      </c>
    </row>
    <row r="146" spans="1:17">
      <c r="A146" s="20">
        <v>84</v>
      </c>
      <c r="B146" s="20">
        <v>2022</v>
      </c>
      <c r="C146" s="96">
        <v>44720</v>
      </c>
      <c r="D146" s="97" t="s">
        <v>2192</v>
      </c>
      <c r="E146" s="20">
        <v>1</v>
      </c>
      <c r="F146" s="20" t="s">
        <v>85</v>
      </c>
      <c r="G146" s="20">
        <v>35169</v>
      </c>
      <c r="H146" s="20" t="s">
        <v>61</v>
      </c>
      <c r="I146" s="20" t="s">
        <v>2360</v>
      </c>
      <c r="J146" s="20" t="s">
        <v>5277</v>
      </c>
      <c r="K146" s="20" t="s">
        <v>5278</v>
      </c>
      <c r="L146" s="20">
        <v>0</v>
      </c>
      <c r="M146" s="20">
        <v>1</v>
      </c>
      <c r="N146" s="20">
        <v>32426838</v>
      </c>
      <c r="O146" s="20" t="s">
        <v>5255</v>
      </c>
      <c r="P146" s="20" t="s">
        <v>5207</v>
      </c>
      <c r="Q146" s="9" t="s">
        <v>33</v>
      </c>
    </row>
    <row r="147" spans="1:17">
      <c r="A147" s="20">
        <v>84</v>
      </c>
      <c r="B147" s="20">
        <v>2022</v>
      </c>
      <c r="C147" s="96">
        <v>44720</v>
      </c>
      <c r="D147" s="97" t="s">
        <v>2192</v>
      </c>
      <c r="E147" s="20">
        <v>1</v>
      </c>
      <c r="F147" s="20" t="s">
        <v>85</v>
      </c>
      <c r="G147" s="20">
        <v>35169</v>
      </c>
      <c r="H147" s="20" t="s">
        <v>61</v>
      </c>
      <c r="I147" s="20" t="s">
        <v>2360</v>
      </c>
      <c r="J147" s="20" t="s">
        <v>5293</v>
      </c>
      <c r="K147" s="20" t="s">
        <v>5294</v>
      </c>
      <c r="L147" s="20">
        <v>1</v>
      </c>
      <c r="M147" s="20">
        <v>0</v>
      </c>
      <c r="N147" s="20">
        <v>12711020</v>
      </c>
      <c r="O147" s="20" t="s">
        <v>5206</v>
      </c>
      <c r="P147" s="98" t="s">
        <v>5207</v>
      </c>
      <c r="Q147" s="9" t="s">
        <v>33</v>
      </c>
    </row>
    <row r="148" spans="1:17">
      <c r="A148" s="20">
        <v>84</v>
      </c>
      <c r="B148" s="20">
        <v>2022</v>
      </c>
      <c r="C148" s="96">
        <v>44720</v>
      </c>
      <c r="D148" s="97" t="s">
        <v>2192</v>
      </c>
      <c r="E148" s="20">
        <v>1</v>
      </c>
      <c r="F148" s="20" t="s">
        <v>85</v>
      </c>
      <c r="G148" s="20">
        <v>35169</v>
      </c>
      <c r="H148" s="20" t="s">
        <v>61</v>
      </c>
      <c r="I148" s="20" t="s">
        <v>2360</v>
      </c>
      <c r="J148" s="20" t="s">
        <v>5230</v>
      </c>
      <c r="K148" s="20" t="s">
        <v>5231</v>
      </c>
      <c r="L148" s="20">
        <v>0</v>
      </c>
      <c r="M148" s="20">
        <v>1</v>
      </c>
      <c r="N148" s="20">
        <v>12334380</v>
      </c>
      <c r="O148" s="20" t="s">
        <v>5206</v>
      </c>
      <c r="P148" s="98" t="s">
        <v>5207</v>
      </c>
      <c r="Q148" s="9" t="s">
        <v>33</v>
      </c>
    </row>
    <row r="149" spans="1:17">
      <c r="A149" s="20">
        <v>84</v>
      </c>
      <c r="B149" s="20">
        <v>2022</v>
      </c>
      <c r="C149" s="96">
        <v>44720</v>
      </c>
      <c r="D149" s="97" t="s">
        <v>2192</v>
      </c>
      <c r="E149" s="20">
        <v>1</v>
      </c>
      <c r="F149" s="20" t="s">
        <v>85</v>
      </c>
      <c r="G149" s="20">
        <v>35169</v>
      </c>
      <c r="H149" s="20" t="s">
        <v>61</v>
      </c>
      <c r="I149" s="20" t="s">
        <v>2360</v>
      </c>
      <c r="J149" s="20" t="s">
        <v>5295</v>
      </c>
      <c r="K149" s="20" t="s">
        <v>5296</v>
      </c>
      <c r="L149" s="20">
        <v>1</v>
      </c>
      <c r="M149" s="20">
        <v>0</v>
      </c>
      <c r="N149" s="20">
        <v>10446767</v>
      </c>
      <c r="O149" s="20" t="s">
        <v>5206</v>
      </c>
      <c r="P149" s="20" t="s">
        <v>5207</v>
      </c>
      <c r="Q149" s="9" t="s">
        <v>33</v>
      </c>
    </row>
    <row r="150" spans="1:17">
      <c r="A150" s="20">
        <v>84</v>
      </c>
      <c r="B150" s="20">
        <v>2022</v>
      </c>
      <c r="C150" s="96">
        <v>44720</v>
      </c>
      <c r="D150" s="97" t="s">
        <v>2192</v>
      </c>
      <c r="E150" s="20">
        <v>1</v>
      </c>
      <c r="F150" s="20" t="s">
        <v>85</v>
      </c>
      <c r="G150" s="20">
        <v>35169</v>
      </c>
      <c r="H150" s="20" t="s">
        <v>61</v>
      </c>
      <c r="I150" s="20" t="s">
        <v>2360</v>
      </c>
      <c r="J150" s="20" t="s">
        <v>5236</v>
      </c>
      <c r="K150" s="20" t="s">
        <v>5237</v>
      </c>
      <c r="L150" s="20">
        <v>1</v>
      </c>
      <c r="M150" s="20">
        <v>0</v>
      </c>
      <c r="N150" s="20">
        <v>17628399</v>
      </c>
      <c r="O150" s="20" t="s">
        <v>5238</v>
      </c>
      <c r="P150" s="20" t="s">
        <v>5207</v>
      </c>
      <c r="Q150" s="9" t="s">
        <v>33</v>
      </c>
    </row>
    <row r="151" spans="1:17">
      <c r="A151" s="20">
        <v>84</v>
      </c>
      <c r="B151" s="20">
        <v>2022</v>
      </c>
      <c r="C151" s="96">
        <v>44720</v>
      </c>
      <c r="D151" s="97" t="s">
        <v>2192</v>
      </c>
      <c r="E151" s="20">
        <v>1</v>
      </c>
      <c r="F151" s="20" t="s">
        <v>85</v>
      </c>
      <c r="G151" s="20">
        <v>35169</v>
      </c>
      <c r="H151" s="20" t="s">
        <v>61</v>
      </c>
      <c r="I151" s="20" t="s">
        <v>2360</v>
      </c>
      <c r="J151" s="20" t="s">
        <v>5297</v>
      </c>
      <c r="K151" s="20" t="s">
        <v>5298</v>
      </c>
      <c r="L151" s="20">
        <v>1</v>
      </c>
      <c r="M151" s="20">
        <v>0</v>
      </c>
      <c r="N151" s="20">
        <v>22224626</v>
      </c>
      <c r="O151" s="20" t="s">
        <v>5206</v>
      </c>
      <c r="P151" s="20" t="s">
        <v>5207</v>
      </c>
      <c r="Q151" s="9" t="s">
        <v>33</v>
      </c>
    </row>
    <row r="152" spans="1:17">
      <c r="A152" s="20">
        <v>84</v>
      </c>
      <c r="B152" s="20">
        <v>2022</v>
      </c>
      <c r="C152" s="96">
        <v>44720</v>
      </c>
      <c r="D152" s="97" t="s">
        <v>2192</v>
      </c>
      <c r="E152" s="20">
        <v>1</v>
      </c>
      <c r="F152" s="20" t="s">
        <v>85</v>
      </c>
      <c r="G152" s="20">
        <v>35169</v>
      </c>
      <c r="H152" s="20" t="s">
        <v>61</v>
      </c>
      <c r="I152" s="20" t="s">
        <v>2360</v>
      </c>
      <c r="J152" s="98" t="s">
        <v>5261</v>
      </c>
      <c r="K152" s="98" t="s">
        <v>5262</v>
      </c>
      <c r="L152" s="98">
        <v>1</v>
      </c>
      <c r="M152" s="98">
        <v>0</v>
      </c>
      <c r="N152" s="98">
        <v>13241590</v>
      </c>
      <c r="O152" s="98" t="s">
        <v>5206</v>
      </c>
      <c r="P152" s="98" t="s">
        <v>5217</v>
      </c>
      <c r="Q152" s="9" t="s">
        <v>5222</v>
      </c>
    </row>
    <row r="153" spans="1:17">
      <c r="A153" s="20">
        <v>84</v>
      </c>
      <c r="B153" s="20">
        <v>2022</v>
      </c>
      <c r="C153" s="96">
        <v>44720</v>
      </c>
      <c r="D153" s="97" t="s">
        <v>2192</v>
      </c>
      <c r="E153" s="20">
        <v>1</v>
      </c>
      <c r="F153" s="20" t="s">
        <v>85</v>
      </c>
      <c r="G153" s="20">
        <v>35169</v>
      </c>
      <c r="H153" s="20" t="s">
        <v>61</v>
      </c>
      <c r="I153" s="20" t="s">
        <v>2360</v>
      </c>
      <c r="J153" s="98" t="s">
        <v>5208</v>
      </c>
      <c r="K153" s="98" t="s">
        <v>5209</v>
      </c>
      <c r="L153" s="98">
        <v>0</v>
      </c>
      <c r="M153" s="98">
        <v>1</v>
      </c>
      <c r="N153" s="98">
        <v>16430626</v>
      </c>
      <c r="O153" s="98" t="s">
        <v>5210</v>
      </c>
      <c r="P153" s="98" t="s">
        <v>5217</v>
      </c>
      <c r="Q153" s="98" t="s">
        <v>5222</v>
      </c>
    </row>
    <row r="154" spans="1:17">
      <c r="A154" s="20">
        <v>84</v>
      </c>
      <c r="B154" s="20">
        <v>2022</v>
      </c>
      <c r="C154" s="96">
        <v>44720</v>
      </c>
      <c r="D154" s="97" t="s">
        <v>2192</v>
      </c>
      <c r="E154" s="20">
        <v>1</v>
      </c>
      <c r="F154" s="20" t="s">
        <v>85</v>
      </c>
      <c r="G154" s="20">
        <v>35169</v>
      </c>
      <c r="H154" s="20" t="s">
        <v>61</v>
      </c>
      <c r="I154" s="20" t="s">
        <v>2360</v>
      </c>
      <c r="J154" s="98" t="s">
        <v>5227</v>
      </c>
      <c r="K154" s="98" t="s">
        <v>5228</v>
      </c>
      <c r="L154" s="98">
        <v>0</v>
      </c>
      <c r="M154" s="98">
        <v>1</v>
      </c>
      <c r="N154" s="98">
        <v>12670333</v>
      </c>
      <c r="O154" s="98" t="s">
        <v>5229</v>
      </c>
      <c r="P154" s="98" t="s">
        <v>5217</v>
      </c>
      <c r="Q154" s="9" t="s">
        <v>33</v>
      </c>
    </row>
    <row r="155" spans="1:17">
      <c r="A155" s="20">
        <v>84</v>
      </c>
      <c r="B155" s="20">
        <v>2022</v>
      </c>
      <c r="C155" s="96">
        <v>44720</v>
      </c>
      <c r="D155" s="97" t="s">
        <v>2192</v>
      </c>
      <c r="E155" s="20">
        <v>1</v>
      </c>
      <c r="F155" s="20" t="s">
        <v>85</v>
      </c>
      <c r="G155" s="20">
        <v>35169</v>
      </c>
      <c r="H155" s="20" t="s">
        <v>61</v>
      </c>
      <c r="I155" s="20" t="s">
        <v>2360</v>
      </c>
      <c r="J155" s="98" t="s">
        <v>5239</v>
      </c>
      <c r="K155" s="98" t="s">
        <v>5240</v>
      </c>
      <c r="L155" s="98">
        <v>0</v>
      </c>
      <c r="M155" s="98">
        <v>1</v>
      </c>
      <c r="N155" s="98">
        <v>21391153</v>
      </c>
      <c r="O155" s="98" t="s">
        <v>5210</v>
      </c>
      <c r="P155" s="98" t="s">
        <v>5221</v>
      </c>
      <c r="Q155" s="9" t="s">
        <v>22</v>
      </c>
    </row>
    <row r="156" spans="1:17">
      <c r="A156" s="20">
        <v>84</v>
      </c>
      <c r="B156" s="20">
        <v>2022</v>
      </c>
      <c r="C156" s="96">
        <v>44720</v>
      </c>
      <c r="D156" s="97" t="s">
        <v>2192</v>
      </c>
      <c r="E156" s="20">
        <v>1</v>
      </c>
      <c r="F156" s="20" t="s">
        <v>85</v>
      </c>
      <c r="G156" s="20">
        <v>35169</v>
      </c>
      <c r="H156" s="20" t="s">
        <v>61</v>
      </c>
      <c r="I156" s="20" t="s">
        <v>2360</v>
      </c>
      <c r="J156" s="98" t="s">
        <v>5247</v>
      </c>
      <c r="K156" s="98" t="s">
        <v>5248</v>
      </c>
      <c r="L156" s="98">
        <v>1</v>
      </c>
      <c r="M156" s="98">
        <v>0</v>
      </c>
      <c r="N156" s="98">
        <v>27498041</v>
      </c>
      <c r="O156" s="98" t="s">
        <v>5206</v>
      </c>
      <c r="P156" s="98" t="s">
        <v>5221</v>
      </c>
      <c r="Q156" s="9" t="s">
        <v>22</v>
      </c>
    </row>
    <row r="157" spans="1:17">
      <c r="A157" s="20">
        <v>86</v>
      </c>
      <c r="B157" s="20">
        <v>2022</v>
      </c>
      <c r="C157" s="96">
        <v>44721</v>
      </c>
      <c r="D157" s="97" t="s">
        <v>1980</v>
      </c>
      <c r="E157" s="20">
        <v>1</v>
      </c>
      <c r="F157" s="20" t="s">
        <v>30</v>
      </c>
      <c r="G157" s="20">
        <v>35150</v>
      </c>
      <c r="H157" s="20" t="s">
        <v>31</v>
      </c>
      <c r="I157" s="20" t="s">
        <v>2370</v>
      </c>
      <c r="J157" s="20" t="s">
        <v>5259</v>
      </c>
      <c r="K157" s="20" t="s">
        <v>5260</v>
      </c>
      <c r="L157" s="20">
        <v>1</v>
      </c>
      <c r="M157" s="20">
        <v>0</v>
      </c>
      <c r="N157" s="20">
        <v>22775419</v>
      </c>
      <c r="O157" s="20" t="s">
        <v>5206</v>
      </c>
      <c r="P157" s="98" t="s">
        <v>5207</v>
      </c>
      <c r="Q157" s="9" t="s">
        <v>33</v>
      </c>
    </row>
    <row r="158" spans="1:17">
      <c r="A158" s="20">
        <v>86</v>
      </c>
      <c r="B158" s="20">
        <v>2022</v>
      </c>
      <c r="C158" s="96">
        <v>44721</v>
      </c>
      <c r="D158" s="97" t="s">
        <v>1980</v>
      </c>
      <c r="E158" s="20">
        <v>1</v>
      </c>
      <c r="F158" s="20" t="s">
        <v>30</v>
      </c>
      <c r="G158" s="20">
        <v>35150</v>
      </c>
      <c r="H158" s="20" t="s">
        <v>31</v>
      </c>
      <c r="I158" s="20" t="s">
        <v>2370</v>
      </c>
      <c r="J158" s="20" t="s">
        <v>5261</v>
      </c>
      <c r="K158" s="20" t="s">
        <v>5262</v>
      </c>
      <c r="L158" s="20">
        <v>1</v>
      </c>
      <c r="M158" s="20">
        <v>0</v>
      </c>
      <c r="N158" s="20">
        <v>13241590</v>
      </c>
      <c r="O158" s="20" t="s">
        <v>5206</v>
      </c>
      <c r="P158" s="98" t="s">
        <v>5207</v>
      </c>
      <c r="Q158" s="9" t="s">
        <v>33</v>
      </c>
    </row>
    <row r="159" spans="1:17">
      <c r="A159" s="20">
        <v>86</v>
      </c>
      <c r="B159" s="20">
        <v>2022</v>
      </c>
      <c r="C159" s="96">
        <v>44721</v>
      </c>
      <c r="D159" s="97" t="s">
        <v>1980</v>
      </c>
      <c r="E159" s="20">
        <v>1</v>
      </c>
      <c r="F159" s="20" t="s">
        <v>30</v>
      </c>
      <c r="G159" s="20">
        <v>35150</v>
      </c>
      <c r="H159" s="20" t="s">
        <v>31</v>
      </c>
      <c r="I159" s="20" t="s">
        <v>2370</v>
      </c>
      <c r="J159" s="20" t="s">
        <v>5263</v>
      </c>
      <c r="K159" s="20" t="s">
        <v>5264</v>
      </c>
      <c r="L159" s="20">
        <v>0</v>
      </c>
      <c r="M159" s="20">
        <v>1</v>
      </c>
      <c r="N159" s="20">
        <v>10451539</v>
      </c>
      <c r="O159" s="20" t="s">
        <v>5238</v>
      </c>
      <c r="P159" s="20" t="s">
        <v>5207</v>
      </c>
      <c r="Q159" s="9" t="s">
        <v>20</v>
      </c>
    </row>
    <row r="160" spans="1:17">
      <c r="A160" s="20">
        <v>86</v>
      </c>
      <c r="B160" s="20">
        <v>2022</v>
      </c>
      <c r="C160" s="96">
        <v>44721</v>
      </c>
      <c r="D160" s="97" t="s">
        <v>1980</v>
      </c>
      <c r="E160" s="20">
        <v>1</v>
      </c>
      <c r="F160" s="20" t="s">
        <v>30</v>
      </c>
      <c r="G160" s="20">
        <v>35150</v>
      </c>
      <c r="H160" s="20" t="s">
        <v>31</v>
      </c>
      <c r="I160" s="20" t="s">
        <v>2370</v>
      </c>
      <c r="J160" s="20" t="s">
        <v>5267</v>
      </c>
      <c r="K160" s="20" t="s">
        <v>5268</v>
      </c>
      <c r="L160" s="20">
        <v>1</v>
      </c>
      <c r="M160" s="20">
        <v>0</v>
      </c>
      <c r="N160" s="20">
        <v>16210927</v>
      </c>
      <c r="O160" s="20" t="s">
        <v>5206</v>
      </c>
      <c r="P160" s="20" t="s">
        <v>5207</v>
      </c>
      <c r="Q160" s="9" t="s">
        <v>33</v>
      </c>
    </row>
    <row r="161" spans="1:17">
      <c r="A161" s="20">
        <v>86</v>
      </c>
      <c r="B161" s="20">
        <v>2022</v>
      </c>
      <c r="C161" s="96">
        <v>44721</v>
      </c>
      <c r="D161" s="97" t="s">
        <v>1980</v>
      </c>
      <c r="E161" s="20">
        <v>1</v>
      </c>
      <c r="F161" s="20" t="s">
        <v>30</v>
      </c>
      <c r="G161" s="20">
        <v>35150</v>
      </c>
      <c r="H161" s="20" t="s">
        <v>31</v>
      </c>
      <c r="I161" s="20" t="s">
        <v>2370</v>
      </c>
      <c r="J161" s="20" t="s">
        <v>5251</v>
      </c>
      <c r="K161" s="20" t="s">
        <v>5252</v>
      </c>
      <c r="L161" s="20">
        <v>0</v>
      </c>
      <c r="M161" s="20">
        <v>1</v>
      </c>
      <c r="N161" s="20">
        <v>30643373</v>
      </c>
      <c r="O161" s="20" t="s">
        <v>5206</v>
      </c>
      <c r="P161" s="20" t="s">
        <v>5207</v>
      </c>
      <c r="Q161" s="9" t="s">
        <v>33</v>
      </c>
    </row>
    <row r="162" spans="1:17">
      <c r="A162" s="20">
        <v>86</v>
      </c>
      <c r="B162" s="20">
        <v>2022</v>
      </c>
      <c r="C162" s="96">
        <v>44721</v>
      </c>
      <c r="D162" s="97" t="s">
        <v>1980</v>
      </c>
      <c r="E162" s="20">
        <v>1</v>
      </c>
      <c r="F162" s="20" t="s">
        <v>30</v>
      </c>
      <c r="G162" s="20">
        <v>35150</v>
      </c>
      <c r="H162" s="20" t="s">
        <v>31</v>
      </c>
      <c r="I162" s="20" t="s">
        <v>2370</v>
      </c>
      <c r="J162" s="20" t="s">
        <v>5269</v>
      </c>
      <c r="K162" s="20" t="s">
        <v>5270</v>
      </c>
      <c r="L162" s="20">
        <v>1</v>
      </c>
      <c r="M162" s="20">
        <v>0</v>
      </c>
      <c r="N162" s="20">
        <v>35102921</v>
      </c>
      <c r="O162" s="20" t="s">
        <v>5206</v>
      </c>
      <c r="P162" s="20" t="s">
        <v>5207</v>
      </c>
      <c r="Q162" s="9" t="s">
        <v>33</v>
      </c>
    </row>
    <row r="163" spans="1:17">
      <c r="A163" s="20">
        <v>86</v>
      </c>
      <c r="B163" s="20">
        <v>2022</v>
      </c>
      <c r="C163" s="96">
        <v>44721</v>
      </c>
      <c r="D163" s="97" t="s">
        <v>1980</v>
      </c>
      <c r="E163" s="20">
        <v>1</v>
      </c>
      <c r="F163" s="20" t="s">
        <v>30</v>
      </c>
      <c r="G163" s="20">
        <v>35150</v>
      </c>
      <c r="H163" s="20" t="s">
        <v>31</v>
      </c>
      <c r="I163" s="20" t="s">
        <v>2370</v>
      </c>
      <c r="J163" s="20" t="s">
        <v>5271</v>
      </c>
      <c r="K163" s="20" t="s">
        <v>5272</v>
      </c>
      <c r="L163" s="20">
        <v>0</v>
      </c>
      <c r="M163" s="20">
        <v>1</v>
      </c>
      <c r="N163" s="20">
        <v>32241277</v>
      </c>
      <c r="O163" s="20" t="s">
        <v>5206</v>
      </c>
      <c r="P163" s="98" t="s">
        <v>5207</v>
      </c>
      <c r="Q163" s="9" t="s">
        <v>33</v>
      </c>
    </row>
    <row r="164" spans="1:17">
      <c r="A164" s="20">
        <v>86</v>
      </c>
      <c r="B164" s="20">
        <v>2022</v>
      </c>
      <c r="C164" s="96">
        <v>44721</v>
      </c>
      <c r="D164" s="97" t="s">
        <v>1980</v>
      </c>
      <c r="E164" s="20">
        <v>1</v>
      </c>
      <c r="F164" s="20" t="s">
        <v>30</v>
      </c>
      <c r="G164" s="20">
        <v>35150</v>
      </c>
      <c r="H164" s="20" t="s">
        <v>31</v>
      </c>
      <c r="I164" s="20" t="s">
        <v>2370</v>
      </c>
      <c r="J164" s="20" t="s">
        <v>5213</v>
      </c>
      <c r="K164" s="20" t="s">
        <v>5214</v>
      </c>
      <c r="L164" s="20">
        <v>1</v>
      </c>
      <c r="M164" s="20">
        <v>0</v>
      </c>
      <c r="N164" s="20">
        <v>32933367</v>
      </c>
      <c r="O164" s="20" t="s">
        <v>5206</v>
      </c>
      <c r="P164" s="98" t="s">
        <v>5207</v>
      </c>
      <c r="Q164" s="9" t="s">
        <v>20</v>
      </c>
    </row>
    <row r="165" spans="1:17">
      <c r="A165" s="20">
        <v>86</v>
      </c>
      <c r="B165" s="20">
        <v>2022</v>
      </c>
      <c r="C165" s="96">
        <v>44721</v>
      </c>
      <c r="D165" s="97" t="s">
        <v>1980</v>
      </c>
      <c r="E165" s="20">
        <v>1</v>
      </c>
      <c r="F165" s="20" t="s">
        <v>30</v>
      </c>
      <c r="G165" s="20">
        <v>35150</v>
      </c>
      <c r="H165" s="20" t="s">
        <v>31</v>
      </c>
      <c r="I165" s="20" t="s">
        <v>2370</v>
      </c>
      <c r="J165" s="20" t="s">
        <v>5275</v>
      </c>
      <c r="K165" s="20" t="s">
        <v>5276</v>
      </c>
      <c r="L165" s="20">
        <v>1</v>
      </c>
      <c r="M165" s="20">
        <v>0</v>
      </c>
      <c r="N165" s="20">
        <v>24173039</v>
      </c>
      <c r="O165" s="20" t="s">
        <v>5206</v>
      </c>
      <c r="P165" s="20" t="s">
        <v>5207</v>
      </c>
      <c r="Q165" s="9" t="s">
        <v>33</v>
      </c>
    </row>
    <row r="166" spans="1:17">
      <c r="A166" s="20">
        <v>86</v>
      </c>
      <c r="B166" s="20">
        <v>2022</v>
      </c>
      <c r="C166" s="96">
        <v>44721</v>
      </c>
      <c r="D166" s="97" t="s">
        <v>1980</v>
      </c>
      <c r="E166" s="20">
        <v>1</v>
      </c>
      <c r="F166" s="20" t="s">
        <v>30</v>
      </c>
      <c r="G166" s="20">
        <v>35150</v>
      </c>
      <c r="H166" s="20" t="s">
        <v>31</v>
      </c>
      <c r="I166" s="20" t="s">
        <v>2370</v>
      </c>
      <c r="J166" s="20" t="s">
        <v>5277</v>
      </c>
      <c r="K166" s="20" t="s">
        <v>5278</v>
      </c>
      <c r="L166" s="20">
        <v>0</v>
      </c>
      <c r="M166" s="20">
        <v>1</v>
      </c>
      <c r="N166" s="20">
        <v>32426838</v>
      </c>
      <c r="O166" s="20" t="s">
        <v>5255</v>
      </c>
      <c r="P166" s="20" t="s">
        <v>5207</v>
      </c>
      <c r="Q166" s="9" t="s">
        <v>33</v>
      </c>
    </row>
    <row r="167" spans="1:17">
      <c r="A167" s="20">
        <v>86</v>
      </c>
      <c r="B167" s="20">
        <v>2022</v>
      </c>
      <c r="C167" s="96">
        <v>44721</v>
      </c>
      <c r="D167" s="97" t="s">
        <v>1980</v>
      </c>
      <c r="E167" s="20">
        <v>1</v>
      </c>
      <c r="F167" s="20" t="s">
        <v>30</v>
      </c>
      <c r="G167" s="20">
        <v>35150</v>
      </c>
      <c r="H167" s="20" t="s">
        <v>31</v>
      </c>
      <c r="I167" s="20" t="s">
        <v>2370</v>
      </c>
      <c r="J167" s="98" t="s">
        <v>5227</v>
      </c>
      <c r="K167" s="98" t="s">
        <v>5228</v>
      </c>
      <c r="L167" s="98">
        <v>0</v>
      </c>
      <c r="M167" s="98">
        <v>1</v>
      </c>
      <c r="N167" s="98">
        <v>12670333</v>
      </c>
      <c r="O167" s="98" t="s">
        <v>5229</v>
      </c>
      <c r="P167" s="98" t="s">
        <v>5217</v>
      </c>
      <c r="Q167" s="9" t="s">
        <v>33</v>
      </c>
    </row>
    <row r="168" spans="1:17">
      <c r="A168" s="20">
        <v>86</v>
      </c>
      <c r="B168" s="20">
        <v>2022</v>
      </c>
      <c r="C168" s="96">
        <v>44721</v>
      </c>
      <c r="D168" s="97" t="s">
        <v>1980</v>
      </c>
      <c r="E168" s="20">
        <v>1</v>
      </c>
      <c r="F168" s="20" t="s">
        <v>30</v>
      </c>
      <c r="G168" s="20">
        <v>35150</v>
      </c>
      <c r="H168" s="20" t="s">
        <v>31</v>
      </c>
      <c r="I168" s="20" t="s">
        <v>2370</v>
      </c>
      <c r="J168" s="98" t="s">
        <v>5281</v>
      </c>
      <c r="K168" s="98" t="s">
        <v>5282</v>
      </c>
      <c r="L168" s="98">
        <v>0</v>
      </c>
      <c r="M168" s="98">
        <v>1</v>
      </c>
      <c r="N168" s="98">
        <v>14130983</v>
      </c>
      <c r="O168" s="98" t="s">
        <v>5206</v>
      </c>
      <c r="P168" s="98" t="s">
        <v>5217</v>
      </c>
      <c r="Q168" s="9" t="s">
        <v>33</v>
      </c>
    </row>
    <row r="169" spans="1:17">
      <c r="A169" s="20">
        <v>86</v>
      </c>
      <c r="B169" s="20">
        <v>2022</v>
      </c>
      <c r="C169" s="96">
        <v>44721</v>
      </c>
      <c r="D169" s="97" t="s">
        <v>1980</v>
      </c>
      <c r="E169" s="20">
        <v>1</v>
      </c>
      <c r="F169" s="20" t="s">
        <v>30</v>
      </c>
      <c r="G169" s="20">
        <v>35150</v>
      </c>
      <c r="H169" s="20" t="s">
        <v>31</v>
      </c>
      <c r="I169" s="20" t="s">
        <v>2370</v>
      </c>
      <c r="J169" s="98" t="s">
        <v>5295</v>
      </c>
      <c r="K169" s="98" t="s">
        <v>5296</v>
      </c>
      <c r="L169" s="98">
        <v>1</v>
      </c>
      <c r="M169" s="98">
        <v>0</v>
      </c>
      <c r="N169" s="98">
        <v>10446767</v>
      </c>
      <c r="O169" s="98" t="s">
        <v>5206</v>
      </c>
      <c r="P169" s="98" t="s">
        <v>5221</v>
      </c>
      <c r="Q169" s="9" t="s">
        <v>22</v>
      </c>
    </row>
    <row r="170" spans="1:17">
      <c r="A170" s="20">
        <v>90</v>
      </c>
      <c r="B170" s="20">
        <v>2022</v>
      </c>
      <c r="C170" s="96">
        <v>44727</v>
      </c>
      <c r="D170" s="97" t="s">
        <v>53</v>
      </c>
      <c r="E170" s="20">
        <v>1</v>
      </c>
      <c r="F170" s="20" t="s">
        <v>30</v>
      </c>
      <c r="G170" s="20">
        <v>31520</v>
      </c>
      <c r="H170" s="20" t="s">
        <v>61</v>
      </c>
      <c r="I170" s="20" t="s">
        <v>2162</v>
      </c>
      <c r="J170" s="20" t="s">
        <v>5251</v>
      </c>
      <c r="K170" s="20" t="s">
        <v>5252</v>
      </c>
      <c r="L170" s="20">
        <v>0</v>
      </c>
      <c r="M170" s="20">
        <v>1</v>
      </c>
      <c r="N170" s="20">
        <v>30643373</v>
      </c>
      <c r="O170" s="20" t="s">
        <v>5206</v>
      </c>
      <c r="P170" s="98" t="s">
        <v>5207</v>
      </c>
      <c r="Q170" s="9" t="s">
        <v>33</v>
      </c>
    </row>
    <row r="171" spans="1:17">
      <c r="A171" s="20">
        <v>90</v>
      </c>
      <c r="B171" s="20">
        <v>2022</v>
      </c>
      <c r="C171" s="96">
        <v>44727</v>
      </c>
      <c r="D171" s="97" t="s">
        <v>53</v>
      </c>
      <c r="E171" s="20">
        <v>1</v>
      </c>
      <c r="F171" s="20" t="s">
        <v>30</v>
      </c>
      <c r="G171" s="20">
        <v>31520</v>
      </c>
      <c r="H171" s="20" t="s">
        <v>61</v>
      </c>
      <c r="I171" s="20" t="s">
        <v>2162</v>
      </c>
      <c r="J171" s="20" t="s">
        <v>5245</v>
      </c>
      <c r="K171" s="20" t="s">
        <v>5246</v>
      </c>
      <c r="L171" s="20">
        <v>0</v>
      </c>
      <c r="M171" s="20">
        <v>1</v>
      </c>
      <c r="N171" s="20">
        <v>37287279</v>
      </c>
      <c r="O171" s="20" t="s">
        <v>5206</v>
      </c>
      <c r="P171" s="98" t="s">
        <v>5207</v>
      </c>
      <c r="Q171" s="9" t="s">
        <v>33</v>
      </c>
    </row>
    <row r="172" spans="1:17">
      <c r="A172" s="20">
        <v>90</v>
      </c>
      <c r="B172" s="20">
        <v>2022</v>
      </c>
      <c r="C172" s="96">
        <v>44727</v>
      </c>
      <c r="D172" s="97" t="s">
        <v>53</v>
      </c>
      <c r="E172" s="20">
        <v>1</v>
      </c>
      <c r="F172" s="20" t="s">
        <v>30</v>
      </c>
      <c r="G172" s="20">
        <v>31520</v>
      </c>
      <c r="H172" s="20" t="s">
        <v>61</v>
      </c>
      <c r="I172" s="20" t="s">
        <v>2162</v>
      </c>
      <c r="J172" s="20" t="s">
        <v>5253</v>
      </c>
      <c r="K172" s="20" t="s">
        <v>5254</v>
      </c>
      <c r="L172" s="20">
        <v>1</v>
      </c>
      <c r="M172" s="20">
        <v>0</v>
      </c>
      <c r="N172" s="20">
        <v>12794217</v>
      </c>
      <c r="O172" s="20" t="s">
        <v>5255</v>
      </c>
      <c r="P172" s="20" t="s">
        <v>5207</v>
      </c>
      <c r="Q172" s="9" t="s">
        <v>33</v>
      </c>
    </row>
    <row r="173" spans="1:17">
      <c r="A173" s="20">
        <v>90</v>
      </c>
      <c r="B173" s="20">
        <v>2022</v>
      </c>
      <c r="C173" s="96">
        <v>44727</v>
      </c>
      <c r="D173" s="97" t="s">
        <v>53</v>
      </c>
      <c r="E173" s="20">
        <v>1</v>
      </c>
      <c r="F173" s="20" t="s">
        <v>30</v>
      </c>
      <c r="G173" s="20">
        <v>31520</v>
      </c>
      <c r="H173" s="20" t="s">
        <v>61</v>
      </c>
      <c r="I173" s="20" t="s">
        <v>2162</v>
      </c>
      <c r="J173" s="20" t="s">
        <v>5208</v>
      </c>
      <c r="K173" s="20" t="s">
        <v>5209</v>
      </c>
      <c r="L173" s="20">
        <v>0</v>
      </c>
      <c r="M173" s="20">
        <v>1</v>
      </c>
      <c r="N173" s="20">
        <v>16430626</v>
      </c>
      <c r="O173" s="20" t="s">
        <v>5210</v>
      </c>
      <c r="P173" s="20" t="s">
        <v>5207</v>
      </c>
      <c r="Q173" s="9" t="s">
        <v>33</v>
      </c>
    </row>
    <row r="174" spans="1:17">
      <c r="A174" s="20">
        <v>90</v>
      </c>
      <c r="B174" s="20">
        <v>2022</v>
      </c>
      <c r="C174" s="96">
        <v>44727</v>
      </c>
      <c r="D174" s="97" t="s">
        <v>53</v>
      </c>
      <c r="E174" s="20">
        <v>1</v>
      </c>
      <c r="F174" s="20" t="s">
        <v>30</v>
      </c>
      <c r="G174" s="20">
        <v>31520</v>
      </c>
      <c r="H174" s="20" t="s">
        <v>61</v>
      </c>
      <c r="I174" s="20" t="s">
        <v>2162</v>
      </c>
      <c r="J174" s="20" t="s">
        <v>5247</v>
      </c>
      <c r="K174" s="20" t="s">
        <v>5248</v>
      </c>
      <c r="L174" s="20">
        <v>1</v>
      </c>
      <c r="M174" s="20">
        <v>0</v>
      </c>
      <c r="N174" s="20">
        <v>27498041</v>
      </c>
      <c r="O174" s="20" t="s">
        <v>5206</v>
      </c>
      <c r="P174" s="20" t="s">
        <v>5207</v>
      </c>
      <c r="Q174" s="9" t="s">
        <v>33</v>
      </c>
    </row>
    <row r="175" spans="1:17">
      <c r="A175" s="20">
        <v>90</v>
      </c>
      <c r="B175" s="20">
        <v>2022</v>
      </c>
      <c r="C175" s="96">
        <v>44727</v>
      </c>
      <c r="D175" s="97" t="s">
        <v>53</v>
      </c>
      <c r="E175" s="20">
        <v>1</v>
      </c>
      <c r="F175" s="20" t="s">
        <v>30</v>
      </c>
      <c r="G175" s="20">
        <v>31520</v>
      </c>
      <c r="H175" s="20" t="s">
        <v>61</v>
      </c>
      <c r="I175" s="20" t="s">
        <v>2162</v>
      </c>
      <c r="J175" s="20" t="s">
        <v>5283</v>
      </c>
      <c r="K175" s="20" t="s">
        <v>5284</v>
      </c>
      <c r="L175" s="20">
        <v>0</v>
      </c>
      <c r="M175" s="20">
        <v>1</v>
      </c>
      <c r="N175" s="20">
        <v>33592427</v>
      </c>
      <c r="O175" s="20" t="s">
        <v>5206</v>
      </c>
      <c r="P175" s="20" t="s">
        <v>5207</v>
      </c>
      <c r="Q175" s="9" t="s">
        <v>33</v>
      </c>
    </row>
    <row r="176" spans="1:17">
      <c r="A176" s="20">
        <v>90</v>
      </c>
      <c r="B176" s="20">
        <v>2022</v>
      </c>
      <c r="C176" s="96">
        <v>44727</v>
      </c>
      <c r="D176" s="97" t="s">
        <v>53</v>
      </c>
      <c r="E176" s="20">
        <v>1</v>
      </c>
      <c r="F176" s="20" t="s">
        <v>30</v>
      </c>
      <c r="G176" s="20">
        <v>31520</v>
      </c>
      <c r="H176" s="20" t="s">
        <v>61</v>
      </c>
      <c r="I176" s="20" t="s">
        <v>2162</v>
      </c>
      <c r="J176" s="98" t="s">
        <v>5263</v>
      </c>
      <c r="K176" s="98" t="s">
        <v>5264</v>
      </c>
      <c r="L176" s="98">
        <v>0</v>
      </c>
      <c r="M176" s="98">
        <v>1</v>
      </c>
      <c r="N176" s="98">
        <v>10451539</v>
      </c>
      <c r="O176" s="98" t="s">
        <v>5238</v>
      </c>
      <c r="P176" s="98" t="s">
        <v>5221</v>
      </c>
      <c r="Q176" s="9" t="s">
        <v>22</v>
      </c>
    </row>
    <row r="177" spans="1:17">
      <c r="A177" s="20">
        <v>90</v>
      </c>
      <c r="B177" s="20">
        <v>2022</v>
      </c>
      <c r="C177" s="96">
        <v>44727</v>
      </c>
      <c r="D177" s="97" t="s">
        <v>53</v>
      </c>
      <c r="E177" s="20">
        <v>1</v>
      </c>
      <c r="F177" s="20" t="s">
        <v>30</v>
      </c>
      <c r="G177" s="20">
        <v>31520</v>
      </c>
      <c r="H177" s="20" t="s">
        <v>61</v>
      </c>
      <c r="I177" s="20" t="s">
        <v>2162</v>
      </c>
      <c r="J177" s="98" t="s">
        <v>5230</v>
      </c>
      <c r="K177" s="98" t="s">
        <v>5231</v>
      </c>
      <c r="L177" s="98">
        <v>0</v>
      </c>
      <c r="M177" s="98">
        <v>1</v>
      </c>
      <c r="N177" s="98">
        <v>12334380</v>
      </c>
      <c r="O177" s="98" t="s">
        <v>5206</v>
      </c>
      <c r="P177" s="98" t="s">
        <v>5221</v>
      </c>
      <c r="Q177" s="9" t="s">
        <v>22</v>
      </c>
    </row>
    <row r="178" spans="1:17">
      <c r="A178" s="20">
        <v>90</v>
      </c>
      <c r="B178" s="20">
        <v>2022</v>
      </c>
      <c r="C178" s="96">
        <v>44727</v>
      </c>
      <c r="D178" s="97" t="s">
        <v>53</v>
      </c>
      <c r="E178" s="20">
        <v>1</v>
      </c>
      <c r="F178" s="20" t="s">
        <v>30</v>
      </c>
      <c r="G178" s="20">
        <v>31520</v>
      </c>
      <c r="H178" s="20" t="s">
        <v>61</v>
      </c>
      <c r="I178" s="20" t="s">
        <v>2162</v>
      </c>
      <c r="J178" s="98" t="s">
        <v>5275</v>
      </c>
      <c r="K178" s="98" t="s">
        <v>5276</v>
      </c>
      <c r="L178" s="98">
        <v>1</v>
      </c>
      <c r="M178" s="98">
        <v>0</v>
      </c>
      <c r="N178" s="98">
        <v>24173039</v>
      </c>
      <c r="O178" s="98" t="s">
        <v>5206</v>
      </c>
      <c r="P178" s="98" t="s">
        <v>5221</v>
      </c>
      <c r="Q178" s="9" t="s">
        <v>22</v>
      </c>
    </row>
    <row r="179" spans="1:17">
      <c r="A179" s="20">
        <v>92</v>
      </c>
      <c r="B179" s="20">
        <v>2022</v>
      </c>
      <c r="C179" s="96">
        <v>44733</v>
      </c>
      <c r="D179" s="97" t="s">
        <v>37</v>
      </c>
      <c r="E179" s="20">
        <v>1</v>
      </c>
      <c r="F179" s="20" t="s">
        <v>64</v>
      </c>
      <c r="G179" s="20">
        <v>35237</v>
      </c>
      <c r="H179" s="20" t="s">
        <v>31</v>
      </c>
      <c r="I179" s="20" t="s">
        <v>2397</v>
      </c>
      <c r="J179" s="20" t="s">
        <v>5232</v>
      </c>
      <c r="K179" s="20" t="s">
        <v>5233</v>
      </c>
      <c r="L179" s="20">
        <v>1</v>
      </c>
      <c r="M179" s="20">
        <v>0</v>
      </c>
      <c r="N179" s="20">
        <v>25565003</v>
      </c>
      <c r="O179" s="20" t="s">
        <v>5206</v>
      </c>
      <c r="P179" s="98" t="s">
        <v>5207</v>
      </c>
      <c r="Q179" s="9" t="s">
        <v>33</v>
      </c>
    </row>
    <row r="180" spans="1:17">
      <c r="A180" s="20">
        <v>92</v>
      </c>
      <c r="B180" s="20">
        <v>2022</v>
      </c>
      <c r="C180" s="96">
        <v>44733</v>
      </c>
      <c r="D180" s="97" t="s">
        <v>37</v>
      </c>
      <c r="E180" s="20">
        <v>1</v>
      </c>
      <c r="F180" s="20" t="s">
        <v>64</v>
      </c>
      <c r="G180" s="20">
        <v>35237</v>
      </c>
      <c r="H180" s="20" t="s">
        <v>31</v>
      </c>
      <c r="I180" s="20" t="s">
        <v>2397</v>
      </c>
      <c r="J180" s="20" t="s">
        <v>5204</v>
      </c>
      <c r="K180" s="20" t="s">
        <v>5205</v>
      </c>
      <c r="L180" s="20">
        <v>1</v>
      </c>
      <c r="M180" s="20">
        <v>0</v>
      </c>
      <c r="N180" s="20">
        <v>25633481</v>
      </c>
      <c r="O180" s="20" t="s">
        <v>5206</v>
      </c>
      <c r="P180" s="98" t="s">
        <v>5207</v>
      </c>
      <c r="Q180" s="9" t="s">
        <v>33</v>
      </c>
    </row>
    <row r="181" spans="1:17">
      <c r="A181" s="20">
        <v>92</v>
      </c>
      <c r="B181" s="20">
        <v>2022</v>
      </c>
      <c r="C181" s="96">
        <v>44733</v>
      </c>
      <c r="D181" s="97" t="s">
        <v>37</v>
      </c>
      <c r="E181" s="20">
        <v>1</v>
      </c>
      <c r="F181" s="20" t="s">
        <v>64</v>
      </c>
      <c r="G181" s="20">
        <v>35237</v>
      </c>
      <c r="H181" s="20" t="s">
        <v>31</v>
      </c>
      <c r="I181" s="20" t="s">
        <v>2397</v>
      </c>
      <c r="J181" s="20" t="s">
        <v>5234</v>
      </c>
      <c r="K181" s="20" t="s">
        <v>5235</v>
      </c>
      <c r="L181" s="20">
        <v>0</v>
      </c>
      <c r="M181" s="20">
        <v>1</v>
      </c>
      <c r="N181" s="20">
        <v>17325355</v>
      </c>
      <c r="O181" s="20" t="s">
        <v>5206</v>
      </c>
      <c r="P181" s="20" t="s">
        <v>5207</v>
      </c>
      <c r="Q181" s="9" t="s">
        <v>33</v>
      </c>
    </row>
    <row r="182" spans="1:17">
      <c r="A182" s="20">
        <v>92</v>
      </c>
      <c r="B182" s="20">
        <v>2022</v>
      </c>
      <c r="C182" s="96">
        <v>44733</v>
      </c>
      <c r="D182" s="97" t="s">
        <v>37</v>
      </c>
      <c r="E182" s="20">
        <v>1</v>
      </c>
      <c r="F182" s="20" t="s">
        <v>64</v>
      </c>
      <c r="G182" s="20">
        <v>35237</v>
      </c>
      <c r="H182" s="20" t="s">
        <v>31</v>
      </c>
      <c r="I182" s="20" t="s">
        <v>2397</v>
      </c>
      <c r="J182" s="20" t="s">
        <v>5236</v>
      </c>
      <c r="K182" s="20" t="s">
        <v>5237</v>
      </c>
      <c r="L182" s="20">
        <v>1</v>
      </c>
      <c r="M182" s="20">
        <v>0</v>
      </c>
      <c r="N182" s="20">
        <v>17628399</v>
      </c>
      <c r="O182" s="20" t="s">
        <v>5238</v>
      </c>
      <c r="P182" s="20" t="s">
        <v>5207</v>
      </c>
      <c r="Q182" s="9" t="s">
        <v>33</v>
      </c>
    </row>
    <row r="183" spans="1:17">
      <c r="A183" s="20">
        <v>92</v>
      </c>
      <c r="B183" s="20">
        <v>2022</v>
      </c>
      <c r="C183" s="96">
        <v>44733</v>
      </c>
      <c r="D183" s="97" t="s">
        <v>37</v>
      </c>
      <c r="E183" s="20">
        <v>1</v>
      </c>
      <c r="F183" s="20" t="s">
        <v>64</v>
      </c>
      <c r="G183" s="20">
        <v>35237</v>
      </c>
      <c r="H183" s="20" t="s">
        <v>31</v>
      </c>
      <c r="I183" s="20" t="s">
        <v>2397</v>
      </c>
      <c r="J183" s="20" t="s">
        <v>5239</v>
      </c>
      <c r="K183" s="20" t="s">
        <v>5240</v>
      </c>
      <c r="L183" s="20">
        <v>0</v>
      </c>
      <c r="M183" s="20">
        <v>1</v>
      </c>
      <c r="N183" s="20">
        <v>21391153</v>
      </c>
      <c r="O183" s="20" t="s">
        <v>5210</v>
      </c>
      <c r="P183" s="20" t="s">
        <v>5207</v>
      </c>
      <c r="Q183" s="9" t="s">
        <v>20</v>
      </c>
    </row>
    <row r="184" spans="1:17">
      <c r="A184" s="20">
        <v>92</v>
      </c>
      <c r="B184" s="20">
        <v>2022</v>
      </c>
      <c r="C184" s="96">
        <v>44733</v>
      </c>
      <c r="D184" s="97" t="s">
        <v>37</v>
      </c>
      <c r="E184" s="20">
        <v>1</v>
      </c>
      <c r="F184" s="20" t="s">
        <v>64</v>
      </c>
      <c r="G184" s="20">
        <v>35237</v>
      </c>
      <c r="H184" s="20" t="s">
        <v>31</v>
      </c>
      <c r="I184" s="20" t="s">
        <v>2397</v>
      </c>
      <c r="J184" s="20" t="s">
        <v>5241</v>
      </c>
      <c r="K184" s="20" t="s">
        <v>5242</v>
      </c>
      <c r="L184" s="20">
        <v>0</v>
      </c>
      <c r="M184" s="20">
        <v>1</v>
      </c>
      <c r="N184" s="20">
        <v>30167048</v>
      </c>
      <c r="O184" s="20" t="s">
        <v>5206</v>
      </c>
      <c r="P184" s="20" t="s">
        <v>5207</v>
      </c>
      <c r="Q184" s="9" t="s">
        <v>33</v>
      </c>
    </row>
    <row r="185" spans="1:17">
      <c r="A185" s="20">
        <v>92</v>
      </c>
      <c r="B185" s="20">
        <v>2022</v>
      </c>
      <c r="C185" s="96">
        <v>44733</v>
      </c>
      <c r="D185" s="97" t="s">
        <v>37</v>
      </c>
      <c r="E185" s="20">
        <v>1</v>
      </c>
      <c r="F185" s="20" t="s">
        <v>64</v>
      </c>
      <c r="G185" s="20">
        <v>35237</v>
      </c>
      <c r="H185" s="20" t="s">
        <v>31</v>
      </c>
      <c r="I185" s="20" t="s">
        <v>2397</v>
      </c>
      <c r="J185" s="20" t="s">
        <v>5243</v>
      </c>
      <c r="K185" s="20" t="s">
        <v>5244</v>
      </c>
      <c r="L185" s="20">
        <v>0</v>
      </c>
      <c r="M185" s="20">
        <v>1</v>
      </c>
      <c r="N185" s="20">
        <v>30682704</v>
      </c>
      <c r="O185" s="20" t="s">
        <v>5210</v>
      </c>
      <c r="P185" s="20" t="s">
        <v>5207</v>
      </c>
      <c r="Q185" s="9" t="s">
        <v>20</v>
      </c>
    </row>
    <row r="186" spans="1:17">
      <c r="A186" s="20">
        <v>92</v>
      </c>
      <c r="B186" s="20">
        <v>2022</v>
      </c>
      <c r="C186" s="96">
        <v>44733</v>
      </c>
      <c r="D186" s="97" t="s">
        <v>37</v>
      </c>
      <c r="E186" s="20">
        <v>1</v>
      </c>
      <c r="F186" s="20" t="s">
        <v>64</v>
      </c>
      <c r="G186" s="20">
        <v>35237</v>
      </c>
      <c r="H186" s="20" t="s">
        <v>31</v>
      </c>
      <c r="I186" s="20" t="s">
        <v>2397</v>
      </c>
      <c r="J186" s="20" t="s">
        <v>5245</v>
      </c>
      <c r="K186" s="20" t="s">
        <v>5246</v>
      </c>
      <c r="L186" s="20">
        <v>0</v>
      </c>
      <c r="M186" s="20">
        <v>1</v>
      </c>
      <c r="N186" s="20">
        <v>37287279</v>
      </c>
      <c r="O186" s="20" t="s">
        <v>5206</v>
      </c>
      <c r="P186" s="20" t="s">
        <v>5207</v>
      </c>
      <c r="Q186" s="9" t="s">
        <v>33</v>
      </c>
    </row>
    <row r="187" spans="1:17">
      <c r="A187" s="20">
        <v>92</v>
      </c>
      <c r="B187" s="20">
        <v>2022</v>
      </c>
      <c r="C187" s="96">
        <v>44733</v>
      </c>
      <c r="D187" s="97" t="s">
        <v>37</v>
      </c>
      <c r="E187" s="20">
        <v>1</v>
      </c>
      <c r="F187" s="20" t="s">
        <v>64</v>
      </c>
      <c r="G187" s="20">
        <v>35237</v>
      </c>
      <c r="H187" s="20" t="s">
        <v>31</v>
      </c>
      <c r="I187" s="20" t="s">
        <v>2397</v>
      </c>
      <c r="J187" s="98" t="s">
        <v>5213</v>
      </c>
      <c r="K187" s="98" t="s">
        <v>5214</v>
      </c>
      <c r="L187" s="98">
        <v>1</v>
      </c>
      <c r="M187" s="98">
        <v>0</v>
      </c>
      <c r="N187" s="98">
        <v>32933367</v>
      </c>
      <c r="O187" s="98" t="s">
        <v>5206</v>
      </c>
      <c r="P187" s="98" t="s">
        <v>5217</v>
      </c>
      <c r="Q187" s="9" t="s">
        <v>5222</v>
      </c>
    </row>
    <row r="188" spans="1:17">
      <c r="A188" s="20">
        <v>92</v>
      </c>
      <c r="B188" s="20">
        <v>2022</v>
      </c>
      <c r="C188" s="96">
        <v>44733</v>
      </c>
      <c r="D188" s="97" t="s">
        <v>37</v>
      </c>
      <c r="E188" s="20">
        <v>1</v>
      </c>
      <c r="F188" s="20" t="s">
        <v>64</v>
      </c>
      <c r="G188" s="20">
        <v>35237</v>
      </c>
      <c r="H188" s="20" t="s">
        <v>31</v>
      </c>
      <c r="I188" s="20" t="s">
        <v>2397</v>
      </c>
      <c r="J188" s="98" t="s">
        <v>5218</v>
      </c>
      <c r="K188" s="98" t="s">
        <v>5219</v>
      </c>
      <c r="L188" s="98">
        <v>0</v>
      </c>
      <c r="M188" s="98">
        <v>1</v>
      </c>
      <c r="N188" s="98">
        <v>28116708</v>
      </c>
      <c r="O188" s="98" t="s">
        <v>5220</v>
      </c>
      <c r="P188" s="98" t="s">
        <v>5221</v>
      </c>
      <c r="Q188" s="9" t="s">
        <v>22</v>
      </c>
    </row>
    <row r="189" spans="1:17">
      <c r="A189" s="20">
        <v>92</v>
      </c>
      <c r="B189" s="20">
        <v>2022</v>
      </c>
      <c r="C189" s="96">
        <v>44733</v>
      </c>
      <c r="D189" s="97" t="s">
        <v>37</v>
      </c>
      <c r="E189" s="20">
        <v>2</v>
      </c>
      <c r="F189" s="20" t="s">
        <v>64</v>
      </c>
      <c r="G189" s="20">
        <v>35238</v>
      </c>
      <c r="H189" s="20" t="s">
        <v>31</v>
      </c>
      <c r="I189" s="20" t="s">
        <v>2401</v>
      </c>
      <c r="J189" s="20" t="s">
        <v>5232</v>
      </c>
      <c r="K189" s="20" t="s">
        <v>5233</v>
      </c>
      <c r="L189" s="20">
        <v>1</v>
      </c>
      <c r="M189" s="20">
        <v>0</v>
      </c>
      <c r="N189" s="20">
        <v>25565003</v>
      </c>
      <c r="O189" s="20" t="s">
        <v>5206</v>
      </c>
      <c r="P189" s="98" t="s">
        <v>5207</v>
      </c>
      <c r="Q189" s="9" t="s">
        <v>33</v>
      </c>
    </row>
    <row r="190" spans="1:17">
      <c r="A190" s="20">
        <v>92</v>
      </c>
      <c r="B190" s="20">
        <v>2022</v>
      </c>
      <c r="C190" s="96">
        <v>44733</v>
      </c>
      <c r="D190" s="97" t="s">
        <v>37</v>
      </c>
      <c r="E190" s="20">
        <v>2</v>
      </c>
      <c r="F190" s="20" t="s">
        <v>64</v>
      </c>
      <c r="G190" s="20">
        <v>35238</v>
      </c>
      <c r="H190" s="20" t="s">
        <v>31</v>
      </c>
      <c r="I190" s="20" t="s">
        <v>2401</v>
      </c>
      <c r="J190" s="20" t="s">
        <v>5204</v>
      </c>
      <c r="K190" s="20" t="s">
        <v>5205</v>
      </c>
      <c r="L190" s="20">
        <v>1</v>
      </c>
      <c r="M190" s="20">
        <v>0</v>
      </c>
      <c r="N190" s="20">
        <v>25633481</v>
      </c>
      <c r="O190" s="20" t="s">
        <v>5206</v>
      </c>
      <c r="P190" s="98" t="s">
        <v>5207</v>
      </c>
      <c r="Q190" s="9" t="s">
        <v>33</v>
      </c>
    </row>
    <row r="191" spans="1:17">
      <c r="A191" s="20">
        <v>92</v>
      </c>
      <c r="B191" s="20">
        <v>2022</v>
      </c>
      <c r="C191" s="96">
        <v>44733</v>
      </c>
      <c r="D191" s="97" t="s">
        <v>37</v>
      </c>
      <c r="E191" s="20">
        <v>2</v>
      </c>
      <c r="F191" s="20" t="s">
        <v>64</v>
      </c>
      <c r="G191" s="20">
        <v>35238</v>
      </c>
      <c r="H191" s="20" t="s">
        <v>31</v>
      </c>
      <c r="I191" s="20" t="s">
        <v>2401</v>
      </c>
      <c r="J191" s="20" t="s">
        <v>5234</v>
      </c>
      <c r="K191" s="20" t="s">
        <v>5235</v>
      </c>
      <c r="L191" s="20">
        <v>0</v>
      </c>
      <c r="M191" s="20">
        <v>1</v>
      </c>
      <c r="N191" s="20">
        <v>17325355</v>
      </c>
      <c r="O191" s="20" t="s">
        <v>5206</v>
      </c>
      <c r="P191" s="20" t="s">
        <v>5207</v>
      </c>
      <c r="Q191" s="9" t="s">
        <v>33</v>
      </c>
    </row>
    <row r="192" spans="1:17">
      <c r="A192" s="20">
        <v>92</v>
      </c>
      <c r="B192" s="20">
        <v>2022</v>
      </c>
      <c r="C192" s="96">
        <v>44733</v>
      </c>
      <c r="D192" s="97" t="s">
        <v>37</v>
      </c>
      <c r="E192" s="20">
        <v>2</v>
      </c>
      <c r="F192" s="20" t="s">
        <v>64</v>
      </c>
      <c r="G192" s="20">
        <v>35238</v>
      </c>
      <c r="H192" s="20" t="s">
        <v>31</v>
      </c>
      <c r="I192" s="20" t="s">
        <v>2401</v>
      </c>
      <c r="J192" s="20" t="s">
        <v>5236</v>
      </c>
      <c r="K192" s="20" t="s">
        <v>5237</v>
      </c>
      <c r="L192" s="20">
        <v>1</v>
      </c>
      <c r="M192" s="20">
        <v>0</v>
      </c>
      <c r="N192" s="20">
        <v>17628399</v>
      </c>
      <c r="O192" s="20" t="s">
        <v>5238</v>
      </c>
      <c r="P192" s="20" t="s">
        <v>5207</v>
      </c>
      <c r="Q192" s="9" t="s">
        <v>33</v>
      </c>
    </row>
    <row r="193" spans="1:17">
      <c r="A193" s="20">
        <v>92</v>
      </c>
      <c r="B193" s="20">
        <v>2022</v>
      </c>
      <c r="C193" s="96">
        <v>44733</v>
      </c>
      <c r="D193" s="97" t="s">
        <v>37</v>
      </c>
      <c r="E193" s="20">
        <v>2</v>
      </c>
      <c r="F193" s="20" t="s">
        <v>64</v>
      </c>
      <c r="G193" s="20">
        <v>35238</v>
      </c>
      <c r="H193" s="20" t="s">
        <v>31</v>
      </c>
      <c r="I193" s="20" t="s">
        <v>2401</v>
      </c>
      <c r="J193" s="20" t="s">
        <v>5239</v>
      </c>
      <c r="K193" s="20" t="s">
        <v>5240</v>
      </c>
      <c r="L193" s="20">
        <v>0</v>
      </c>
      <c r="M193" s="20">
        <v>1</v>
      </c>
      <c r="N193" s="20">
        <v>21391153</v>
      </c>
      <c r="O193" s="20" t="s">
        <v>5210</v>
      </c>
      <c r="P193" s="20" t="s">
        <v>5207</v>
      </c>
      <c r="Q193" s="9" t="s">
        <v>20</v>
      </c>
    </row>
    <row r="194" spans="1:17">
      <c r="A194" s="20">
        <v>92</v>
      </c>
      <c r="B194" s="20">
        <v>2022</v>
      </c>
      <c r="C194" s="96">
        <v>44733</v>
      </c>
      <c r="D194" s="97" t="s">
        <v>37</v>
      </c>
      <c r="E194" s="20">
        <v>2</v>
      </c>
      <c r="F194" s="20" t="s">
        <v>64</v>
      </c>
      <c r="G194" s="20">
        <v>35238</v>
      </c>
      <c r="H194" s="20" t="s">
        <v>31</v>
      </c>
      <c r="I194" s="20" t="s">
        <v>2401</v>
      </c>
      <c r="J194" s="20" t="s">
        <v>5241</v>
      </c>
      <c r="K194" s="20" t="s">
        <v>5242</v>
      </c>
      <c r="L194" s="20">
        <v>0</v>
      </c>
      <c r="M194" s="20">
        <v>1</v>
      </c>
      <c r="N194" s="20">
        <v>30167048</v>
      </c>
      <c r="O194" s="20" t="s">
        <v>5206</v>
      </c>
      <c r="P194" s="20" t="s">
        <v>5207</v>
      </c>
      <c r="Q194" s="9" t="s">
        <v>33</v>
      </c>
    </row>
    <row r="195" spans="1:17">
      <c r="A195" s="20">
        <v>92</v>
      </c>
      <c r="B195" s="20">
        <v>2022</v>
      </c>
      <c r="C195" s="96">
        <v>44733</v>
      </c>
      <c r="D195" s="97" t="s">
        <v>37</v>
      </c>
      <c r="E195" s="20">
        <v>2</v>
      </c>
      <c r="F195" s="20" t="s">
        <v>64</v>
      </c>
      <c r="G195" s="20">
        <v>35238</v>
      </c>
      <c r="H195" s="20" t="s">
        <v>31</v>
      </c>
      <c r="I195" s="20" t="s">
        <v>2401</v>
      </c>
      <c r="J195" s="20" t="s">
        <v>5243</v>
      </c>
      <c r="K195" s="20" t="s">
        <v>5244</v>
      </c>
      <c r="L195" s="20">
        <v>0</v>
      </c>
      <c r="M195" s="20">
        <v>1</v>
      </c>
      <c r="N195" s="20">
        <v>30682704</v>
      </c>
      <c r="O195" s="20" t="s">
        <v>5210</v>
      </c>
      <c r="P195" s="20" t="s">
        <v>5207</v>
      </c>
      <c r="Q195" s="9" t="s">
        <v>20</v>
      </c>
    </row>
    <row r="196" spans="1:17">
      <c r="A196" s="20">
        <v>92</v>
      </c>
      <c r="B196" s="20">
        <v>2022</v>
      </c>
      <c r="C196" s="96">
        <v>44733</v>
      </c>
      <c r="D196" s="97" t="s">
        <v>37</v>
      </c>
      <c r="E196" s="20">
        <v>2</v>
      </c>
      <c r="F196" s="20" t="s">
        <v>64</v>
      </c>
      <c r="G196" s="20">
        <v>35238</v>
      </c>
      <c r="H196" s="20" t="s">
        <v>31</v>
      </c>
      <c r="I196" s="20" t="s">
        <v>2401</v>
      </c>
      <c r="J196" s="20" t="s">
        <v>5245</v>
      </c>
      <c r="K196" s="20" t="s">
        <v>5246</v>
      </c>
      <c r="L196" s="20">
        <v>0</v>
      </c>
      <c r="M196" s="20">
        <v>1</v>
      </c>
      <c r="N196" s="20">
        <v>37287279</v>
      </c>
      <c r="O196" s="20" t="s">
        <v>5206</v>
      </c>
      <c r="P196" s="20" t="s">
        <v>5207</v>
      </c>
      <c r="Q196" s="9" t="s">
        <v>33</v>
      </c>
    </row>
    <row r="197" spans="1:17">
      <c r="A197" s="20">
        <v>92</v>
      </c>
      <c r="B197" s="20">
        <v>2022</v>
      </c>
      <c r="C197" s="96">
        <v>44733</v>
      </c>
      <c r="D197" s="97" t="s">
        <v>37</v>
      </c>
      <c r="E197" s="20">
        <v>2</v>
      </c>
      <c r="F197" s="20" t="s">
        <v>64</v>
      </c>
      <c r="G197" s="20">
        <v>35238</v>
      </c>
      <c r="H197" s="20" t="s">
        <v>31</v>
      </c>
      <c r="I197" s="20" t="s">
        <v>2401</v>
      </c>
      <c r="J197" s="98" t="s">
        <v>5213</v>
      </c>
      <c r="K197" s="98" t="s">
        <v>5214</v>
      </c>
      <c r="L197" s="98">
        <v>1</v>
      </c>
      <c r="M197" s="98">
        <v>0</v>
      </c>
      <c r="N197" s="98">
        <v>32933367</v>
      </c>
      <c r="O197" s="98" t="s">
        <v>5206</v>
      </c>
      <c r="P197" s="98" t="s">
        <v>5217</v>
      </c>
      <c r="Q197" s="9" t="s">
        <v>5222</v>
      </c>
    </row>
    <row r="198" spans="1:17">
      <c r="A198" s="20">
        <v>92</v>
      </c>
      <c r="B198" s="20">
        <v>2022</v>
      </c>
      <c r="C198" s="96">
        <v>44733</v>
      </c>
      <c r="D198" s="97" t="s">
        <v>37</v>
      </c>
      <c r="E198" s="20">
        <v>2</v>
      </c>
      <c r="F198" s="20" t="s">
        <v>64</v>
      </c>
      <c r="G198" s="20">
        <v>35238</v>
      </c>
      <c r="H198" s="20" t="s">
        <v>31</v>
      </c>
      <c r="I198" s="20" t="s">
        <v>2401</v>
      </c>
      <c r="J198" s="98" t="s">
        <v>5218</v>
      </c>
      <c r="K198" s="98" t="s">
        <v>5219</v>
      </c>
      <c r="L198" s="98">
        <v>0</v>
      </c>
      <c r="M198" s="98">
        <v>1</v>
      </c>
      <c r="N198" s="98">
        <v>28116708</v>
      </c>
      <c r="O198" s="98" t="s">
        <v>5220</v>
      </c>
      <c r="P198" s="98" t="s">
        <v>5221</v>
      </c>
      <c r="Q198" s="9" t="s">
        <v>22</v>
      </c>
    </row>
    <row r="199" spans="1:17">
      <c r="A199" s="20">
        <v>92</v>
      </c>
      <c r="B199" s="20">
        <v>2022</v>
      </c>
      <c r="C199" s="96">
        <v>44733</v>
      </c>
      <c r="D199" s="97" t="s">
        <v>37</v>
      </c>
      <c r="E199" s="20">
        <v>3</v>
      </c>
      <c r="F199" s="20" t="s">
        <v>30</v>
      </c>
      <c r="G199" s="20">
        <v>34989</v>
      </c>
      <c r="H199" s="20" t="s">
        <v>31</v>
      </c>
      <c r="I199" s="20" t="s">
        <v>2402</v>
      </c>
      <c r="J199" s="20" t="s">
        <v>5232</v>
      </c>
      <c r="K199" s="20" t="s">
        <v>5233</v>
      </c>
      <c r="L199" s="20">
        <v>1</v>
      </c>
      <c r="M199" s="20">
        <v>0</v>
      </c>
      <c r="N199" s="20">
        <v>25565003</v>
      </c>
      <c r="O199" s="20" t="s">
        <v>5206</v>
      </c>
      <c r="P199" s="98" t="s">
        <v>5207</v>
      </c>
      <c r="Q199" s="9" t="s">
        <v>33</v>
      </c>
    </row>
    <row r="200" spans="1:17">
      <c r="A200" s="20">
        <v>92</v>
      </c>
      <c r="B200" s="20">
        <v>2022</v>
      </c>
      <c r="C200" s="96">
        <v>44733</v>
      </c>
      <c r="D200" s="97" t="s">
        <v>37</v>
      </c>
      <c r="E200" s="20">
        <v>3</v>
      </c>
      <c r="F200" s="20" t="s">
        <v>30</v>
      </c>
      <c r="G200" s="20">
        <v>34989</v>
      </c>
      <c r="H200" s="20" t="s">
        <v>31</v>
      </c>
      <c r="I200" s="20" t="s">
        <v>2402</v>
      </c>
      <c r="J200" s="20" t="s">
        <v>5204</v>
      </c>
      <c r="K200" s="20" t="s">
        <v>5205</v>
      </c>
      <c r="L200" s="20">
        <v>1</v>
      </c>
      <c r="M200" s="20">
        <v>0</v>
      </c>
      <c r="N200" s="20">
        <v>25633481</v>
      </c>
      <c r="O200" s="20" t="s">
        <v>5206</v>
      </c>
      <c r="P200" s="98" t="s">
        <v>5207</v>
      </c>
      <c r="Q200" s="9" t="s">
        <v>33</v>
      </c>
    </row>
    <row r="201" spans="1:17">
      <c r="A201" s="20">
        <v>92</v>
      </c>
      <c r="B201" s="20">
        <v>2022</v>
      </c>
      <c r="C201" s="96">
        <v>44733</v>
      </c>
      <c r="D201" s="97" t="s">
        <v>37</v>
      </c>
      <c r="E201" s="20">
        <v>3</v>
      </c>
      <c r="F201" s="20" t="s">
        <v>30</v>
      </c>
      <c r="G201" s="20">
        <v>34989</v>
      </c>
      <c r="H201" s="20" t="s">
        <v>31</v>
      </c>
      <c r="I201" s="20" t="s">
        <v>2402</v>
      </c>
      <c r="J201" s="20" t="s">
        <v>5234</v>
      </c>
      <c r="K201" s="20" t="s">
        <v>5235</v>
      </c>
      <c r="L201" s="20">
        <v>0</v>
      </c>
      <c r="M201" s="20">
        <v>1</v>
      </c>
      <c r="N201" s="20">
        <v>17325355</v>
      </c>
      <c r="O201" s="20" t="s">
        <v>5206</v>
      </c>
      <c r="P201" s="20" t="s">
        <v>5207</v>
      </c>
      <c r="Q201" s="9" t="s">
        <v>33</v>
      </c>
    </row>
    <row r="202" spans="1:17">
      <c r="A202" s="20">
        <v>92</v>
      </c>
      <c r="B202" s="20">
        <v>2022</v>
      </c>
      <c r="C202" s="96">
        <v>44733</v>
      </c>
      <c r="D202" s="97" t="s">
        <v>37</v>
      </c>
      <c r="E202" s="20">
        <v>3</v>
      </c>
      <c r="F202" s="20" t="s">
        <v>30</v>
      </c>
      <c r="G202" s="20">
        <v>34989</v>
      </c>
      <c r="H202" s="20" t="s">
        <v>31</v>
      </c>
      <c r="I202" s="20" t="s">
        <v>2402</v>
      </c>
      <c r="J202" s="20" t="s">
        <v>5236</v>
      </c>
      <c r="K202" s="20" t="s">
        <v>5237</v>
      </c>
      <c r="L202" s="20">
        <v>1</v>
      </c>
      <c r="M202" s="20">
        <v>0</v>
      </c>
      <c r="N202" s="20">
        <v>17628399</v>
      </c>
      <c r="O202" s="20" t="s">
        <v>5238</v>
      </c>
      <c r="P202" s="20" t="s">
        <v>5207</v>
      </c>
      <c r="Q202" s="9" t="s">
        <v>20</v>
      </c>
    </row>
    <row r="203" spans="1:17">
      <c r="A203" s="20">
        <v>92</v>
      </c>
      <c r="B203" s="20">
        <v>2022</v>
      </c>
      <c r="C203" s="96">
        <v>44733</v>
      </c>
      <c r="D203" s="97" t="s">
        <v>37</v>
      </c>
      <c r="E203" s="20">
        <v>3</v>
      </c>
      <c r="F203" s="20" t="s">
        <v>30</v>
      </c>
      <c r="G203" s="20">
        <v>34989</v>
      </c>
      <c r="H203" s="20" t="s">
        <v>31</v>
      </c>
      <c r="I203" s="20" t="s">
        <v>2402</v>
      </c>
      <c r="J203" s="20" t="s">
        <v>5239</v>
      </c>
      <c r="K203" s="20" t="s">
        <v>5240</v>
      </c>
      <c r="L203" s="20">
        <v>0</v>
      </c>
      <c r="M203" s="20">
        <v>1</v>
      </c>
      <c r="N203" s="20">
        <v>21391153</v>
      </c>
      <c r="O203" s="20" t="s">
        <v>5210</v>
      </c>
      <c r="P203" s="20" t="s">
        <v>5207</v>
      </c>
      <c r="Q203" s="9" t="s">
        <v>20</v>
      </c>
    </row>
    <row r="204" spans="1:17">
      <c r="A204" s="20">
        <v>92</v>
      </c>
      <c r="B204" s="20">
        <v>2022</v>
      </c>
      <c r="C204" s="96">
        <v>44733</v>
      </c>
      <c r="D204" s="97" t="s">
        <v>37</v>
      </c>
      <c r="E204" s="20">
        <v>3</v>
      </c>
      <c r="F204" s="20" t="s">
        <v>30</v>
      </c>
      <c r="G204" s="20">
        <v>34989</v>
      </c>
      <c r="H204" s="20" t="s">
        <v>31</v>
      </c>
      <c r="I204" s="20" t="s">
        <v>2402</v>
      </c>
      <c r="J204" s="20" t="s">
        <v>5241</v>
      </c>
      <c r="K204" s="20" t="s">
        <v>5242</v>
      </c>
      <c r="L204" s="20">
        <v>0</v>
      </c>
      <c r="M204" s="20">
        <v>1</v>
      </c>
      <c r="N204" s="20">
        <v>30167048</v>
      </c>
      <c r="O204" s="20" t="s">
        <v>5206</v>
      </c>
      <c r="P204" s="20" t="s">
        <v>5207</v>
      </c>
      <c r="Q204" s="9" t="s">
        <v>33</v>
      </c>
    </row>
    <row r="205" spans="1:17">
      <c r="A205" s="20">
        <v>92</v>
      </c>
      <c r="B205" s="20">
        <v>2022</v>
      </c>
      <c r="C205" s="96">
        <v>44733</v>
      </c>
      <c r="D205" s="97" t="s">
        <v>37</v>
      </c>
      <c r="E205" s="20">
        <v>3</v>
      </c>
      <c r="F205" s="20" t="s">
        <v>30</v>
      </c>
      <c r="G205" s="20">
        <v>34989</v>
      </c>
      <c r="H205" s="20" t="s">
        <v>31</v>
      </c>
      <c r="I205" s="20" t="s">
        <v>2402</v>
      </c>
      <c r="J205" s="20" t="s">
        <v>5243</v>
      </c>
      <c r="K205" s="20" t="s">
        <v>5244</v>
      </c>
      <c r="L205" s="20">
        <v>0</v>
      </c>
      <c r="M205" s="20">
        <v>1</v>
      </c>
      <c r="N205" s="20">
        <v>30682704</v>
      </c>
      <c r="O205" s="20" t="s">
        <v>5210</v>
      </c>
      <c r="P205" s="20" t="s">
        <v>5207</v>
      </c>
      <c r="Q205" s="9" t="s">
        <v>20</v>
      </c>
    </row>
    <row r="206" spans="1:17">
      <c r="A206" s="20">
        <v>92</v>
      </c>
      <c r="B206" s="20">
        <v>2022</v>
      </c>
      <c r="C206" s="96">
        <v>44733</v>
      </c>
      <c r="D206" s="97" t="s">
        <v>37</v>
      </c>
      <c r="E206" s="20">
        <v>3</v>
      </c>
      <c r="F206" s="20" t="s">
        <v>30</v>
      </c>
      <c r="G206" s="20">
        <v>34989</v>
      </c>
      <c r="H206" s="20" t="s">
        <v>31</v>
      </c>
      <c r="I206" s="20" t="s">
        <v>2402</v>
      </c>
      <c r="J206" s="20" t="s">
        <v>5245</v>
      </c>
      <c r="K206" s="20" t="s">
        <v>5246</v>
      </c>
      <c r="L206" s="20">
        <v>0</v>
      </c>
      <c r="M206" s="20">
        <v>1</v>
      </c>
      <c r="N206" s="20">
        <v>37287279</v>
      </c>
      <c r="O206" s="20" t="s">
        <v>5206</v>
      </c>
      <c r="P206" s="20" t="s">
        <v>5207</v>
      </c>
      <c r="Q206" s="9" t="s">
        <v>33</v>
      </c>
    </row>
    <row r="207" spans="1:17">
      <c r="A207" s="20">
        <v>92</v>
      </c>
      <c r="B207" s="20">
        <v>2022</v>
      </c>
      <c r="C207" s="96">
        <v>44733</v>
      </c>
      <c r="D207" s="97" t="s">
        <v>37</v>
      </c>
      <c r="E207" s="20">
        <v>3</v>
      </c>
      <c r="F207" s="20" t="s">
        <v>30</v>
      </c>
      <c r="G207" s="20">
        <v>34989</v>
      </c>
      <c r="H207" s="20" t="s">
        <v>31</v>
      </c>
      <c r="I207" s="20" t="s">
        <v>2402</v>
      </c>
      <c r="J207" s="98" t="s">
        <v>5213</v>
      </c>
      <c r="K207" s="98" t="s">
        <v>5214</v>
      </c>
      <c r="L207" s="98">
        <v>1</v>
      </c>
      <c r="M207" s="98">
        <v>0</v>
      </c>
      <c r="N207" s="98">
        <v>32933367</v>
      </c>
      <c r="O207" s="98" t="s">
        <v>5206</v>
      </c>
      <c r="P207" s="98" t="s">
        <v>5217</v>
      </c>
      <c r="Q207" s="9" t="s">
        <v>5222</v>
      </c>
    </row>
    <row r="208" spans="1:17">
      <c r="A208" s="20">
        <v>92</v>
      </c>
      <c r="B208" s="20">
        <v>2022</v>
      </c>
      <c r="C208" s="96">
        <v>44733</v>
      </c>
      <c r="D208" s="97" t="s">
        <v>37</v>
      </c>
      <c r="E208" s="20">
        <v>3</v>
      </c>
      <c r="F208" s="20" t="s">
        <v>30</v>
      </c>
      <c r="G208" s="20">
        <v>34989</v>
      </c>
      <c r="H208" s="20" t="s">
        <v>31</v>
      </c>
      <c r="I208" s="20" t="s">
        <v>2402</v>
      </c>
      <c r="J208" s="98" t="s">
        <v>5218</v>
      </c>
      <c r="K208" s="98" t="s">
        <v>5219</v>
      </c>
      <c r="L208" s="98">
        <v>0</v>
      </c>
      <c r="M208" s="98">
        <v>1</v>
      </c>
      <c r="N208" s="98">
        <v>28116708</v>
      </c>
      <c r="O208" s="98" t="s">
        <v>5220</v>
      </c>
      <c r="P208" s="98" t="s">
        <v>5221</v>
      </c>
      <c r="Q208" s="9" t="s">
        <v>22</v>
      </c>
    </row>
    <row r="209" spans="1:17">
      <c r="A209" s="20">
        <v>93</v>
      </c>
      <c r="B209" s="20">
        <v>2022</v>
      </c>
      <c r="C209" s="96">
        <v>44733</v>
      </c>
      <c r="D209" s="97" t="s">
        <v>2403</v>
      </c>
      <c r="E209" s="20">
        <v>3</v>
      </c>
      <c r="F209" s="20" t="s">
        <v>30</v>
      </c>
      <c r="G209" s="20">
        <v>34639</v>
      </c>
      <c r="H209" s="20" t="s">
        <v>31</v>
      </c>
      <c r="I209" s="20" t="s">
        <v>2408</v>
      </c>
      <c r="J209" s="20" t="s">
        <v>5289</v>
      </c>
      <c r="K209" s="20" t="s">
        <v>5290</v>
      </c>
      <c r="L209" s="20">
        <v>0</v>
      </c>
      <c r="M209" s="20">
        <v>1</v>
      </c>
      <c r="N209" s="20">
        <v>10212994</v>
      </c>
      <c r="O209" s="20" t="s">
        <v>5206</v>
      </c>
      <c r="P209" s="98" t="s">
        <v>5207</v>
      </c>
      <c r="Q209" s="9" t="s">
        <v>33</v>
      </c>
    </row>
    <row r="210" spans="1:17">
      <c r="A210" s="20">
        <v>93</v>
      </c>
      <c r="B210" s="20">
        <v>2022</v>
      </c>
      <c r="C210" s="96">
        <v>44733</v>
      </c>
      <c r="D210" s="97" t="s">
        <v>2403</v>
      </c>
      <c r="E210" s="20">
        <v>3</v>
      </c>
      <c r="F210" s="20" t="s">
        <v>30</v>
      </c>
      <c r="G210" s="20">
        <v>34639</v>
      </c>
      <c r="H210" s="20" t="s">
        <v>31</v>
      </c>
      <c r="I210" s="20" t="s">
        <v>2408</v>
      </c>
      <c r="J210" s="20" t="s">
        <v>5211</v>
      </c>
      <c r="K210" s="20" t="s">
        <v>5212</v>
      </c>
      <c r="L210" s="20">
        <v>0</v>
      </c>
      <c r="M210" s="20">
        <v>1</v>
      </c>
      <c r="N210" s="20">
        <v>16885984</v>
      </c>
      <c r="O210" s="20" t="s">
        <v>5206</v>
      </c>
      <c r="P210" s="98" t="s">
        <v>5207</v>
      </c>
      <c r="Q210" s="9" t="s">
        <v>33</v>
      </c>
    </row>
    <row r="211" spans="1:17">
      <c r="A211" s="20">
        <v>93</v>
      </c>
      <c r="B211" s="20">
        <v>2022</v>
      </c>
      <c r="C211" s="96">
        <v>44733</v>
      </c>
      <c r="D211" s="97" t="s">
        <v>2403</v>
      </c>
      <c r="E211" s="20">
        <v>3</v>
      </c>
      <c r="F211" s="20" t="s">
        <v>30</v>
      </c>
      <c r="G211" s="20">
        <v>34639</v>
      </c>
      <c r="H211" s="20" t="s">
        <v>31</v>
      </c>
      <c r="I211" s="20" t="s">
        <v>2408</v>
      </c>
      <c r="J211" s="20" t="s">
        <v>5299</v>
      </c>
      <c r="K211" s="20" t="s">
        <v>5300</v>
      </c>
      <c r="L211" s="20">
        <v>0</v>
      </c>
      <c r="M211" s="20">
        <v>1</v>
      </c>
      <c r="N211" s="20">
        <v>18504120</v>
      </c>
      <c r="O211" s="20" t="s">
        <v>5210</v>
      </c>
      <c r="P211" s="20" t="s">
        <v>5207</v>
      </c>
      <c r="Q211" s="9" t="s">
        <v>33</v>
      </c>
    </row>
    <row r="212" spans="1:17">
      <c r="A212" s="20">
        <v>93</v>
      </c>
      <c r="B212" s="20">
        <v>2022</v>
      </c>
      <c r="C212" s="96">
        <v>44733</v>
      </c>
      <c r="D212" s="97" t="s">
        <v>2403</v>
      </c>
      <c r="E212" s="20">
        <v>3</v>
      </c>
      <c r="F212" s="20" t="s">
        <v>30</v>
      </c>
      <c r="G212" s="20">
        <v>34639</v>
      </c>
      <c r="H212" s="20" t="s">
        <v>31</v>
      </c>
      <c r="I212" s="20" t="s">
        <v>2408</v>
      </c>
      <c r="J212" s="20" t="s">
        <v>5297</v>
      </c>
      <c r="K212" s="20" t="s">
        <v>5298</v>
      </c>
      <c r="L212" s="20">
        <v>1</v>
      </c>
      <c r="M212" s="20">
        <v>0</v>
      </c>
      <c r="N212" s="20">
        <v>22224626</v>
      </c>
      <c r="O212" s="20" t="s">
        <v>5206</v>
      </c>
      <c r="P212" s="20" t="s">
        <v>5207</v>
      </c>
      <c r="Q212" s="9" t="s">
        <v>33</v>
      </c>
    </row>
    <row r="213" spans="1:17">
      <c r="A213" s="20">
        <v>93</v>
      </c>
      <c r="B213" s="20">
        <v>2022</v>
      </c>
      <c r="C213" s="96">
        <v>44733</v>
      </c>
      <c r="D213" s="97" t="s">
        <v>2403</v>
      </c>
      <c r="E213" s="20">
        <v>3</v>
      </c>
      <c r="F213" s="20" t="s">
        <v>30</v>
      </c>
      <c r="G213" s="20">
        <v>34639</v>
      </c>
      <c r="H213" s="20" t="s">
        <v>31</v>
      </c>
      <c r="I213" s="20" t="s">
        <v>2408</v>
      </c>
      <c r="J213" s="20" t="s">
        <v>5301</v>
      </c>
      <c r="K213" s="20" t="s">
        <v>5302</v>
      </c>
      <c r="L213" s="20">
        <v>0</v>
      </c>
      <c r="M213" s="20">
        <v>1</v>
      </c>
      <c r="N213" s="20">
        <v>29473738</v>
      </c>
      <c r="O213" s="20" t="s">
        <v>5303</v>
      </c>
      <c r="P213" s="20" t="s">
        <v>5207</v>
      </c>
      <c r="Q213" s="9" t="s">
        <v>20</v>
      </c>
    </row>
    <row r="214" spans="1:17">
      <c r="A214" s="20">
        <v>93</v>
      </c>
      <c r="B214" s="20">
        <v>2022</v>
      </c>
      <c r="C214" s="96">
        <v>44733</v>
      </c>
      <c r="D214" s="97" t="s">
        <v>2403</v>
      </c>
      <c r="E214" s="20">
        <v>3</v>
      </c>
      <c r="F214" s="20" t="s">
        <v>30</v>
      </c>
      <c r="G214" s="20">
        <v>34639</v>
      </c>
      <c r="H214" s="20" t="s">
        <v>31</v>
      </c>
      <c r="I214" s="20" t="s">
        <v>2408</v>
      </c>
      <c r="J214" s="20" t="s">
        <v>5277</v>
      </c>
      <c r="K214" s="20" t="s">
        <v>5278</v>
      </c>
      <c r="L214" s="20">
        <v>0</v>
      </c>
      <c r="M214" s="20">
        <v>1</v>
      </c>
      <c r="N214" s="20">
        <v>32426838</v>
      </c>
      <c r="O214" s="20" t="s">
        <v>5255</v>
      </c>
      <c r="P214" s="20" t="s">
        <v>5207</v>
      </c>
      <c r="Q214" s="9" t="s">
        <v>33</v>
      </c>
    </row>
    <row r="215" spans="1:17">
      <c r="A215" s="20">
        <v>93</v>
      </c>
      <c r="B215" s="20">
        <v>2022</v>
      </c>
      <c r="C215" s="96">
        <v>44733</v>
      </c>
      <c r="D215" s="97" t="s">
        <v>2403</v>
      </c>
      <c r="E215" s="20">
        <v>3</v>
      </c>
      <c r="F215" s="20" t="s">
        <v>30</v>
      </c>
      <c r="G215" s="20">
        <v>34639</v>
      </c>
      <c r="H215" s="20" t="s">
        <v>31</v>
      </c>
      <c r="I215" s="20" t="s">
        <v>2408</v>
      </c>
      <c r="J215" s="20" t="s">
        <v>5285</v>
      </c>
      <c r="K215" s="20" t="s">
        <v>5286</v>
      </c>
      <c r="L215" s="20">
        <v>0</v>
      </c>
      <c r="M215" s="20">
        <v>1</v>
      </c>
      <c r="N215" s="20">
        <v>24473674</v>
      </c>
      <c r="O215" s="20" t="s">
        <v>5206</v>
      </c>
      <c r="P215" s="98" t="s">
        <v>5207</v>
      </c>
      <c r="Q215" s="9" t="s">
        <v>33</v>
      </c>
    </row>
    <row r="216" spans="1:17">
      <c r="A216" s="20">
        <v>93</v>
      </c>
      <c r="B216" s="20">
        <v>2022</v>
      </c>
      <c r="C216" s="96">
        <v>44733</v>
      </c>
      <c r="D216" s="97" t="s">
        <v>2403</v>
      </c>
      <c r="E216" s="20">
        <v>3</v>
      </c>
      <c r="F216" s="20" t="s">
        <v>30</v>
      </c>
      <c r="G216" s="20">
        <v>34639</v>
      </c>
      <c r="H216" s="20" t="s">
        <v>31</v>
      </c>
      <c r="I216" s="20" t="s">
        <v>2408</v>
      </c>
      <c r="J216" s="20" t="s">
        <v>5241</v>
      </c>
      <c r="K216" s="20" t="s">
        <v>5242</v>
      </c>
      <c r="L216" s="20">
        <v>0</v>
      </c>
      <c r="M216" s="20">
        <v>1</v>
      </c>
      <c r="N216" s="20">
        <v>30167048</v>
      </c>
      <c r="O216" s="20" t="s">
        <v>5206</v>
      </c>
      <c r="P216" s="98" t="s">
        <v>5207</v>
      </c>
      <c r="Q216" s="9" t="s">
        <v>5222</v>
      </c>
    </row>
    <row r="217" spans="1:17">
      <c r="A217" s="20">
        <v>93</v>
      </c>
      <c r="B217" s="20">
        <v>2022</v>
      </c>
      <c r="C217" s="96">
        <v>44733</v>
      </c>
      <c r="D217" s="97" t="s">
        <v>2403</v>
      </c>
      <c r="E217" s="20">
        <v>3</v>
      </c>
      <c r="F217" s="20" t="s">
        <v>30</v>
      </c>
      <c r="G217" s="20">
        <v>34639</v>
      </c>
      <c r="H217" s="20" t="s">
        <v>31</v>
      </c>
      <c r="I217" s="20" t="s">
        <v>2408</v>
      </c>
      <c r="J217" s="20" t="s">
        <v>5227</v>
      </c>
      <c r="K217" s="20" t="s">
        <v>5228</v>
      </c>
      <c r="L217" s="20">
        <v>0</v>
      </c>
      <c r="M217" s="20">
        <v>1</v>
      </c>
      <c r="N217" s="20">
        <v>12670333</v>
      </c>
      <c r="O217" s="20" t="s">
        <v>5229</v>
      </c>
      <c r="P217" s="20" t="s">
        <v>5207</v>
      </c>
      <c r="Q217" s="9" t="s">
        <v>33</v>
      </c>
    </row>
    <row r="218" spans="1:17">
      <c r="A218" s="20">
        <v>93</v>
      </c>
      <c r="B218" s="20">
        <v>2022</v>
      </c>
      <c r="C218" s="96">
        <v>44733</v>
      </c>
      <c r="D218" s="97" t="s">
        <v>2403</v>
      </c>
      <c r="E218" s="20">
        <v>3</v>
      </c>
      <c r="F218" s="20" t="s">
        <v>30</v>
      </c>
      <c r="G218" s="20">
        <v>34639</v>
      </c>
      <c r="H218" s="20" t="s">
        <v>31</v>
      </c>
      <c r="I218" s="20" t="s">
        <v>2408</v>
      </c>
      <c r="J218" s="20" t="s">
        <v>5273</v>
      </c>
      <c r="K218" s="20" t="s">
        <v>5274</v>
      </c>
      <c r="L218" s="20">
        <v>0</v>
      </c>
      <c r="M218" s="20">
        <v>1</v>
      </c>
      <c r="N218" s="20">
        <v>18525288</v>
      </c>
      <c r="O218" s="20" t="s">
        <v>5206</v>
      </c>
      <c r="P218" s="98" t="s">
        <v>5207</v>
      </c>
      <c r="Q218" s="9" t="s">
        <v>33</v>
      </c>
    </row>
    <row r="219" spans="1:17">
      <c r="A219" s="20">
        <v>93</v>
      </c>
      <c r="B219" s="20">
        <v>2022</v>
      </c>
      <c r="C219" s="96">
        <v>44733</v>
      </c>
      <c r="D219" s="97" t="s">
        <v>2403</v>
      </c>
      <c r="E219" s="20">
        <v>3</v>
      </c>
      <c r="F219" s="20" t="s">
        <v>30</v>
      </c>
      <c r="G219" s="20">
        <v>34639</v>
      </c>
      <c r="H219" s="20" t="s">
        <v>31</v>
      </c>
      <c r="I219" s="20" t="s">
        <v>2408</v>
      </c>
      <c r="J219" s="20" t="s">
        <v>5208</v>
      </c>
      <c r="K219" s="20" t="s">
        <v>5209</v>
      </c>
      <c r="L219" s="20">
        <v>0</v>
      </c>
      <c r="M219" s="20">
        <v>1</v>
      </c>
      <c r="N219" s="20">
        <v>16430626</v>
      </c>
      <c r="O219" s="20" t="s">
        <v>5210</v>
      </c>
      <c r="P219" s="20" t="s">
        <v>5207</v>
      </c>
      <c r="Q219" s="9" t="s">
        <v>33</v>
      </c>
    </row>
    <row r="220" spans="1:17">
      <c r="A220" s="20">
        <v>93</v>
      </c>
      <c r="B220" s="20">
        <v>2022</v>
      </c>
      <c r="C220" s="96">
        <v>44733</v>
      </c>
      <c r="D220" s="97" t="s">
        <v>2403</v>
      </c>
      <c r="E220" s="20">
        <v>3</v>
      </c>
      <c r="F220" s="20" t="s">
        <v>30</v>
      </c>
      <c r="G220" s="20">
        <v>34639</v>
      </c>
      <c r="H220" s="20" t="s">
        <v>31</v>
      </c>
      <c r="I220" s="20" t="s">
        <v>2408</v>
      </c>
      <c r="J220" s="20" t="s">
        <v>5223</v>
      </c>
      <c r="K220" s="20" t="s">
        <v>5224</v>
      </c>
      <c r="L220" s="20">
        <v>0</v>
      </c>
      <c r="M220" s="20">
        <v>1</v>
      </c>
      <c r="N220" s="20">
        <v>18488164</v>
      </c>
      <c r="O220" s="20" t="s">
        <v>5206</v>
      </c>
      <c r="P220" s="20" t="s">
        <v>5207</v>
      </c>
      <c r="Q220" s="98" t="s">
        <v>5222</v>
      </c>
    </row>
    <row r="221" spans="1:17">
      <c r="A221" s="20">
        <v>93</v>
      </c>
      <c r="B221" s="20">
        <v>2022</v>
      </c>
      <c r="C221" s="96">
        <v>44733</v>
      </c>
      <c r="D221" s="97" t="s">
        <v>2403</v>
      </c>
      <c r="E221" s="20">
        <v>3</v>
      </c>
      <c r="F221" s="20" t="s">
        <v>30</v>
      </c>
      <c r="G221" s="20">
        <v>34639</v>
      </c>
      <c r="H221" s="20" t="s">
        <v>31</v>
      </c>
      <c r="I221" s="20" t="s">
        <v>2408</v>
      </c>
      <c r="J221" s="20" t="s">
        <v>5269</v>
      </c>
      <c r="K221" s="20" t="s">
        <v>5270</v>
      </c>
      <c r="L221" s="20">
        <v>1</v>
      </c>
      <c r="M221" s="20">
        <v>0</v>
      </c>
      <c r="N221" s="20">
        <v>35102921</v>
      </c>
      <c r="O221" s="20" t="s">
        <v>5206</v>
      </c>
      <c r="P221" s="20" t="s">
        <v>5207</v>
      </c>
      <c r="Q221" s="9" t="s">
        <v>33</v>
      </c>
    </row>
    <row r="222" spans="1:17">
      <c r="A222" s="20">
        <v>93</v>
      </c>
      <c r="B222" s="20">
        <v>2022</v>
      </c>
      <c r="C222" s="96">
        <v>44733</v>
      </c>
      <c r="D222" s="97" t="s">
        <v>2403</v>
      </c>
      <c r="E222" s="20">
        <v>3</v>
      </c>
      <c r="F222" s="20" t="s">
        <v>30</v>
      </c>
      <c r="G222" s="20">
        <v>34639</v>
      </c>
      <c r="H222" s="20" t="s">
        <v>31</v>
      </c>
      <c r="I222" s="20" t="s">
        <v>2408</v>
      </c>
      <c r="J222" s="98" t="s">
        <v>5236</v>
      </c>
      <c r="K222" s="98" t="s">
        <v>5237</v>
      </c>
      <c r="L222" s="98">
        <v>1</v>
      </c>
      <c r="M222" s="98">
        <v>0</v>
      </c>
      <c r="N222" s="98">
        <v>17628399</v>
      </c>
      <c r="O222" s="98" t="s">
        <v>5238</v>
      </c>
      <c r="P222" s="98" t="s">
        <v>5217</v>
      </c>
      <c r="Q222" s="98" t="s">
        <v>5222</v>
      </c>
    </row>
    <row r="223" spans="1:17">
      <c r="A223" s="20">
        <v>93</v>
      </c>
      <c r="B223" s="20">
        <v>2022</v>
      </c>
      <c r="C223" s="96">
        <v>44733</v>
      </c>
      <c r="D223" s="97" t="s">
        <v>2403</v>
      </c>
      <c r="E223" s="20">
        <v>3</v>
      </c>
      <c r="F223" s="20" t="s">
        <v>30</v>
      </c>
      <c r="G223" s="20">
        <v>34639</v>
      </c>
      <c r="H223" s="20" t="s">
        <v>31</v>
      </c>
      <c r="I223" s="20" t="s">
        <v>2408</v>
      </c>
      <c r="J223" s="98" t="s">
        <v>5295</v>
      </c>
      <c r="K223" s="98" t="s">
        <v>5296</v>
      </c>
      <c r="L223" s="98">
        <v>1</v>
      </c>
      <c r="M223" s="98">
        <v>0</v>
      </c>
      <c r="N223" s="98">
        <v>10446767</v>
      </c>
      <c r="O223" s="98" t="s">
        <v>5206</v>
      </c>
      <c r="P223" s="98" t="s">
        <v>5217</v>
      </c>
      <c r="Q223" s="98" t="s">
        <v>5222</v>
      </c>
    </row>
    <row r="224" spans="1:17">
      <c r="A224" s="20">
        <v>93</v>
      </c>
      <c r="B224" s="20">
        <v>2022</v>
      </c>
      <c r="C224" s="96">
        <v>44733</v>
      </c>
      <c r="D224" s="97" t="s">
        <v>2403</v>
      </c>
      <c r="E224" s="20">
        <v>3</v>
      </c>
      <c r="F224" s="20" t="s">
        <v>30</v>
      </c>
      <c r="G224" s="20">
        <v>34639</v>
      </c>
      <c r="H224" s="20" t="s">
        <v>31</v>
      </c>
      <c r="I224" s="20" t="s">
        <v>2408</v>
      </c>
      <c r="J224" s="98" t="s">
        <v>5304</v>
      </c>
      <c r="K224" s="98" t="s">
        <v>5305</v>
      </c>
      <c r="L224" s="98">
        <v>1</v>
      </c>
      <c r="M224" s="98">
        <v>0</v>
      </c>
      <c r="N224" s="98">
        <v>23796028</v>
      </c>
      <c r="O224" s="98" t="s">
        <v>5206</v>
      </c>
      <c r="P224" s="98" t="s">
        <v>5217</v>
      </c>
      <c r="Q224" s="98" t="s">
        <v>5222</v>
      </c>
    </row>
    <row r="225" spans="1:17">
      <c r="A225" s="20">
        <v>93</v>
      </c>
      <c r="B225" s="20">
        <v>2022</v>
      </c>
      <c r="C225" s="96">
        <v>44733</v>
      </c>
      <c r="D225" s="97" t="s">
        <v>2403</v>
      </c>
      <c r="E225" s="20">
        <v>3</v>
      </c>
      <c r="F225" s="20" t="s">
        <v>30</v>
      </c>
      <c r="G225" s="20">
        <v>34639</v>
      </c>
      <c r="H225" s="20" t="s">
        <v>31</v>
      </c>
      <c r="I225" s="20" t="s">
        <v>2408</v>
      </c>
      <c r="J225" s="98" t="s">
        <v>5234</v>
      </c>
      <c r="K225" s="98" t="s">
        <v>5235</v>
      </c>
      <c r="L225" s="98">
        <v>0</v>
      </c>
      <c r="M225" s="98">
        <v>1</v>
      </c>
      <c r="N225" s="98">
        <v>17325355</v>
      </c>
      <c r="O225" s="98" t="s">
        <v>5206</v>
      </c>
      <c r="P225" s="98" t="s">
        <v>5217</v>
      </c>
      <c r="Q225" s="98" t="s">
        <v>5222</v>
      </c>
    </row>
    <row r="226" spans="1:17">
      <c r="A226" s="20">
        <v>93</v>
      </c>
      <c r="B226" s="20">
        <v>2022</v>
      </c>
      <c r="C226" s="96">
        <v>44733</v>
      </c>
      <c r="D226" s="97" t="s">
        <v>2403</v>
      </c>
      <c r="E226" s="20">
        <v>3</v>
      </c>
      <c r="F226" s="20" t="s">
        <v>30</v>
      </c>
      <c r="G226" s="20">
        <v>34639</v>
      </c>
      <c r="H226" s="20" t="s">
        <v>31</v>
      </c>
      <c r="I226" s="20" t="s">
        <v>2408</v>
      </c>
      <c r="J226" s="98" t="s">
        <v>5263</v>
      </c>
      <c r="K226" s="98" t="s">
        <v>5264</v>
      </c>
      <c r="L226" s="98">
        <v>0</v>
      </c>
      <c r="M226" s="98">
        <v>1</v>
      </c>
      <c r="N226" s="98">
        <v>10451539</v>
      </c>
      <c r="O226" s="98" t="s">
        <v>5238</v>
      </c>
      <c r="P226" s="98" t="s">
        <v>5217</v>
      </c>
      <c r="Q226" s="9" t="s">
        <v>5222</v>
      </c>
    </row>
    <row r="227" spans="1:17">
      <c r="A227" s="20">
        <v>93</v>
      </c>
      <c r="B227" s="20">
        <v>2022</v>
      </c>
      <c r="C227" s="96">
        <v>44733</v>
      </c>
      <c r="D227" s="97" t="s">
        <v>2403</v>
      </c>
      <c r="E227" s="20">
        <v>3</v>
      </c>
      <c r="F227" s="20" t="s">
        <v>30</v>
      </c>
      <c r="G227" s="20">
        <v>34639</v>
      </c>
      <c r="H227" s="20" t="s">
        <v>31</v>
      </c>
      <c r="I227" s="20" t="s">
        <v>2408</v>
      </c>
      <c r="J227" s="98" t="s">
        <v>5306</v>
      </c>
      <c r="K227" s="98" t="s">
        <v>5307</v>
      </c>
      <c r="L227" s="98">
        <v>1</v>
      </c>
      <c r="M227" s="98">
        <v>0</v>
      </c>
      <c r="N227" s="98">
        <v>20856135</v>
      </c>
      <c r="O227" s="98" t="s">
        <v>5206</v>
      </c>
      <c r="P227" s="98" t="s">
        <v>5217</v>
      </c>
      <c r="Q227" s="9" t="s">
        <v>5222</v>
      </c>
    </row>
    <row r="228" spans="1:17">
      <c r="A228" s="20">
        <v>93</v>
      </c>
      <c r="B228" s="20">
        <v>2022</v>
      </c>
      <c r="C228" s="96">
        <v>44733</v>
      </c>
      <c r="D228" s="97" t="s">
        <v>2403</v>
      </c>
      <c r="E228" s="20">
        <v>3</v>
      </c>
      <c r="F228" s="20" t="s">
        <v>30</v>
      </c>
      <c r="G228" s="20">
        <v>34639</v>
      </c>
      <c r="H228" s="20" t="s">
        <v>31</v>
      </c>
      <c r="I228" s="20" t="s">
        <v>2408</v>
      </c>
      <c r="J228" s="98" t="s">
        <v>5241</v>
      </c>
      <c r="K228" s="98" t="s">
        <v>5256</v>
      </c>
      <c r="L228" s="98">
        <v>1</v>
      </c>
      <c r="M228" s="98">
        <v>0</v>
      </c>
      <c r="N228" s="98">
        <v>17026455</v>
      </c>
      <c r="O228" s="98" t="s">
        <v>5206</v>
      </c>
      <c r="P228" s="98" t="s">
        <v>5217</v>
      </c>
      <c r="Q228" s="98" t="s">
        <v>5222</v>
      </c>
    </row>
    <row r="229" spans="1:17">
      <c r="A229" s="20">
        <v>93</v>
      </c>
      <c r="B229" s="20">
        <v>2022</v>
      </c>
      <c r="C229" s="96">
        <v>44733</v>
      </c>
      <c r="D229" s="97" t="s">
        <v>2403</v>
      </c>
      <c r="E229" s="20">
        <v>3</v>
      </c>
      <c r="F229" s="20" t="s">
        <v>30</v>
      </c>
      <c r="G229" s="20">
        <v>34639</v>
      </c>
      <c r="H229" s="20" t="s">
        <v>31</v>
      </c>
      <c r="I229" s="20" t="s">
        <v>2408</v>
      </c>
      <c r="J229" s="98" t="s">
        <v>5308</v>
      </c>
      <c r="K229" s="98" t="s">
        <v>5309</v>
      </c>
      <c r="L229" s="98">
        <v>0</v>
      </c>
      <c r="M229" s="98">
        <v>1</v>
      </c>
      <c r="N229" s="98">
        <v>26884120</v>
      </c>
      <c r="O229" s="98" t="s">
        <v>5310</v>
      </c>
      <c r="P229" s="98" t="s">
        <v>5221</v>
      </c>
      <c r="Q229" s="9" t="s">
        <v>22</v>
      </c>
    </row>
    <row r="230" spans="1:17">
      <c r="A230" s="20">
        <v>93</v>
      </c>
      <c r="B230" s="20">
        <v>2022</v>
      </c>
      <c r="C230" s="96">
        <v>44733</v>
      </c>
      <c r="D230" s="97" t="s">
        <v>2403</v>
      </c>
      <c r="E230" s="20">
        <v>3</v>
      </c>
      <c r="F230" s="20" t="s">
        <v>30</v>
      </c>
      <c r="G230" s="20">
        <v>34639</v>
      </c>
      <c r="H230" s="20" t="s">
        <v>31</v>
      </c>
      <c r="I230" s="20" t="s">
        <v>2408</v>
      </c>
      <c r="J230" s="98" t="s">
        <v>5213</v>
      </c>
      <c r="K230" s="98" t="s">
        <v>5214</v>
      </c>
      <c r="L230" s="98">
        <v>1</v>
      </c>
      <c r="M230" s="98">
        <v>0</v>
      </c>
      <c r="N230" s="98">
        <v>32933367</v>
      </c>
      <c r="O230" s="98" t="s">
        <v>5206</v>
      </c>
      <c r="P230" s="98" t="s">
        <v>5221</v>
      </c>
      <c r="Q230" s="9" t="s">
        <v>22</v>
      </c>
    </row>
    <row r="231" spans="1:17">
      <c r="A231" s="20">
        <v>94</v>
      </c>
      <c r="B231" s="20">
        <v>2022</v>
      </c>
      <c r="C231" s="96">
        <v>44734</v>
      </c>
      <c r="D231" s="97" t="s">
        <v>53</v>
      </c>
      <c r="E231" s="20">
        <v>1</v>
      </c>
      <c r="F231" s="20" t="s">
        <v>30</v>
      </c>
      <c r="G231" s="20">
        <v>34989</v>
      </c>
      <c r="H231" s="20" t="s">
        <v>31</v>
      </c>
      <c r="I231" s="20" t="s">
        <v>2402</v>
      </c>
      <c r="J231" s="98" t="s">
        <v>5281</v>
      </c>
      <c r="K231" s="98" t="s">
        <v>5282</v>
      </c>
      <c r="L231" s="98">
        <v>0</v>
      </c>
      <c r="M231" s="98">
        <v>1</v>
      </c>
      <c r="N231" s="98">
        <v>14130983</v>
      </c>
      <c r="O231" s="98" t="s">
        <v>5206</v>
      </c>
      <c r="P231" s="98" t="s">
        <v>5221</v>
      </c>
      <c r="Q231" s="9" t="s">
        <v>33</v>
      </c>
    </row>
    <row r="232" spans="1:17">
      <c r="A232" s="20">
        <v>94</v>
      </c>
      <c r="B232" s="20">
        <v>2022</v>
      </c>
      <c r="C232" s="96">
        <v>44734</v>
      </c>
      <c r="D232" s="97" t="s">
        <v>53</v>
      </c>
      <c r="E232" s="20">
        <v>1</v>
      </c>
      <c r="F232" s="20" t="s">
        <v>30</v>
      </c>
      <c r="G232" s="20">
        <v>34989</v>
      </c>
      <c r="H232" s="20" t="s">
        <v>31</v>
      </c>
      <c r="I232" s="20" t="s">
        <v>2402</v>
      </c>
      <c r="J232" s="98" t="s">
        <v>5287</v>
      </c>
      <c r="K232" s="98" t="s">
        <v>5288</v>
      </c>
      <c r="L232" s="98">
        <v>0</v>
      </c>
      <c r="M232" s="98">
        <v>1</v>
      </c>
      <c r="N232" s="98">
        <v>5452903</v>
      </c>
      <c r="O232" s="98" t="s">
        <v>5206</v>
      </c>
      <c r="P232" s="98" t="s">
        <v>5221</v>
      </c>
      <c r="Q232" s="9" t="s">
        <v>33</v>
      </c>
    </row>
    <row r="233" spans="1:17">
      <c r="A233" s="20">
        <v>94</v>
      </c>
      <c r="B233" s="20">
        <v>2022</v>
      </c>
      <c r="C233" s="96">
        <v>44734</v>
      </c>
      <c r="D233" s="97" t="s">
        <v>53</v>
      </c>
      <c r="E233" s="20">
        <v>1</v>
      </c>
      <c r="F233" s="20" t="s">
        <v>30</v>
      </c>
      <c r="G233" s="20">
        <v>34989</v>
      </c>
      <c r="H233" s="20" t="s">
        <v>31</v>
      </c>
      <c r="I233" s="20" t="s">
        <v>2402</v>
      </c>
      <c r="J233" s="20" t="s">
        <v>5227</v>
      </c>
      <c r="K233" s="20" t="s">
        <v>5228</v>
      </c>
      <c r="L233" s="20">
        <v>0</v>
      </c>
      <c r="M233" s="20">
        <v>1</v>
      </c>
      <c r="N233" s="20">
        <v>12670333</v>
      </c>
      <c r="O233" s="20" t="s">
        <v>5229</v>
      </c>
      <c r="P233" s="20" t="s">
        <v>5207</v>
      </c>
      <c r="Q233" s="9" t="s">
        <v>33</v>
      </c>
    </row>
    <row r="234" spans="1:17">
      <c r="A234" s="20">
        <v>94</v>
      </c>
      <c r="B234" s="20">
        <v>2022</v>
      </c>
      <c r="C234" s="96">
        <v>44734</v>
      </c>
      <c r="D234" s="97" t="s">
        <v>53</v>
      </c>
      <c r="E234" s="20">
        <v>1</v>
      </c>
      <c r="F234" s="20" t="s">
        <v>30</v>
      </c>
      <c r="G234" s="20">
        <v>34989</v>
      </c>
      <c r="H234" s="20" t="s">
        <v>31</v>
      </c>
      <c r="I234" s="20" t="s">
        <v>2402</v>
      </c>
      <c r="J234" s="20" t="s">
        <v>5253</v>
      </c>
      <c r="K234" s="20" t="s">
        <v>5254</v>
      </c>
      <c r="L234" s="20">
        <v>1</v>
      </c>
      <c r="M234" s="20">
        <v>0</v>
      </c>
      <c r="N234" s="20">
        <v>12794217</v>
      </c>
      <c r="O234" s="20" t="s">
        <v>5255</v>
      </c>
      <c r="P234" s="20" t="s">
        <v>5207</v>
      </c>
      <c r="Q234" s="9" t="s">
        <v>33</v>
      </c>
    </row>
    <row r="235" spans="1:17">
      <c r="A235" s="20">
        <v>94</v>
      </c>
      <c r="B235" s="20">
        <v>2022</v>
      </c>
      <c r="C235" s="96">
        <v>44734</v>
      </c>
      <c r="D235" s="97" t="s">
        <v>53</v>
      </c>
      <c r="E235" s="20">
        <v>1</v>
      </c>
      <c r="F235" s="20" t="s">
        <v>30</v>
      </c>
      <c r="G235" s="20">
        <v>34989</v>
      </c>
      <c r="H235" s="20" t="s">
        <v>31</v>
      </c>
      <c r="I235" s="20" t="s">
        <v>2402</v>
      </c>
      <c r="J235" s="20" t="s">
        <v>5208</v>
      </c>
      <c r="K235" s="20" t="s">
        <v>5209</v>
      </c>
      <c r="L235" s="20">
        <v>0</v>
      </c>
      <c r="M235" s="20">
        <v>1</v>
      </c>
      <c r="N235" s="20">
        <v>16430626</v>
      </c>
      <c r="O235" s="20" t="s">
        <v>5210</v>
      </c>
      <c r="P235" s="20" t="s">
        <v>5207</v>
      </c>
      <c r="Q235" s="9" t="s">
        <v>33</v>
      </c>
    </row>
    <row r="236" spans="1:17">
      <c r="A236" s="20">
        <v>94</v>
      </c>
      <c r="B236" s="20">
        <v>2022</v>
      </c>
      <c r="C236" s="96">
        <v>44734</v>
      </c>
      <c r="D236" s="97" t="s">
        <v>53</v>
      </c>
      <c r="E236" s="20">
        <v>1</v>
      </c>
      <c r="F236" s="20" t="s">
        <v>30</v>
      </c>
      <c r="G236" s="20">
        <v>34989</v>
      </c>
      <c r="H236" s="20" t="s">
        <v>31</v>
      </c>
      <c r="I236" s="20" t="s">
        <v>2402</v>
      </c>
      <c r="J236" s="20" t="s">
        <v>5247</v>
      </c>
      <c r="K236" s="20" t="s">
        <v>5248</v>
      </c>
      <c r="L236" s="20">
        <v>1</v>
      </c>
      <c r="M236" s="20">
        <v>0</v>
      </c>
      <c r="N236" s="20">
        <v>27498041</v>
      </c>
      <c r="O236" s="20" t="s">
        <v>5206</v>
      </c>
      <c r="P236" s="20" t="s">
        <v>5207</v>
      </c>
      <c r="Q236" s="9" t="s">
        <v>20</v>
      </c>
    </row>
    <row r="237" spans="1:17">
      <c r="A237" s="20">
        <v>94</v>
      </c>
      <c r="B237" s="20">
        <v>2022</v>
      </c>
      <c r="C237" s="96">
        <v>44734</v>
      </c>
      <c r="D237" s="97" t="s">
        <v>53</v>
      </c>
      <c r="E237" s="20">
        <v>1</v>
      </c>
      <c r="F237" s="20" t="s">
        <v>30</v>
      </c>
      <c r="G237" s="20">
        <v>34989</v>
      </c>
      <c r="H237" s="20" t="s">
        <v>31</v>
      </c>
      <c r="I237" s="20" t="s">
        <v>2402</v>
      </c>
      <c r="J237" s="20" t="s">
        <v>5283</v>
      </c>
      <c r="K237" s="20" t="s">
        <v>5284</v>
      </c>
      <c r="L237" s="20">
        <v>0</v>
      </c>
      <c r="M237" s="20">
        <v>1</v>
      </c>
      <c r="N237" s="20">
        <v>33592427</v>
      </c>
      <c r="O237" s="20" t="s">
        <v>5206</v>
      </c>
      <c r="P237" s="20" t="s">
        <v>5207</v>
      </c>
      <c r="Q237" s="9" t="s">
        <v>33</v>
      </c>
    </row>
    <row r="238" spans="1:17">
      <c r="A238" s="20">
        <v>94</v>
      </c>
      <c r="B238" s="20">
        <v>2022</v>
      </c>
      <c r="C238" s="96">
        <v>44734</v>
      </c>
      <c r="D238" s="97" t="s">
        <v>53</v>
      </c>
      <c r="E238" s="20">
        <v>1</v>
      </c>
      <c r="F238" s="20" t="s">
        <v>30</v>
      </c>
      <c r="G238" s="20">
        <v>34989</v>
      </c>
      <c r="H238" s="20" t="s">
        <v>31</v>
      </c>
      <c r="I238" s="20" t="s">
        <v>2402</v>
      </c>
      <c r="J238" s="98" t="s">
        <v>5230</v>
      </c>
      <c r="K238" s="98" t="s">
        <v>5231</v>
      </c>
      <c r="L238" s="98">
        <v>0</v>
      </c>
      <c r="M238" s="98">
        <v>1</v>
      </c>
      <c r="N238" s="98">
        <v>12334380</v>
      </c>
      <c r="O238" s="98" t="s">
        <v>5206</v>
      </c>
      <c r="P238" s="98" t="s">
        <v>5221</v>
      </c>
      <c r="Q238" s="9" t="s">
        <v>22</v>
      </c>
    </row>
    <row r="239" spans="1:17">
      <c r="A239" s="20">
        <v>94</v>
      </c>
      <c r="B239" s="20">
        <v>2022</v>
      </c>
      <c r="C239" s="96">
        <v>44734</v>
      </c>
      <c r="D239" s="97" t="s">
        <v>53</v>
      </c>
      <c r="E239" s="20">
        <v>2</v>
      </c>
      <c r="F239" s="20" t="s">
        <v>30</v>
      </c>
      <c r="G239" s="20">
        <v>34639</v>
      </c>
      <c r="H239" s="20" t="s">
        <v>31</v>
      </c>
      <c r="I239" s="20" t="s">
        <v>2408</v>
      </c>
      <c r="J239" s="20" t="s">
        <v>5251</v>
      </c>
      <c r="K239" s="20" t="s">
        <v>5252</v>
      </c>
      <c r="L239" s="20">
        <v>0</v>
      </c>
      <c r="M239" s="20">
        <v>1</v>
      </c>
      <c r="N239" s="20">
        <v>30643373</v>
      </c>
      <c r="O239" s="20" t="s">
        <v>5206</v>
      </c>
      <c r="P239" s="98" t="s">
        <v>5207</v>
      </c>
      <c r="Q239" s="9" t="s">
        <v>33</v>
      </c>
    </row>
    <row r="240" spans="1:17">
      <c r="A240" s="20">
        <v>94</v>
      </c>
      <c r="B240" s="20">
        <v>2022</v>
      </c>
      <c r="C240" s="96">
        <v>44734</v>
      </c>
      <c r="D240" s="97" t="s">
        <v>53</v>
      </c>
      <c r="E240" s="20">
        <v>2</v>
      </c>
      <c r="F240" s="20" t="s">
        <v>30</v>
      </c>
      <c r="G240" s="20">
        <v>34639</v>
      </c>
      <c r="H240" s="20" t="s">
        <v>31</v>
      </c>
      <c r="I240" s="20" t="s">
        <v>2408</v>
      </c>
      <c r="J240" s="20" t="s">
        <v>5245</v>
      </c>
      <c r="K240" s="20" t="s">
        <v>5246</v>
      </c>
      <c r="L240" s="20">
        <v>0</v>
      </c>
      <c r="M240" s="20">
        <v>1</v>
      </c>
      <c r="N240" s="20">
        <v>37287279</v>
      </c>
      <c r="O240" s="20" t="s">
        <v>5206</v>
      </c>
      <c r="P240" s="98" t="s">
        <v>5207</v>
      </c>
      <c r="Q240" s="9" t="s">
        <v>33</v>
      </c>
    </row>
    <row r="241" spans="1:17">
      <c r="A241" s="20">
        <v>94</v>
      </c>
      <c r="B241" s="20">
        <v>2022</v>
      </c>
      <c r="C241" s="96">
        <v>44734</v>
      </c>
      <c r="D241" s="97" t="s">
        <v>53</v>
      </c>
      <c r="E241" s="20">
        <v>2</v>
      </c>
      <c r="F241" s="20" t="s">
        <v>30</v>
      </c>
      <c r="G241" s="20">
        <v>34639</v>
      </c>
      <c r="H241" s="20" t="s">
        <v>31</v>
      </c>
      <c r="I241" s="20" t="s">
        <v>2408</v>
      </c>
      <c r="J241" s="20" t="s">
        <v>5227</v>
      </c>
      <c r="K241" s="20" t="s">
        <v>5228</v>
      </c>
      <c r="L241" s="20">
        <v>0</v>
      </c>
      <c r="M241" s="20">
        <v>1</v>
      </c>
      <c r="N241" s="20">
        <v>12670333</v>
      </c>
      <c r="O241" s="20" t="s">
        <v>5229</v>
      </c>
      <c r="P241" s="20" t="s">
        <v>5207</v>
      </c>
      <c r="Q241" s="9" t="s">
        <v>33</v>
      </c>
    </row>
    <row r="242" spans="1:17">
      <c r="A242" s="20">
        <v>94</v>
      </c>
      <c r="B242" s="20">
        <v>2022</v>
      </c>
      <c r="C242" s="96">
        <v>44734</v>
      </c>
      <c r="D242" s="97" t="s">
        <v>53</v>
      </c>
      <c r="E242" s="20">
        <v>2</v>
      </c>
      <c r="F242" s="20" t="s">
        <v>30</v>
      </c>
      <c r="G242" s="20">
        <v>34639</v>
      </c>
      <c r="H242" s="20" t="s">
        <v>31</v>
      </c>
      <c r="I242" s="20" t="s">
        <v>2408</v>
      </c>
      <c r="J242" s="20" t="s">
        <v>5253</v>
      </c>
      <c r="K242" s="20" t="s">
        <v>5254</v>
      </c>
      <c r="L242" s="20">
        <v>1</v>
      </c>
      <c r="M242" s="20">
        <v>0</v>
      </c>
      <c r="N242" s="20">
        <v>12794217</v>
      </c>
      <c r="O242" s="20" t="s">
        <v>5255</v>
      </c>
      <c r="P242" s="20" t="s">
        <v>5207</v>
      </c>
      <c r="Q242" s="9" t="s">
        <v>20</v>
      </c>
    </row>
    <row r="243" spans="1:17">
      <c r="A243" s="20">
        <v>94</v>
      </c>
      <c r="B243" s="20">
        <v>2022</v>
      </c>
      <c r="C243" s="96">
        <v>44734</v>
      </c>
      <c r="D243" s="97" t="s">
        <v>53</v>
      </c>
      <c r="E243" s="20">
        <v>2</v>
      </c>
      <c r="F243" s="20" t="s">
        <v>30</v>
      </c>
      <c r="G243" s="20">
        <v>34639</v>
      </c>
      <c r="H243" s="20" t="s">
        <v>31</v>
      </c>
      <c r="I243" s="20" t="s">
        <v>2408</v>
      </c>
      <c r="J243" s="20" t="s">
        <v>5208</v>
      </c>
      <c r="K243" s="20" t="s">
        <v>5209</v>
      </c>
      <c r="L243" s="20">
        <v>0</v>
      </c>
      <c r="M243" s="20">
        <v>1</v>
      </c>
      <c r="N243" s="20">
        <v>16430626</v>
      </c>
      <c r="O243" s="20" t="s">
        <v>5210</v>
      </c>
      <c r="P243" s="20" t="s">
        <v>5207</v>
      </c>
      <c r="Q243" s="9" t="s">
        <v>33</v>
      </c>
    </row>
    <row r="244" spans="1:17">
      <c r="A244" s="20">
        <v>94</v>
      </c>
      <c r="B244" s="20">
        <v>2022</v>
      </c>
      <c r="C244" s="96">
        <v>44734</v>
      </c>
      <c r="D244" s="97" t="s">
        <v>53</v>
      </c>
      <c r="E244" s="20">
        <v>2</v>
      </c>
      <c r="F244" s="20" t="s">
        <v>30</v>
      </c>
      <c r="G244" s="20">
        <v>34639</v>
      </c>
      <c r="H244" s="20" t="s">
        <v>31</v>
      </c>
      <c r="I244" s="20" t="s">
        <v>2408</v>
      </c>
      <c r="J244" s="20" t="s">
        <v>5247</v>
      </c>
      <c r="K244" s="20" t="s">
        <v>5248</v>
      </c>
      <c r="L244" s="20">
        <v>1</v>
      </c>
      <c r="M244" s="20">
        <v>0</v>
      </c>
      <c r="N244" s="20">
        <v>27498041</v>
      </c>
      <c r="O244" s="20" t="s">
        <v>5206</v>
      </c>
      <c r="P244" s="20" t="s">
        <v>5207</v>
      </c>
      <c r="Q244" s="9" t="s">
        <v>20</v>
      </c>
    </row>
    <row r="245" spans="1:17">
      <c r="A245" s="20">
        <v>94</v>
      </c>
      <c r="B245" s="20">
        <v>2022</v>
      </c>
      <c r="C245" s="96">
        <v>44734</v>
      </c>
      <c r="D245" s="97" t="s">
        <v>53</v>
      </c>
      <c r="E245" s="20">
        <v>2</v>
      </c>
      <c r="F245" s="20" t="s">
        <v>30</v>
      </c>
      <c r="G245" s="20">
        <v>34639</v>
      </c>
      <c r="H245" s="20" t="s">
        <v>31</v>
      </c>
      <c r="I245" s="20" t="s">
        <v>2408</v>
      </c>
      <c r="J245" s="20" t="s">
        <v>5283</v>
      </c>
      <c r="K245" s="20" t="s">
        <v>5284</v>
      </c>
      <c r="L245" s="20">
        <v>0</v>
      </c>
      <c r="M245" s="20">
        <v>1</v>
      </c>
      <c r="N245" s="20">
        <v>33592427</v>
      </c>
      <c r="O245" s="20" t="s">
        <v>5206</v>
      </c>
      <c r="P245" s="20" t="s">
        <v>5207</v>
      </c>
      <c r="Q245" s="9" t="s">
        <v>33</v>
      </c>
    </row>
    <row r="246" spans="1:17">
      <c r="A246" s="20">
        <v>94</v>
      </c>
      <c r="B246" s="20">
        <v>2022</v>
      </c>
      <c r="C246" s="96">
        <v>44734</v>
      </c>
      <c r="D246" s="97" t="s">
        <v>53</v>
      </c>
      <c r="E246" s="20">
        <v>2</v>
      </c>
      <c r="F246" s="20" t="s">
        <v>30</v>
      </c>
      <c r="G246" s="20">
        <v>34639</v>
      </c>
      <c r="H246" s="20" t="s">
        <v>31</v>
      </c>
      <c r="I246" s="20" t="s">
        <v>2408</v>
      </c>
      <c r="J246" s="98" t="s">
        <v>5230</v>
      </c>
      <c r="K246" s="98" t="s">
        <v>5231</v>
      </c>
      <c r="L246" s="98">
        <v>0</v>
      </c>
      <c r="M246" s="98">
        <v>1</v>
      </c>
      <c r="N246" s="98">
        <v>12334380</v>
      </c>
      <c r="O246" s="98" t="s">
        <v>5206</v>
      </c>
      <c r="P246" s="98" t="s">
        <v>5221</v>
      </c>
      <c r="Q246" s="98" t="s">
        <v>5222</v>
      </c>
    </row>
    <row r="247" spans="1:17">
      <c r="A247" s="20">
        <v>99</v>
      </c>
      <c r="B247" s="20">
        <v>2022</v>
      </c>
      <c r="C247" s="96">
        <v>44740</v>
      </c>
      <c r="D247" s="97" t="s">
        <v>2373</v>
      </c>
      <c r="E247" s="20">
        <v>1</v>
      </c>
      <c r="F247" s="20" t="s">
        <v>30</v>
      </c>
      <c r="G247" s="20">
        <v>33211</v>
      </c>
      <c r="H247" s="20" t="s">
        <v>61</v>
      </c>
      <c r="I247" s="20" t="s">
        <v>2425</v>
      </c>
      <c r="J247" s="20" t="s">
        <v>5289</v>
      </c>
      <c r="K247" s="20" t="s">
        <v>5290</v>
      </c>
      <c r="L247" s="20">
        <v>0</v>
      </c>
      <c r="M247" s="20">
        <v>1</v>
      </c>
      <c r="N247" s="20">
        <v>10212994</v>
      </c>
      <c r="O247" s="20" t="s">
        <v>5206</v>
      </c>
      <c r="P247" s="98" t="s">
        <v>5207</v>
      </c>
      <c r="Q247" s="9" t="s">
        <v>20</v>
      </c>
    </row>
    <row r="248" spans="1:17">
      <c r="A248" s="20">
        <v>99</v>
      </c>
      <c r="B248" s="20">
        <v>2022</v>
      </c>
      <c r="C248" s="96">
        <v>44740</v>
      </c>
      <c r="D248" s="97" t="s">
        <v>2373</v>
      </c>
      <c r="E248" s="20">
        <v>1</v>
      </c>
      <c r="F248" s="20" t="s">
        <v>30</v>
      </c>
      <c r="G248" s="20">
        <v>33211</v>
      </c>
      <c r="H248" s="20" t="s">
        <v>61</v>
      </c>
      <c r="I248" s="20" t="s">
        <v>2425</v>
      </c>
      <c r="J248" s="20" t="s">
        <v>5211</v>
      </c>
      <c r="K248" s="20" t="s">
        <v>5212</v>
      </c>
      <c r="L248" s="20">
        <v>0</v>
      </c>
      <c r="M248" s="20">
        <v>1</v>
      </c>
      <c r="N248" s="20">
        <v>16885984</v>
      </c>
      <c r="O248" s="20" t="s">
        <v>5206</v>
      </c>
      <c r="P248" s="98" t="s">
        <v>5207</v>
      </c>
      <c r="Q248" s="9" t="s">
        <v>33</v>
      </c>
    </row>
    <row r="249" spans="1:17">
      <c r="A249" s="20">
        <v>99</v>
      </c>
      <c r="B249" s="20">
        <v>2022</v>
      </c>
      <c r="C249" s="96">
        <v>44740</v>
      </c>
      <c r="D249" s="97" t="s">
        <v>2373</v>
      </c>
      <c r="E249" s="20">
        <v>1</v>
      </c>
      <c r="F249" s="20" t="s">
        <v>30</v>
      </c>
      <c r="G249" s="20">
        <v>33211</v>
      </c>
      <c r="H249" s="20" t="s">
        <v>61</v>
      </c>
      <c r="I249" s="20" t="s">
        <v>2425</v>
      </c>
      <c r="J249" s="20" t="s">
        <v>5297</v>
      </c>
      <c r="K249" s="20" t="s">
        <v>5298</v>
      </c>
      <c r="L249" s="20">
        <v>1</v>
      </c>
      <c r="M249" s="20">
        <v>0</v>
      </c>
      <c r="N249" s="20">
        <v>22224626</v>
      </c>
      <c r="O249" s="20" t="s">
        <v>5206</v>
      </c>
      <c r="P249" s="20" t="s">
        <v>5207</v>
      </c>
      <c r="Q249" s="9" t="s">
        <v>33</v>
      </c>
    </row>
    <row r="250" spans="1:17">
      <c r="A250" s="20">
        <v>99</v>
      </c>
      <c r="B250" s="20">
        <v>2022</v>
      </c>
      <c r="C250" s="96">
        <v>44740</v>
      </c>
      <c r="D250" s="97" t="s">
        <v>2373</v>
      </c>
      <c r="E250" s="20">
        <v>1</v>
      </c>
      <c r="F250" s="20" t="s">
        <v>30</v>
      </c>
      <c r="G250" s="20">
        <v>33211</v>
      </c>
      <c r="H250" s="20" t="s">
        <v>61</v>
      </c>
      <c r="I250" s="20" t="s">
        <v>2425</v>
      </c>
      <c r="J250" s="20" t="s">
        <v>5301</v>
      </c>
      <c r="K250" s="20" t="s">
        <v>5302</v>
      </c>
      <c r="L250" s="20">
        <v>0</v>
      </c>
      <c r="M250" s="20">
        <v>1</v>
      </c>
      <c r="N250" s="20">
        <v>29473738</v>
      </c>
      <c r="O250" s="20" t="s">
        <v>5303</v>
      </c>
      <c r="P250" s="20" t="s">
        <v>5207</v>
      </c>
      <c r="Q250" s="9" t="s">
        <v>20</v>
      </c>
    </row>
    <row r="251" spans="1:17">
      <c r="A251" s="20">
        <v>99</v>
      </c>
      <c r="B251" s="20">
        <v>2022</v>
      </c>
      <c r="C251" s="96">
        <v>44740</v>
      </c>
      <c r="D251" s="97" t="s">
        <v>2373</v>
      </c>
      <c r="E251" s="20">
        <v>1</v>
      </c>
      <c r="F251" s="20" t="s">
        <v>30</v>
      </c>
      <c r="G251" s="20">
        <v>33211</v>
      </c>
      <c r="H251" s="20" t="s">
        <v>61</v>
      </c>
      <c r="I251" s="20" t="s">
        <v>2425</v>
      </c>
      <c r="J251" s="20" t="s">
        <v>5311</v>
      </c>
      <c r="K251" s="20" t="s">
        <v>5312</v>
      </c>
      <c r="L251" s="20">
        <v>0</v>
      </c>
      <c r="M251" s="20">
        <v>1</v>
      </c>
      <c r="N251" s="20">
        <v>29897352</v>
      </c>
      <c r="O251" s="20" t="s">
        <v>5206</v>
      </c>
      <c r="P251" s="20" t="s">
        <v>5207</v>
      </c>
      <c r="Q251" s="9" t="s">
        <v>33</v>
      </c>
    </row>
    <row r="252" spans="1:17">
      <c r="A252" s="20">
        <v>99</v>
      </c>
      <c r="B252" s="20">
        <v>2022</v>
      </c>
      <c r="C252" s="96">
        <v>44740</v>
      </c>
      <c r="D252" s="97" t="s">
        <v>2373</v>
      </c>
      <c r="E252" s="20">
        <v>1</v>
      </c>
      <c r="F252" s="20" t="s">
        <v>30</v>
      </c>
      <c r="G252" s="20">
        <v>33211</v>
      </c>
      <c r="H252" s="20" t="s">
        <v>61</v>
      </c>
      <c r="I252" s="20" t="s">
        <v>2425</v>
      </c>
      <c r="J252" s="20" t="s">
        <v>5277</v>
      </c>
      <c r="K252" s="20" t="s">
        <v>5278</v>
      </c>
      <c r="L252" s="20">
        <v>0</v>
      </c>
      <c r="M252" s="20">
        <v>1</v>
      </c>
      <c r="N252" s="20">
        <v>32426838</v>
      </c>
      <c r="O252" s="20" t="s">
        <v>5255</v>
      </c>
      <c r="P252" s="20" t="s">
        <v>5207</v>
      </c>
      <c r="Q252" s="9" t="s">
        <v>33</v>
      </c>
    </row>
    <row r="253" spans="1:17">
      <c r="A253" s="20">
        <v>99</v>
      </c>
      <c r="B253" s="20">
        <v>2022</v>
      </c>
      <c r="C253" s="96">
        <v>44740</v>
      </c>
      <c r="D253" s="97" t="s">
        <v>2373</v>
      </c>
      <c r="E253" s="20">
        <v>1</v>
      </c>
      <c r="F253" s="20" t="s">
        <v>30</v>
      </c>
      <c r="G253" s="20">
        <v>33211</v>
      </c>
      <c r="H253" s="20" t="s">
        <v>61</v>
      </c>
      <c r="I253" s="20" t="s">
        <v>2425</v>
      </c>
      <c r="J253" s="20" t="s">
        <v>5285</v>
      </c>
      <c r="K253" s="20" t="s">
        <v>5286</v>
      </c>
      <c r="L253" s="20">
        <v>0</v>
      </c>
      <c r="M253" s="20">
        <v>1</v>
      </c>
      <c r="N253" s="20">
        <v>24473674</v>
      </c>
      <c r="O253" s="20" t="s">
        <v>5206</v>
      </c>
      <c r="P253" s="98" t="s">
        <v>5207</v>
      </c>
      <c r="Q253" s="9" t="s">
        <v>33</v>
      </c>
    </row>
    <row r="254" spans="1:17">
      <c r="A254" s="20">
        <v>99</v>
      </c>
      <c r="B254" s="20">
        <v>2022</v>
      </c>
      <c r="C254" s="96">
        <v>44740</v>
      </c>
      <c r="D254" s="97" t="s">
        <v>2373</v>
      </c>
      <c r="E254" s="20">
        <v>1</v>
      </c>
      <c r="F254" s="20" t="s">
        <v>30</v>
      </c>
      <c r="G254" s="20">
        <v>33211</v>
      </c>
      <c r="H254" s="20" t="s">
        <v>61</v>
      </c>
      <c r="I254" s="20" t="s">
        <v>2425</v>
      </c>
      <c r="J254" s="20" t="s">
        <v>5227</v>
      </c>
      <c r="K254" s="20" t="s">
        <v>5228</v>
      </c>
      <c r="L254" s="20">
        <v>0</v>
      </c>
      <c r="M254" s="20">
        <v>1</v>
      </c>
      <c r="N254" s="20">
        <v>12670333</v>
      </c>
      <c r="O254" s="20" t="s">
        <v>5229</v>
      </c>
      <c r="P254" s="20" t="s">
        <v>5207</v>
      </c>
      <c r="Q254" s="9" t="s">
        <v>5222</v>
      </c>
    </row>
    <row r="255" spans="1:17">
      <c r="A255" s="20">
        <v>99</v>
      </c>
      <c r="B255" s="20">
        <v>2022</v>
      </c>
      <c r="C255" s="96">
        <v>44740</v>
      </c>
      <c r="D255" s="97" t="s">
        <v>2373</v>
      </c>
      <c r="E255" s="20">
        <v>1</v>
      </c>
      <c r="F255" s="20" t="s">
        <v>30</v>
      </c>
      <c r="G255" s="20">
        <v>33211</v>
      </c>
      <c r="H255" s="20" t="s">
        <v>61</v>
      </c>
      <c r="I255" s="20" t="s">
        <v>2425</v>
      </c>
      <c r="J255" s="20" t="s">
        <v>5239</v>
      </c>
      <c r="K255" s="20" t="s">
        <v>5240</v>
      </c>
      <c r="L255" s="20">
        <v>0</v>
      </c>
      <c r="M255" s="20">
        <v>1</v>
      </c>
      <c r="N255" s="20">
        <v>21391153</v>
      </c>
      <c r="O255" s="20" t="s">
        <v>5210</v>
      </c>
      <c r="P255" s="20" t="s">
        <v>5207</v>
      </c>
      <c r="Q255" s="9" t="s">
        <v>33</v>
      </c>
    </row>
    <row r="256" spans="1:17">
      <c r="A256" s="20">
        <v>99</v>
      </c>
      <c r="B256" s="20">
        <v>2022</v>
      </c>
      <c r="C256" s="96">
        <v>44740</v>
      </c>
      <c r="D256" s="97" t="s">
        <v>2373</v>
      </c>
      <c r="E256" s="20">
        <v>1</v>
      </c>
      <c r="F256" s="20" t="s">
        <v>30</v>
      </c>
      <c r="G256" s="20">
        <v>33211</v>
      </c>
      <c r="H256" s="20" t="s">
        <v>61</v>
      </c>
      <c r="I256" s="20" t="s">
        <v>2425</v>
      </c>
      <c r="J256" s="98" t="s">
        <v>5263</v>
      </c>
      <c r="K256" s="98" t="s">
        <v>5264</v>
      </c>
      <c r="L256" s="98">
        <v>0</v>
      </c>
      <c r="M256" s="98">
        <v>1</v>
      </c>
      <c r="N256" s="98">
        <v>10451539</v>
      </c>
      <c r="O256" s="98" t="s">
        <v>5238</v>
      </c>
      <c r="P256" s="98" t="s">
        <v>5217</v>
      </c>
      <c r="Q256" s="9" t="s">
        <v>5222</v>
      </c>
    </row>
    <row r="257" spans="1:17">
      <c r="A257" s="20">
        <v>99</v>
      </c>
      <c r="B257" s="20">
        <v>2022</v>
      </c>
      <c r="C257" s="96">
        <v>44740</v>
      </c>
      <c r="D257" s="97" t="s">
        <v>2373</v>
      </c>
      <c r="E257" s="20">
        <v>1</v>
      </c>
      <c r="F257" s="20" t="s">
        <v>30</v>
      </c>
      <c r="G257" s="20">
        <v>33211</v>
      </c>
      <c r="H257" s="20" t="s">
        <v>61</v>
      </c>
      <c r="I257" s="20" t="s">
        <v>2425</v>
      </c>
      <c r="J257" s="98" t="s">
        <v>5295</v>
      </c>
      <c r="K257" s="98" t="s">
        <v>5296</v>
      </c>
      <c r="L257" s="98">
        <v>1</v>
      </c>
      <c r="M257" s="98">
        <v>0</v>
      </c>
      <c r="N257" s="98">
        <v>10446767</v>
      </c>
      <c r="O257" s="98" t="s">
        <v>5206</v>
      </c>
      <c r="P257" s="98" t="s">
        <v>5217</v>
      </c>
      <c r="Q257" s="9" t="s">
        <v>33</v>
      </c>
    </row>
    <row r="258" spans="1:17">
      <c r="A258" s="20">
        <v>99</v>
      </c>
      <c r="B258" s="20">
        <v>2022</v>
      </c>
      <c r="C258" s="96">
        <v>44740</v>
      </c>
      <c r="D258" s="97" t="s">
        <v>2373</v>
      </c>
      <c r="E258" s="20">
        <v>1</v>
      </c>
      <c r="F258" s="20" t="s">
        <v>30</v>
      </c>
      <c r="G258" s="20">
        <v>33211</v>
      </c>
      <c r="H258" s="20" t="s">
        <v>61</v>
      </c>
      <c r="I258" s="20" t="s">
        <v>2425</v>
      </c>
      <c r="J258" s="98" t="s">
        <v>5241</v>
      </c>
      <c r="K258" s="98" t="s">
        <v>5256</v>
      </c>
      <c r="L258" s="98">
        <v>1</v>
      </c>
      <c r="M258" s="98">
        <v>0</v>
      </c>
      <c r="N258" s="98">
        <v>17026455</v>
      </c>
      <c r="O258" s="98" t="s">
        <v>5206</v>
      </c>
      <c r="P258" s="98" t="s">
        <v>5217</v>
      </c>
      <c r="Q258" s="9" t="s">
        <v>33</v>
      </c>
    </row>
    <row r="259" spans="1:17">
      <c r="A259" s="20">
        <v>99</v>
      </c>
      <c r="B259" s="20">
        <v>2022</v>
      </c>
      <c r="C259" s="96">
        <v>44740</v>
      </c>
      <c r="D259" s="97" t="s">
        <v>2373</v>
      </c>
      <c r="E259" s="20">
        <v>1</v>
      </c>
      <c r="F259" s="20" t="s">
        <v>30</v>
      </c>
      <c r="G259" s="20">
        <v>33211</v>
      </c>
      <c r="H259" s="20" t="s">
        <v>61</v>
      </c>
      <c r="I259" s="20" t="s">
        <v>2425</v>
      </c>
      <c r="J259" s="98" t="s">
        <v>5313</v>
      </c>
      <c r="K259" s="98" t="s">
        <v>5314</v>
      </c>
      <c r="L259" s="98">
        <v>1</v>
      </c>
      <c r="M259" s="98">
        <v>0</v>
      </c>
      <c r="N259" s="98">
        <v>23432869</v>
      </c>
      <c r="O259" s="98" t="s">
        <v>5206</v>
      </c>
      <c r="P259" s="98" t="s">
        <v>5217</v>
      </c>
      <c r="Q259" s="9" t="s">
        <v>33</v>
      </c>
    </row>
    <row r="260" spans="1:17">
      <c r="A260" s="20">
        <v>99</v>
      </c>
      <c r="B260" s="20">
        <v>2022</v>
      </c>
      <c r="C260" s="96">
        <v>44740</v>
      </c>
      <c r="D260" s="97" t="s">
        <v>2373</v>
      </c>
      <c r="E260" s="20">
        <v>1</v>
      </c>
      <c r="F260" s="20" t="s">
        <v>30</v>
      </c>
      <c r="G260" s="20">
        <v>33211</v>
      </c>
      <c r="H260" s="20" t="s">
        <v>61</v>
      </c>
      <c r="I260" s="20" t="s">
        <v>2425</v>
      </c>
      <c r="J260" s="98" t="s">
        <v>5304</v>
      </c>
      <c r="K260" s="98" t="s">
        <v>5305</v>
      </c>
      <c r="L260" s="98">
        <v>1</v>
      </c>
      <c r="M260" s="98">
        <v>0</v>
      </c>
      <c r="N260" s="98">
        <v>23796028</v>
      </c>
      <c r="O260" s="98" t="s">
        <v>5206</v>
      </c>
      <c r="P260" s="98" t="s">
        <v>5217</v>
      </c>
      <c r="Q260" s="9" t="s">
        <v>33</v>
      </c>
    </row>
    <row r="261" spans="1:17">
      <c r="A261" s="20">
        <v>99</v>
      </c>
      <c r="B261" s="20">
        <v>2022</v>
      </c>
      <c r="C261" s="96">
        <v>44740</v>
      </c>
      <c r="D261" s="97" t="s">
        <v>2373</v>
      </c>
      <c r="E261" s="20">
        <v>1</v>
      </c>
      <c r="F261" s="20" t="s">
        <v>30</v>
      </c>
      <c r="G261" s="20">
        <v>33211</v>
      </c>
      <c r="H261" s="20" t="s">
        <v>61</v>
      </c>
      <c r="I261" s="20" t="s">
        <v>2425</v>
      </c>
      <c r="J261" s="98" t="s">
        <v>5218</v>
      </c>
      <c r="K261" s="98" t="s">
        <v>5219</v>
      </c>
      <c r="L261" s="98">
        <v>0</v>
      </c>
      <c r="M261" s="98">
        <v>1</v>
      </c>
      <c r="N261" s="98">
        <v>28116708</v>
      </c>
      <c r="O261" s="98" t="s">
        <v>5220</v>
      </c>
      <c r="P261" s="98" t="s">
        <v>5217</v>
      </c>
      <c r="Q261" s="9" t="s">
        <v>5222</v>
      </c>
    </row>
    <row r="262" spans="1:17">
      <c r="A262" s="20">
        <v>99</v>
      </c>
      <c r="B262" s="20">
        <v>2022</v>
      </c>
      <c r="C262" s="96">
        <v>44740</v>
      </c>
      <c r="D262" s="97" t="s">
        <v>2373</v>
      </c>
      <c r="E262" s="20">
        <v>1</v>
      </c>
      <c r="F262" s="20" t="s">
        <v>30</v>
      </c>
      <c r="G262" s="20">
        <v>33211</v>
      </c>
      <c r="H262" s="20" t="s">
        <v>61</v>
      </c>
      <c r="I262" s="20" t="s">
        <v>2425</v>
      </c>
      <c r="J262" s="98" t="s">
        <v>5287</v>
      </c>
      <c r="K262" s="98" t="s">
        <v>5288</v>
      </c>
      <c r="L262" s="98">
        <v>0</v>
      </c>
      <c r="M262" s="98">
        <v>1</v>
      </c>
      <c r="N262" s="98">
        <v>5452903</v>
      </c>
      <c r="O262" s="98" t="s">
        <v>5206</v>
      </c>
      <c r="P262" s="98" t="s">
        <v>5221</v>
      </c>
      <c r="Q262" s="9" t="s">
        <v>22</v>
      </c>
    </row>
    <row r="263" spans="1:17">
      <c r="A263" s="20">
        <v>102</v>
      </c>
      <c r="B263" s="20">
        <v>2022</v>
      </c>
      <c r="C263" s="96">
        <v>44747</v>
      </c>
      <c r="D263" s="97" t="s">
        <v>55</v>
      </c>
      <c r="E263" s="20">
        <v>1</v>
      </c>
      <c r="F263" s="20" t="s">
        <v>416</v>
      </c>
      <c r="G263" s="20">
        <v>34751</v>
      </c>
      <c r="H263" s="20" t="s">
        <v>61</v>
      </c>
      <c r="I263" s="20" t="s">
        <v>2366</v>
      </c>
      <c r="J263" s="20" t="s">
        <v>5259</v>
      </c>
      <c r="K263" s="20" t="s">
        <v>5260</v>
      </c>
      <c r="L263" s="20">
        <v>1</v>
      </c>
      <c r="M263" s="20">
        <v>0</v>
      </c>
      <c r="N263" s="20">
        <v>22775419</v>
      </c>
      <c r="O263" s="20" t="s">
        <v>5206</v>
      </c>
      <c r="P263" s="98" t="s">
        <v>5207</v>
      </c>
      <c r="Q263" s="9" t="s">
        <v>33</v>
      </c>
    </row>
    <row r="264" spans="1:17">
      <c r="A264" s="20">
        <v>102</v>
      </c>
      <c r="B264" s="20">
        <v>2022</v>
      </c>
      <c r="C264" s="96">
        <v>44747</v>
      </c>
      <c r="D264" s="97" t="s">
        <v>55</v>
      </c>
      <c r="E264" s="20">
        <v>1</v>
      </c>
      <c r="F264" s="20" t="s">
        <v>416</v>
      </c>
      <c r="G264" s="20">
        <v>34751</v>
      </c>
      <c r="H264" s="20" t="s">
        <v>61</v>
      </c>
      <c r="I264" s="20" t="s">
        <v>2366</v>
      </c>
      <c r="J264" s="20" t="s">
        <v>5261</v>
      </c>
      <c r="K264" s="20" t="s">
        <v>5262</v>
      </c>
      <c r="L264" s="20">
        <v>1</v>
      </c>
      <c r="M264" s="20">
        <v>0</v>
      </c>
      <c r="N264" s="20">
        <v>13241590</v>
      </c>
      <c r="O264" s="20" t="s">
        <v>5206</v>
      </c>
      <c r="P264" s="98" t="s">
        <v>5207</v>
      </c>
      <c r="Q264" s="9" t="s">
        <v>33</v>
      </c>
    </row>
    <row r="265" spans="1:17">
      <c r="A265" s="20">
        <v>102</v>
      </c>
      <c r="B265" s="20">
        <v>2022</v>
      </c>
      <c r="C265" s="96">
        <v>44747</v>
      </c>
      <c r="D265" s="97" t="s">
        <v>55</v>
      </c>
      <c r="E265" s="20">
        <v>1</v>
      </c>
      <c r="F265" s="20" t="s">
        <v>416</v>
      </c>
      <c r="G265" s="20">
        <v>34751</v>
      </c>
      <c r="H265" s="20" t="s">
        <v>61</v>
      </c>
      <c r="I265" s="20" t="s">
        <v>2366</v>
      </c>
      <c r="J265" s="20" t="s">
        <v>5263</v>
      </c>
      <c r="K265" s="20" t="s">
        <v>5264</v>
      </c>
      <c r="L265" s="20">
        <v>0</v>
      </c>
      <c r="M265" s="20">
        <v>1</v>
      </c>
      <c r="N265" s="20">
        <v>10451539</v>
      </c>
      <c r="O265" s="20" t="s">
        <v>5238</v>
      </c>
      <c r="P265" s="20" t="s">
        <v>5207</v>
      </c>
      <c r="Q265" s="9" t="s">
        <v>20</v>
      </c>
    </row>
    <row r="266" spans="1:17">
      <c r="A266" s="20">
        <v>102</v>
      </c>
      <c r="B266" s="20">
        <v>2022</v>
      </c>
      <c r="C266" s="96">
        <v>44747</v>
      </c>
      <c r="D266" s="97" t="s">
        <v>55</v>
      </c>
      <c r="E266" s="20">
        <v>1</v>
      </c>
      <c r="F266" s="20" t="s">
        <v>416</v>
      </c>
      <c r="G266" s="20">
        <v>34751</v>
      </c>
      <c r="H266" s="20" t="s">
        <v>61</v>
      </c>
      <c r="I266" s="20" t="s">
        <v>2366</v>
      </c>
      <c r="J266" s="20" t="s">
        <v>5265</v>
      </c>
      <c r="K266" s="20" t="s">
        <v>5266</v>
      </c>
      <c r="L266" s="20">
        <v>0</v>
      </c>
      <c r="M266" s="20">
        <v>1</v>
      </c>
      <c r="N266" s="20">
        <v>12030966</v>
      </c>
      <c r="O266" s="20" t="s">
        <v>5210</v>
      </c>
      <c r="P266" s="20" t="s">
        <v>5207</v>
      </c>
      <c r="Q266" s="9" t="s">
        <v>5222</v>
      </c>
    </row>
    <row r="267" spans="1:17">
      <c r="A267" s="20">
        <v>102</v>
      </c>
      <c r="B267" s="20">
        <v>2022</v>
      </c>
      <c r="C267" s="96">
        <v>44747</v>
      </c>
      <c r="D267" s="97" t="s">
        <v>55</v>
      </c>
      <c r="E267" s="20">
        <v>1</v>
      </c>
      <c r="F267" s="20" t="s">
        <v>416</v>
      </c>
      <c r="G267" s="20">
        <v>34751</v>
      </c>
      <c r="H267" s="20" t="s">
        <v>61</v>
      </c>
      <c r="I267" s="20" t="s">
        <v>2366</v>
      </c>
      <c r="J267" s="20" t="s">
        <v>5267</v>
      </c>
      <c r="K267" s="20" t="s">
        <v>5268</v>
      </c>
      <c r="L267" s="20">
        <v>1</v>
      </c>
      <c r="M267" s="20">
        <v>0</v>
      </c>
      <c r="N267" s="20">
        <v>16210927</v>
      </c>
      <c r="O267" s="20" t="s">
        <v>5206</v>
      </c>
      <c r="P267" s="20" t="s">
        <v>5207</v>
      </c>
      <c r="Q267" s="9" t="s">
        <v>33</v>
      </c>
    </row>
    <row r="268" spans="1:17">
      <c r="A268" s="20">
        <v>102</v>
      </c>
      <c r="B268" s="20">
        <v>2022</v>
      </c>
      <c r="C268" s="96">
        <v>44747</v>
      </c>
      <c r="D268" s="97" t="s">
        <v>55</v>
      </c>
      <c r="E268" s="20">
        <v>1</v>
      </c>
      <c r="F268" s="20" t="s">
        <v>416</v>
      </c>
      <c r="G268" s="20">
        <v>34751</v>
      </c>
      <c r="H268" s="20" t="s">
        <v>61</v>
      </c>
      <c r="I268" s="20" t="s">
        <v>2366</v>
      </c>
      <c r="J268" s="20" t="s">
        <v>5315</v>
      </c>
      <c r="K268" s="20" t="s">
        <v>5316</v>
      </c>
      <c r="L268" s="20">
        <v>1</v>
      </c>
      <c r="M268" s="20">
        <v>0</v>
      </c>
      <c r="N268" s="20">
        <v>20532788</v>
      </c>
      <c r="O268" s="20" t="s">
        <v>5210</v>
      </c>
      <c r="P268" s="20" t="s">
        <v>5207</v>
      </c>
      <c r="Q268" s="9" t="s">
        <v>20</v>
      </c>
    </row>
    <row r="269" spans="1:17">
      <c r="A269" s="20">
        <v>102</v>
      </c>
      <c r="B269" s="20">
        <v>2022</v>
      </c>
      <c r="C269" s="96">
        <v>44747</v>
      </c>
      <c r="D269" s="97" t="s">
        <v>55</v>
      </c>
      <c r="E269" s="20">
        <v>1</v>
      </c>
      <c r="F269" s="20" t="s">
        <v>416</v>
      </c>
      <c r="G269" s="20">
        <v>34751</v>
      </c>
      <c r="H269" s="20" t="s">
        <v>61</v>
      </c>
      <c r="I269" s="20" t="s">
        <v>2366</v>
      </c>
      <c r="J269" s="20" t="s">
        <v>5251</v>
      </c>
      <c r="K269" s="20" t="s">
        <v>5252</v>
      </c>
      <c r="L269" s="20">
        <v>0</v>
      </c>
      <c r="M269" s="20">
        <v>1</v>
      </c>
      <c r="N269" s="20">
        <v>30643373</v>
      </c>
      <c r="O269" s="20" t="s">
        <v>5206</v>
      </c>
      <c r="P269" s="20" t="s">
        <v>5207</v>
      </c>
      <c r="Q269" s="9" t="s">
        <v>33</v>
      </c>
    </row>
    <row r="270" spans="1:17">
      <c r="A270" s="20">
        <v>102</v>
      </c>
      <c r="B270" s="20">
        <v>2022</v>
      </c>
      <c r="C270" s="96">
        <v>44747</v>
      </c>
      <c r="D270" s="97" t="s">
        <v>55</v>
      </c>
      <c r="E270" s="20">
        <v>1</v>
      </c>
      <c r="F270" s="20" t="s">
        <v>416</v>
      </c>
      <c r="G270" s="20">
        <v>34751</v>
      </c>
      <c r="H270" s="20" t="s">
        <v>61</v>
      </c>
      <c r="I270" s="20" t="s">
        <v>2366</v>
      </c>
      <c r="J270" s="20" t="s">
        <v>5269</v>
      </c>
      <c r="K270" s="20" t="s">
        <v>5270</v>
      </c>
      <c r="L270" s="20">
        <v>1</v>
      </c>
      <c r="M270" s="20">
        <v>0</v>
      </c>
      <c r="N270" s="20">
        <v>35102921</v>
      </c>
      <c r="O270" s="20" t="s">
        <v>5206</v>
      </c>
      <c r="P270" s="20" t="s">
        <v>5207</v>
      </c>
      <c r="Q270" s="9" t="s">
        <v>33</v>
      </c>
    </row>
    <row r="271" spans="1:17">
      <c r="A271" s="20">
        <v>102</v>
      </c>
      <c r="B271" s="20">
        <v>2022</v>
      </c>
      <c r="C271" s="96">
        <v>44747</v>
      </c>
      <c r="D271" s="97" t="s">
        <v>55</v>
      </c>
      <c r="E271" s="20">
        <v>1</v>
      </c>
      <c r="F271" s="20" t="s">
        <v>416</v>
      </c>
      <c r="G271" s="20">
        <v>34751</v>
      </c>
      <c r="H271" s="20" t="s">
        <v>61</v>
      </c>
      <c r="I271" s="20" t="s">
        <v>2366</v>
      </c>
      <c r="J271" s="98" t="s">
        <v>5218</v>
      </c>
      <c r="K271" s="98" t="s">
        <v>5219</v>
      </c>
      <c r="L271" s="98">
        <v>0</v>
      </c>
      <c r="M271" s="98">
        <v>1</v>
      </c>
      <c r="N271" s="98">
        <v>28116708</v>
      </c>
      <c r="O271" s="98" t="s">
        <v>5220</v>
      </c>
      <c r="P271" s="98" t="s">
        <v>5221</v>
      </c>
      <c r="Q271" s="9" t="s">
        <v>22</v>
      </c>
    </row>
    <row r="272" spans="1:17">
      <c r="A272" s="20">
        <v>102</v>
      </c>
      <c r="B272" s="20">
        <v>2022</v>
      </c>
      <c r="C272" s="96">
        <v>44747</v>
      </c>
      <c r="D272" s="97" t="s">
        <v>55</v>
      </c>
      <c r="E272" s="20">
        <v>1</v>
      </c>
      <c r="F272" s="20" t="s">
        <v>416</v>
      </c>
      <c r="G272" s="20">
        <v>34751</v>
      </c>
      <c r="H272" s="20" t="s">
        <v>61</v>
      </c>
      <c r="I272" s="20" t="s">
        <v>2366</v>
      </c>
      <c r="J272" s="98" t="s">
        <v>5239</v>
      </c>
      <c r="K272" s="98" t="s">
        <v>5240</v>
      </c>
      <c r="L272" s="98">
        <v>0</v>
      </c>
      <c r="M272" s="98">
        <v>1</v>
      </c>
      <c r="N272" s="98">
        <v>21391153</v>
      </c>
      <c r="O272" s="98" t="s">
        <v>5210</v>
      </c>
      <c r="P272" s="98" t="s">
        <v>5221</v>
      </c>
      <c r="Q272" s="9" t="s">
        <v>22</v>
      </c>
    </row>
    <row r="273" spans="1:17">
      <c r="A273" s="20">
        <v>106</v>
      </c>
      <c r="B273" s="20">
        <v>2022</v>
      </c>
      <c r="C273" s="96">
        <v>44775</v>
      </c>
      <c r="D273" s="97" t="s">
        <v>2300</v>
      </c>
      <c r="E273" s="20">
        <v>1</v>
      </c>
      <c r="F273" s="20" t="s">
        <v>30</v>
      </c>
      <c r="G273" s="20">
        <v>35351</v>
      </c>
      <c r="H273" s="20" t="s">
        <v>61</v>
      </c>
      <c r="I273" s="20" t="s">
        <v>2455</v>
      </c>
      <c r="J273" s="20" t="s">
        <v>5251</v>
      </c>
      <c r="K273" s="20" t="s">
        <v>5252</v>
      </c>
      <c r="L273" s="20">
        <v>0</v>
      </c>
      <c r="M273" s="20">
        <v>1</v>
      </c>
      <c r="N273" s="20">
        <v>30643373</v>
      </c>
      <c r="O273" s="20" t="s">
        <v>5206</v>
      </c>
      <c r="P273" s="98" t="s">
        <v>5207</v>
      </c>
      <c r="Q273" s="9" t="s">
        <v>5222</v>
      </c>
    </row>
    <row r="274" spans="1:17">
      <c r="A274" s="20">
        <v>106</v>
      </c>
      <c r="B274" s="20">
        <v>2022</v>
      </c>
      <c r="C274" s="96">
        <v>44775</v>
      </c>
      <c r="D274" s="97" t="s">
        <v>2300</v>
      </c>
      <c r="E274" s="20">
        <v>1</v>
      </c>
      <c r="F274" s="20" t="s">
        <v>30</v>
      </c>
      <c r="G274" s="20">
        <v>35351</v>
      </c>
      <c r="H274" s="20" t="s">
        <v>61</v>
      </c>
      <c r="I274" s="20" t="s">
        <v>2455</v>
      </c>
      <c r="J274" s="20" t="s">
        <v>5245</v>
      </c>
      <c r="K274" s="20" t="s">
        <v>5246</v>
      </c>
      <c r="L274" s="20">
        <v>0</v>
      </c>
      <c r="M274" s="20">
        <v>1</v>
      </c>
      <c r="N274" s="20">
        <v>37287279</v>
      </c>
      <c r="O274" s="20" t="s">
        <v>5206</v>
      </c>
      <c r="P274" s="98" t="s">
        <v>5207</v>
      </c>
      <c r="Q274" s="9" t="s">
        <v>33</v>
      </c>
    </row>
    <row r="275" spans="1:17">
      <c r="A275" s="20">
        <v>106</v>
      </c>
      <c r="B275" s="20">
        <v>2022</v>
      </c>
      <c r="C275" s="96">
        <v>44775</v>
      </c>
      <c r="D275" s="97" t="s">
        <v>2300</v>
      </c>
      <c r="E275" s="20">
        <v>1</v>
      </c>
      <c r="F275" s="20" t="s">
        <v>30</v>
      </c>
      <c r="G275" s="20">
        <v>35351</v>
      </c>
      <c r="H275" s="20" t="s">
        <v>61</v>
      </c>
      <c r="I275" s="20" t="s">
        <v>2455</v>
      </c>
      <c r="J275" s="20" t="s">
        <v>5253</v>
      </c>
      <c r="K275" s="20" t="s">
        <v>5254</v>
      </c>
      <c r="L275" s="20">
        <v>1</v>
      </c>
      <c r="M275" s="20">
        <v>0</v>
      </c>
      <c r="N275" s="20">
        <v>12794217</v>
      </c>
      <c r="O275" s="20" t="s">
        <v>5255</v>
      </c>
      <c r="P275" s="20" t="s">
        <v>5207</v>
      </c>
      <c r="Q275" s="9" t="s">
        <v>20</v>
      </c>
    </row>
    <row r="276" spans="1:17">
      <c r="A276" s="20">
        <v>106</v>
      </c>
      <c r="B276" s="20">
        <v>2022</v>
      </c>
      <c r="C276" s="96">
        <v>44775</v>
      </c>
      <c r="D276" s="97" t="s">
        <v>2300</v>
      </c>
      <c r="E276" s="20">
        <v>1</v>
      </c>
      <c r="F276" s="20" t="s">
        <v>30</v>
      </c>
      <c r="G276" s="20">
        <v>35351</v>
      </c>
      <c r="H276" s="20" t="s">
        <v>61</v>
      </c>
      <c r="I276" s="20" t="s">
        <v>2455</v>
      </c>
      <c r="J276" s="20" t="s">
        <v>5208</v>
      </c>
      <c r="K276" s="20" t="s">
        <v>5209</v>
      </c>
      <c r="L276" s="20">
        <v>0</v>
      </c>
      <c r="M276" s="20">
        <v>1</v>
      </c>
      <c r="N276" s="20">
        <v>16430626</v>
      </c>
      <c r="O276" s="20" t="s">
        <v>5210</v>
      </c>
      <c r="P276" s="20" t="s">
        <v>5207</v>
      </c>
      <c r="Q276" s="9" t="s">
        <v>20</v>
      </c>
    </row>
    <row r="277" spans="1:17">
      <c r="A277" s="20">
        <v>106</v>
      </c>
      <c r="B277" s="20">
        <v>2022</v>
      </c>
      <c r="C277" s="96">
        <v>44775</v>
      </c>
      <c r="D277" s="97" t="s">
        <v>2300</v>
      </c>
      <c r="E277" s="20">
        <v>1</v>
      </c>
      <c r="F277" s="20" t="s">
        <v>30</v>
      </c>
      <c r="G277" s="20">
        <v>35351</v>
      </c>
      <c r="H277" s="20" t="s">
        <v>61</v>
      </c>
      <c r="I277" s="20" t="s">
        <v>2455</v>
      </c>
      <c r="J277" s="20" t="s">
        <v>5285</v>
      </c>
      <c r="K277" s="20" t="s">
        <v>5286</v>
      </c>
      <c r="L277" s="20">
        <v>0</v>
      </c>
      <c r="M277" s="20">
        <v>1</v>
      </c>
      <c r="N277" s="20">
        <v>24473674</v>
      </c>
      <c r="O277" s="20" t="s">
        <v>5206</v>
      </c>
      <c r="P277" s="20" t="s">
        <v>5207</v>
      </c>
      <c r="Q277" s="9" t="s">
        <v>33</v>
      </c>
    </row>
    <row r="278" spans="1:17">
      <c r="A278" s="20">
        <v>106</v>
      </c>
      <c r="B278" s="20">
        <v>2022</v>
      </c>
      <c r="C278" s="96">
        <v>44775</v>
      </c>
      <c r="D278" s="97" t="s">
        <v>2300</v>
      </c>
      <c r="E278" s="20">
        <v>1</v>
      </c>
      <c r="F278" s="20" t="s">
        <v>30</v>
      </c>
      <c r="G278" s="20">
        <v>35351</v>
      </c>
      <c r="H278" s="20" t="s">
        <v>61</v>
      </c>
      <c r="I278" s="20" t="s">
        <v>2455</v>
      </c>
      <c r="J278" s="20" t="s">
        <v>5247</v>
      </c>
      <c r="K278" s="20" t="s">
        <v>5248</v>
      </c>
      <c r="L278" s="20">
        <v>1</v>
      </c>
      <c r="M278" s="20">
        <v>0</v>
      </c>
      <c r="N278" s="20">
        <v>27498041</v>
      </c>
      <c r="O278" s="20" t="s">
        <v>5206</v>
      </c>
      <c r="P278" s="20" t="s">
        <v>5207</v>
      </c>
      <c r="Q278" s="9" t="s">
        <v>33</v>
      </c>
    </row>
    <row r="279" spans="1:17">
      <c r="A279" s="20">
        <v>106</v>
      </c>
      <c r="B279" s="20">
        <v>2022</v>
      </c>
      <c r="C279" s="96">
        <v>44775</v>
      </c>
      <c r="D279" s="97" t="s">
        <v>2300</v>
      </c>
      <c r="E279" s="20">
        <v>1</v>
      </c>
      <c r="F279" s="20" t="s">
        <v>30</v>
      </c>
      <c r="G279" s="20">
        <v>35351</v>
      </c>
      <c r="H279" s="20" t="s">
        <v>61</v>
      </c>
      <c r="I279" s="20" t="s">
        <v>2455</v>
      </c>
      <c r="J279" s="20" t="s">
        <v>5283</v>
      </c>
      <c r="K279" s="20" t="s">
        <v>5284</v>
      </c>
      <c r="L279" s="20">
        <v>0</v>
      </c>
      <c r="M279" s="20">
        <v>1</v>
      </c>
      <c r="N279" s="20">
        <v>33592427</v>
      </c>
      <c r="O279" s="20" t="s">
        <v>5206</v>
      </c>
      <c r="P279" s="20" t="s">
        <v>5207</v>
      </c>
      <c r="Q279" s="9" t="s">
        <v>33</v>
      </c>
    </row>
    <row r="280" spans="1:17">
      <c r="A280" s="20">
        <v>106</v>
      </c>
      <c r="B280" s="20">
        <v>2022</v>
      </c>
      <c r="C280" s="96">
        <v>44775</v>
      </c>
      <c r="D280" s="97" t="s">
        <v>2300</v>
      </c>
      <c r="E280" s="20">
        <v>1</v>
      </c>
      <c r="F280" s="20" t="s">
        <v>30</v>
      </c>
      <c r="G280" s="20">
        <v>35351</v>
      </c>
      <c r="H280" s="20" t="s">
        <v>61</v>
      </c>
      <c r="I280" s="20" t="s">
        <v>2455</v>
      </c>
      <c r="J280" s="20" t="s">
        <v>5287</v>
      </c>
      <c r="K280" s="20" t="s">
        <v>5288</v>
      </c>
      <c r="L280" s="20">
        <v>0</v>
      </c>
      <c r="M280" s="20">
        <v>1</v>
      </c>
      <c r="N280" s="20">
        <v>5452903</v>
      </c>
      <c r="O280" s="20" t="s">
        <v>5206</v>
      </c>
      <c r="P280" s="98" t="s">
        <v>5207</v>
      </c>
      <c r="Q280" s="9" t="s">
        <v>33</v>
      </c>
    </row>
    <row r="281" spans="1:17">
      <c r="A281" s="20">
        <v>106</v>
      </c>
      <c r="B281" s="20">
        <v>2022</v>
      </c>
      <c r="C281" s="96">
        <v>44775</v>
      </c>
      <c r="D281" s="97" t="s">
        <v>2300</v>
      </c>
      <c r="E281" s="20">
        <v>1</v>
      </c>
      <c r="F281" s="20" t="s">
        <v>30</v>
      </c>
      <c r="G281" s="20">
        <v>35351</v>
      </c>
      <c r="H281" s="20" t="s">
        <v>61</v>
      </c>
      <c r="I281" s="20" t="s">
        <v>2455</v>
      </c>
      <c r="J281" s="20" t="s">
        <v>5289</v>
      </c>
      <c r="K281" s="20" t="s">
        <v>5290</v>
      </c>
      <c r="L281" s="20">
        <v>0</v>
      </c>
      <c r="M281" s="20">
        <v>1</v>
      </c>
      <c r="N281" s="20">
        <v>10212994</v>
      </c>
      <c r="O281" s="20" t="s">
        <v>5206</v>
      </c>
      <c r="P281" s="20" t="s">
        <v>5207</v>
      </c>
      <c r="Q281" s="9" t="s">
        <v>5222</v>
      </c>
    </row>
    <row r="282" spans="1:17">
      <c r="A282" s="20">
        <v>106</v>
      </c>
      <c r="B282" s="20">
        <v>2022</v>
      </c>
      <c r="C282" s="96">
        <v>44775</v>
      </c>
      <c r="D282" s="97" t="s">
        <v>2300</v>
      </c>
      <c r="E282" s="20">
        <v>1</v>
      </c>
      <c r="F282" s="20" t="s">
        <v>30</v>
      </c>
      <c r="G282" s="20">
        <v>35351</v>
      </c>
      <c r="H282" s="20" t="s">
        <v>61</v>
      </c>
      <c r="I282" s="20" t="s">
        <v>2455</v>
      </c>
      <c r="J282" s="20" t="s">
        <v>5218</v>
      </c>
      <c r="K282" s="20" t="s">
        <v>5219</v>
      </c>
      <c r="L282" s="20">
        <v>0</v>
      </c>
      <c r="M282" s="20">
        <v>1</v>
      </c>
      <c r="N282" s="20">
        <v>28116708</v>
      </c>
      <c r="O282" s="20" t="s">
        <v>5220</v>
      </c>
      <c r="P282" s="20" t="s">
        <v>5207</v>
      </c>
      <c r="Q282" s="9" t="s">
        <v>20</v>
      </c>
    </row>
    <row r="283" spans="1:17">
      <c r="A283" s="20">
        <v>106</v>
      </c>
      <c r="B283" s="20">
        <v>2022</v>
      </c>
      <c r="C283" s="96">
        <v>44775</v>
      </c>
      <c r="D283" s="97" t="s">
        <v>2300</v>
      </c>
      <c r="E283" s="20">
        <v>1</v>
      </c>
      <c r="F283" s="20" t="s">
        <v>30</v>
      </c>
      <c r="G283" s="20">
        <v>35351</v>
      </c>
      <c r="H283" s="20" t="s">
        <v>61</v>
      </c>
      <c r="I283" s="20" t="s">
        <v>2455</v>
      </c>
      <c r="J283" s="20" t="s">
        <v>5241</v>
      </c>
      <c r="K283" s="20" t="s">
        <v>5242</v>
      </c>
      <c r="L283" s="20">
        <v>0</v>
      </c>
      <c r="M283" s="20">
        <v>1</v>
      </c>
      <c r="N283" s="20">
        <v>30167048</v>
      </c>
      <c r="O283" s="20" t="s">
        <v>5206</v>
      </c>
      <c r="P283" s="20" t="s">
        <v>5207</v>
      </c>
      <c r="Q283" s="9" t="s">
        <v>33</v>
      </c>
    </row>
    <row r="284" spans="1:17">
      <c r="A284" s="20">
        <v>106</v>
      </c>
      <c r="B284" s="20">
        <v>2022</v>
      </c>
      <c r="C284" s="96">
        <v>44775</v>
      </c>
      <c r="D284" s="97" t="s">
        <v>2300</v>
      </c>
      <c r="E284" s="20">
        <v>1</v>
      </c>
      <c r="F284" s="20" t="s">
        <v>30</v>
      </c>
      <c r="G284" s="20">
        <v>35351</v>
      </c>
      <c r="H284" s="20" t="s">
        <v>61</v>
      </c>
      <c r="I284" s="20" t="s">
        <v>2455</v>
      </c>
      <c r="J284" s="98" t="s">
        <v>5230</v>
      </c>
      <c r="K284" s="98" t="s">
        <v>5231</v>
      </c>
      <c r="L284" s="98">
        <v>0</v>
      </c>
      <c r="M284" s="98">
        <v>1</v>
      </c>
      <c r="N284" s="98">
        <v>12334380</v>
      </c>
      <c r="O284" s="98" t="s">
        <v>5206</v>
      </c>
      <c r="P284" s="98" t="s">
        <v>5217</v>
      </c>
      <c r="Q284" s="9" t="s">
        <v>33</v>
      </c>
    </row>
    <row r="285" spans="1:17">
      <c r="A285" s="20">
        <v>106</v>
      </c>
      <c r="B285" s="20">
        <v>2022</v>
      </c>
      <c r="C285" s="96">
        <v>44775</v>
      </c>
      <c r="D285" s="97" t="s">
        <v>2300</v>
      </c>
      <c r="E285" s="20">
        <v>1</v>
      </c>
      <c r="F285" s="20" t="s">
        <v>30</v>
      </c>
      <c r="G285" s="20">
        <v>35351</v>
      </c>
      <c r="H285" s="20" t="s">
        <v>61</v>
      </c>
      <c r="I285" s="20" t="s">
        <v>2455</v>
      </c>
      <c r="J285" s="98" t="s">
        <v>5277</v>
      </c>
      <c r="K285" s="98" t="s">
        <v>5278</v>
      </c>
      <c r="L285" s="98">
        <v>0</v>
      </c>
      <c r="M285" s="98">
        <v>1</v>
      </c>
      <c r="N285" s="98">
        <v>32426838</v>
      </c>
      <c r="O285" s="98" t="s">
        <v>5255</v>
      </c>
      <c r="P285" s="98" t="s">
        <v>5217</v>
      </c>
      <c r="Q285" s="9" t="s">
        <v>5222</v>
      </c>
    </row>
    <row r="286" spans="1:17">
      <c r="A286" s="20">
        <v>106</v>
      </c>
      <c r="B286" s="20">
        <v>2022</v>
      </c>
      <c r="C286" s="96">
        <v>44775</v>
      </c>
      <c r="D286" s="97" t="s">
        <v>2300</v>
      </c>
      <c r="E286" s="20">
        <v>1</v>
      </c>
      <c r="F286" s="20" t="s">
        <v>30</v>
      </c>
      <c r="G286" s="20">
        <v>35351</v>
      </c>
      <c r="H286" s="20" t="s">
        <v>61</v>
      </c>
      <c r="I286" s="20" t="s">
        <v>2455</v>
      </c>
      <c r="J286" s="98" t="s">
        <v>5275</v>
      </c>
      <c r="K286" s="98" t="s">
        <v>5276</v>
      </c>
      <c r="L286" s="98">
        <v>1</v>
      </c>
      <c r="M286" s="98">
        <v>0</v>
      </c>
      <c r="N286" s="98">
        <v>24173039</v>
      </c>
      <c r="O286" s="98" t="s">
        <v>5206</v>
      </c>
      <c r="P286" s="98" t="s">
        <v>5217</v>
      </c>
      <c r="Q286" s="9" t="s">
        <v>5222</v>
      </c>
    </row>
    <row r="287" spans="1:17">
      <c r="A287" s="20">
        <v>106</v>
      </c>
      <c r="B287" s="20">
        <v>2022</v>
      </c>
      <c r="C287" s="96">
        <v>44775</v>
      </c>
      <c r="D287" s="97" t="s">
        <v>2300</v>
      </c>
      <c r="E287" s="20">
        <v>1</v>
      </c>
      <c r="F287" s="20" t="s">
        <v>30</v>
      </c>
      <c r="G287" s="20">
        <v>35351</v>
      </c>
      <c r="H287" s="20" t="s">
        <v>61</v>
      </c>
      <c r="I287" s="20" t="s">
        <v>2455</v>
      </c>
      <c r="J287" s="98" t="s">
        <v>5225</v>
      </c>
      <c r="K287" s="98" t="s">
        <v>5226</v>
      </c>
      <c r="L287" s="98">
        <v>0</v>
      </c>
      <c r="M287" s="98">
        <v>1</v>
      </c>
      <c r="N287" s="98">
        <v>25858534</v>
      </c>
      <c r="O287" s="98" t="s">
        <v>5206</v>
      </c>
      <c r="P287" s="98" t="s">
        <v>5221</v>
      </c>
      <c r="Q287" s="9" t="s">
        <v>22</v>
      </c>
    </row>
    <row r="288" spans="1:17">
      <c r="A288" s="20">
        <v>106</v>
      </c>
      <c r="B288" s="20">
        <v>2022</v>
      </c>
      <c r="C288" s="96">
        <v>44775</v>
      </c>
      <c r="D288" s="97" t="s">
        <v>2300</v>
      </c>
      <c r="E288" s="20">
        <v>1</v>
      </c>
      <c r="F288" s="20" t="s">
        <v>30</v>
      </c>
      <c r="G288" s="20">
        <v>35351</v>
      </c>
      <c r="H288" s="20" t="s">
        <v>61</v>
      </c>
      <c r="I288" s="20" t="s">
        <v>2455</v>
      </c>
      <c r="J288" s="98" t="s">
        <v>5263</v>
      </c>
      <c r="K288" s="98" t="s">
        <v>5264</v>
      </c>
      <c r="L288" s="98">
        <v>0</v>
      </c>
      <c r="M288" s="98">
        <v>1</v>
      </c>
      <c r="N288" s="98">
        <v>10451539</v>
      </c>
      <c r="O288" s="98" t="s">
        <v>5238</v>
      </c>
      <c r="P288" s="98" t="s">
        <v>5221</v>
      </c>
      <c r="Q288" s="9" t="s">
        <v>22</v>
      </c>
    </row>
    <row r="289" spans="1:17">
      <c r="A289" s="20">
        <v>108</v>
      </c>
      <c r="B289" s="20">
        <v>2022</v>
      </c>
      <c r="C289" s="96">
        <v>44775</v>
      </c>
      <c r="D289" s="97" t="s">
        <v>2462</v>
      </c>
      <c r="E289" s="20">
        <v>1</v>
      </c>
      <c r="F289" s="20" t="s">
        <v>30</v>
      </c>
      <c r="G289" s="20">
        <v>35138</v>
      </c>
      <c r="H289" s="20" t="s">
        <v>61</v>
      </c>
      <c r="I289" s="20" t="s">
        <v>2404</v>
      </c>
      <c r="J289" s="20" t="s">
        <v>5251</v>
      </c>
      <c r="K289" s="20" t="s">
        <v>5252</v>
      </c>
      <c r="L289" s="20">
        <v>0</v>
      </c>
      <c r="M289" s="20">
        <v>1</v>
      </c>
      <c r="N289" s="20">
        <v>30643373</v>
      </c>
      <c r="O289" s="20" t="s">
        <v>5206</v>
      </c>
      <c r="P289" s="98" t="s">
        <v>5207</v>
      </c>
      <c r="Q289" s="9" t="s">
        <v>20</v>
      </c>
    </row>
    <row r="290" spans="1:17">
      <c r="A290" s="20">
        <v>108</v>
      </c>
      <c r="B290" s="20">
        <v>2022</v>
      </c>
      <c r="C290" s="96">
        <v>44775</v>
      </c>
      <c r="D290" s="97" t="s">
        <v>2462</v>
      </c>
      <c r="E290" s="20">
        <v>1</v>
      </c>
      <c r="F290" s="20" t="s">
        <v>30</v>
      </c>
      <c r="G290" s="20">
        <v>35138</v>
      </c>
      <c r="H290" s="20" t="s">
        <v>61</v>
      </c>
      <c r="I290" s="20" t="s">
        <v>2404</v>
      </c>
      <c r="J290" s="20" t="s">
        <v>5245</v>
      </c>
      <c r="K290" s="20" t="s">
        <v>5246</v>
      </c>
      <c r="L290" s="20">
        <v>0</v>
      </c>
      <c r="M290" s="20">
        <v>1</v>
      </c>
      <c r="N290" s="20">
        <v>37287279</v>
      </c>
      <c r="O290" s="20" t="s">
        <v>5206</v>
      </c>
      <c r="P290" s="98" t="s">
        <v>5207</v>
      </c>
      <c r="Q290" s="98" t="s">
        <v>20</v>
      </c>
    </row>
    <row r="291" spans="1:17">
      <c r="A291" s="20">
        <v>108</v>
      </c>
      <c r="B291" s="20">
        <v>2022</v>
      </c>
      <c r="C291" s="96">
        <v>44775</v>
      </c>
      <c r="D291" s="97" t="s">
        <v>2462</v>
      </c>
      <c r="E291" s="20">
        <v>1</v>
      </c>
      <c r="F291" s="20" t="s">
        <v>30</v>
      </c>
      <c r="G291" s="20">
        <v>35138</v>
      </c>
      <c r="H291" s="20" t="s">
        <v>61</v>
      </c>
      <c r="I291" s="20" t="s">
        <v>2404</v>
      </c>
      <c r="J291" s="20" t="s">
        <v>5227</v>
      </c>
      <c r="K291" s="20" t="s">
        <v>5228</v>
      </c>
      <c r="L291" s="20">
        <v>0</v>
      </c>
      <c r="M291" s="20">
        <v>1</v>
      </c>
      <c r="N291" s="20">
        <v>12670333</v>
      </c>
      <c r="O291" s="20" t="s">
        <v>5229</v>
      </c>
      <c r="P291" s="20" t="s">
        <v>5207</v>
      </c>
      <c r="Q291" s="98" t="s">
        <v>20</v>
      </c>
    </row>
    <row r="292" spans="1:17">
      <c r="A292" s="20">
        <v>108</v>
      </c>
      <c r="B292" s="20">
        <v>2022</v>
      </c>
      <c r="C292" s="96">
        <v>44775</v>
      </c>
      <c r="D292" s="97" t="s">
        <v>2462</v>
      </c>
      <c r="E292" s="20">
        <v>1</v>
      </c>
      <c r="F292" s="20" t="s">
        <v>30</v>
      </c>
      <c r="G292" s="20">
        <v>35138</v>
      </c>
      <c r="H292" s="20" t="s">
        <v>61</v>
      </c>
      <c r="I292" s="20" t="s">
        <v>2404</v>
      </c>
      <c r="J292" s="20" t="s">
        <v>5285</v>
      </c>
      <c r="K292" s="20" t="s">
        <v>5286</v>
      </c>
      <c r="L292" s="20">
        <v>0</v>
      </c>
      <c r="M292" s="20">
        <v>1</v>
      </c>
      <c r="N292" s="20">
        <v>24473674</v>
      </c>
      <c r="O292" s="20" t="s">
        <v>5206</v>
      </c>
      <c r="P292" s="20" t="s">
        <v>5207</v>
      </c>
      <c r="Q292" s="98" t="s">
        <v>20</v>
      </c>
    </row>
    <row r="293" spans="1:17">
      <c r="A293" s="20">
        <v>108</v>
      </c>
      <c r="B293" s="20">
        <v>2022</v>
      </c>
      <c r="C293" s="96">
        <v>44775</v>
      </c>
      <c r="D293" s="97" t="s">
        <v>2462</v>
      </c>
      <c r="E293" s="20">
        <v>1</v>
      </c>
      <c r="F293" s="20" t="s">
        <v>30</v>
      </c>
      <c r="G293" s="20">
        <v>35138</v>
      </c>
      <c r="H293" s="20" t="s">
        <v>61</v>
      </c>
      <c r="I293" s="20" t="s">
        <v>2404</v>
      </c>
      <c r="J293" s="20" t="s">
        <v>5283</v>
      </c>
      <c r="K293" s="20" t="s">
        <v>5284</v>
      </c>
      <c r="L293" s="20">
        <v>0</v>
      </c>
      <c r="M293" s="20">
        <v>1</v>
      </c>
      <c r="N293" s="20">
        <v>33592427</v>
      </c>
      <c r="O293" s="20" t="s">
        <v>5206</v>
      </c>
      <c r="P293" s="20" t="s">
        <v>5207</v>
      </c>
      <c r="Q293" s="98" t="s">
        <v>20</v>
      </c>
    </row>
    <row r="294" spans="1:17">
      <c r="A294" s="20">
        <v>108</v>
      </c>
      <c r="B294" s="20">
        <v>2022</v>
      </c>
      <c r="C294" s="96">
        <v>44775</v>
      </c>
      <c r="D294" s="97" t="s">
        <v>2462</v>
      </c>
      <c r="E294" s="20">
        <v>1</v>
      </c>
      <c r="F294" s="20" t="s">
        <v>30</v>
      </c>
      <c r="G294" s="20">
        <v>35138</v>
      </c>
      <c r="H294" s="20" t="s">
        <v>61</v>
      </c>
      <c r="I294" s="20" t="s">
        <v>2404</v>
      </c>
      <c r="J294" s="20" t="s">
        <v>5289</v>
      </c>
      <c r="K294" s="20" t="s">
        <v>5290</v>
      </c>
      <c r="L294" s="20">
        <v>0</v>
      </c>
      <c r="M294" s="20">
        <v>1</v>
      </c>
      <c r="N294" s="20">
        <v>10212994</v>
      </c>
      <c r="O294" s="20" t="s">
        <v>5206</v>
      </c>
      <c r="P294" s="98" t="s">
        <v>5207</v>
      </c>
      <c r="Q294" s="98" t="s">
        <v>20</v>
      </c>
    </row>
    <row r="295" spans="1:17">
      <c r="A295" s="20">
        <v>108</v>
      </c>
      <c r="B295" s="20">
        <v>2022</v>
      </c>
      <c r="C295" s="96">
        <v>44775</v>
      </c>
      <c r="D295" s="97" t="s">
        <v>2462</v>
      </c>
      <c r="E295" s="20">
        <v>1</v>
      </c>
      <c r="F295" s="20" t="s">
        <v>30</v>
      </c>
      <c r="G295" s="20">
        <v>35138</v>
      </c>
      <c r="H295" s="20" t="s">
        <v>61</v>
      </c>
      <c r="I295" s="20" t="s">
        <v>2404</v>
      </c>
      <c r="J295" s="20" t="s">
        <v>5211</v>
      </c>
      <c r="K295" s="20" t="s">
        <v>5212</v>
      </c>
      <c r="L295" s="20">
        <v>0</v>
      </c>
      <c r="M295" s="20">
        <v>1</v>
      </c>
      <c r="N295" s="20">
        <v>16885984</v>
      </c>
      <c r="O295" s="20" t="s">
        <v>5206</v>
      </c>
      <c r="P295" s="98" t="s">
        <v>5207</v>
      </c>
      <c r="Q295" s="98" t="s">
        <v>20</v>
      </c>
    </row>
    <row r="296" spans="1:17">
      <c r="A296" s="20">
        <v>108</v>
      </c>
      <c r="B296" s="20">
        <v>2022</v>
      </c>
      <c r="C296" s="96">
        <v>44775</v>
      </c>
      <c r="D296" s="97" t="s">
        <v>2462</v>
      </c>
      <c r="E296" s="20">
        <v>1</v>
      </c>
      <c r="F296" s="20" t="s">
        <v>30</v>
      </c>
      <c r="G296" s="20">
        <v>35138</v>
      </c>
      <c r="H296" s="20" t="s">
        <v>61</v>
      </c>
      <c r="I296" s="20" t="s">
        <v>2404</v>
      </c>
      <c r="J296" s="20" t="s">
        <v>5299</v>
      </c>
      <c r="K296" s="20" t="s">
        <v>5300</v>
      </c>
      <c r="L296" s="20">
        <v>0</v>
      </c>
      <c r="M296" s="20">
        <v>1</v>
      </c>
      <c r="N296" s="20">
        <v>18504120</v>
      </c>
      <c r="O296" s="20" t="s">
        <v>5210</v>
      </c>
      <c r="P296" s="20" t="s">
        <v>5207</v>
      </c>
      <c r="Q296" s="98" t="s">
        <v>20</v>
      </c>
    </row>
    <row r="297" spans="1:17">
      <c r="A297" s="20">
        <v>108</v>
      </c>
      <c r="B297" s="20">
        <v>2022</v>
      </c>
      <c r="C297" s="96">
        <v>44775</v>
      </c>
      <c r="D297" s="97" t="s">
        <v>2462</v>
      </c>
      <c r="E297" s="20">
        <v>1</v>
      </c>
      <c r="F297" s="20" t="s">
        <v>30</v>
      </c>
      <c r="G297" s="20">
        <v>35138</v>
      </c>
      <c r="H297" s="20" t="s">
        <v>61</v>
      </c>
      <c r="I297" s="20" t="s">
        <v>2404</v>
      </c>
      <c r="J297" s="20" t="s">
        <v>5297</v>
      </c>
      <c r="K297" s="20" t="s">
        <v>5298</v>
      </c>
      <c r="L297" s="20">
        <v>1</v>
      </c>
      <c r="M297" s="20">
        <v>0</v>
      </c>
      <c r="N297" s="20">
        <v>22224626</v>
      </c>
      <c r="O297" s="20" t="s">
        <v>5206</v>
      </c>
      <c r="P297" s="20" t="s">
        <v>5207</v>
      </c>
      <c r="Q297" s="98" t="s">
        <v>20</v>
      </c>
    </row>
    <row r="298" spans="1:17">
      <c r="A298" s="20">
        <v>108</v>
      </c>
      <c r="B298" s="20">
        <v>2022</v>
      </c>
      <c r="C298" s="96">
        <v>44775</v>
      </c>
      <c r="D298" s="97" t="s">
        <v>2462</v>
      </c>
      <c r="E298" s="20">
        <v>1</v>
      </c>
      <c r="F298" s="20" t="s">
        <v>30</v>
      </c>
      <c r="G298" s="20">
        <v>35138</v>
      </c>
      <c r="H298" s="20" t="s">
        <v>61</v>
      </c>
      <c r="I298" s="20" t="s">
        <v>2404</v>
      </c>
      <c r="J298" s="20" t="s">
        <v>5277</v>
      </c>
      <c r="K298" s="20" t="s">
        <v>5278</v>
      </c>
      <c r="L298" s="20">
        <v>0</v>
      </c>
      <c r="M298" s="20">
        <v>1</v>
      </c>
      <c r="N298" s="20">
        <v>32426838</v>
      </c>
      <c r="O298" s="20" t="s">
        <v>5255</v>
      </c>
      <c r="P298" s="20" t="s">
        <v>5207</v>
      </c>
      <c r="Q298" s="98" t="s">
        <v>20</v>
      </c>
    </row>
    <row r="299" spans="1:17">
      <c r="A299" s="20">
        <v>108</v>
      </c>
      <c r="B299" s="20">
        <v>2022</v>
      </c>
      <c r="C299" s="96">
        <v>44775</v>
      </c>
      <c r="D299" s="97" t="s">
        <v>2462</v>
      </c>
      <c r="E299" s="20">
        <v>1</v>
      </c>
      <c r="F299" s="20" t="s">
        <v>30</v>
      </c>
      <c r="G299" s="20">
        <v>35138</v>
      </c>
      <c r="H299" s="20" t="s">
        <v>61</v>
      </c>
      <c r="I299" s="20" t="s">
        <v>2404</v>
      </c>
      <c r="J299" s="98" t="s">
        <v>5241</v>
      </c>
      <c r="K299" s="98" t="s">
        <v>5242</v>
      </c>
      <c r="L299" s="98">
        <v>0</v>
      </c>
      <c r="M299" s="98">
        <v>1</v>
      </c>
      <c r="N299" s="98">
        <v>30167048</v>
      </c>
      <c r="O299" s="98" t="s">
        <v>5206</v>
      </c>
      <c r="P299" s="98" t="s">
        <v>5217</v>
      </c>
      <c r="Q299" s="98" t="s">
        <v>20</v>
      </c>
    </row>
    <row r="300" spans="1:17">
      <c r="A300" s="20">
        <v>108</v>
      </c>
      <c r="B300" s="20">
        <v>2022</v>
      </c>
      <c r="C300" s="96">
        <v>44775</v>
      </c>
      <c r="D300" s="97" t="s">
        <v>2462</v>
      </c>
      <c r="E300" s="20">
        <v>1</v>
      </c>
      <c r="F300" s="20" t="s">
        <v>30</v>
      </c>
      <c r="G300" s="20">
        <v>35138</v>
      </c>
      <c r="H300" s="20" t="s">
        <v>61</v>
      </c>
      <c r="I300" s="20" t="s">
        <v>2404</v>
      </c>
      <c r="J300" s="98" t="s">
        <v>5295</v>
      </c>
      <c r="K300" s="98" t="s">
        <v>5296</v>
      </c>
      <c r="L300" s="98">
        <v>1</v>
      </c>
      <c r="M300" s="98">
        <v>0</v>
      </c>
      <c r="N300" s="98">
        <v>10446767</v>
      </c>
      <c r="O300" s="98" t="s">
        <v>5206</v>
      </c>
      <c r="P300" s="98" t="s">
        <v>5217</v>
      </c>
      <c r="Q300" s="98" t="s">
        <v>20</v>
      </c>
    </row>
    <row r="301" spans="1:17">
      <c r="A301" s="20">
        <v>108</v>
      </c>
      <c r="B301" s="20">
        <v>2022</v>
      </c>
      <c r="C301" s="96">
        <v>44775</v>
      </c>
      <c r="D301" s="97" t="s">
        <v>2462</v>
      </c>
      <c r="E301" s="20">
        <v>1</v>
      </c>
      <c r="F301" s="20" t="s">
        <v>30</v>
      </c>
      <c r="G301" s="20">
        <v>35138</v>
      </c>
      <c r="H301" s="20" t="s">
        <v>61</v>
      </c>
      <c r="I301" s="20" t="s">
        <v>2404</v>
      </c>
      <c r="J301" s="98" t="s">
        <v>5263</v>
      </c>
      <c r="K301" s="98" t="s">
        <v>5264</v>
      </c>
      <c r="L301" s="98">
        <v>0</v>
      </c>
      <c r="M301" s="98">
        <v>1</v>
      </c>
      <c r="N301" s="98">
        <v>10451539</v>
      </c>
      <c r="O301" s="98" t="s">
        <v>5238</v>
      </c>
      <c r="P301" s="98" t="s">
        <v>5217</v>
      </c>
      <c r="Q301" s="98" t="s">
        <v>20</v>
      </c>
    </row>
    <row r="302" spans="1:17">
      <c r="A302" s="20">
        <v>108</v>
      </c>
      <c r="B302" s="20">
        <v>2022</v>
      </c>
      <c r="C302" s="96">
        <v>44775</v>
      </c>
      <c r="D302" s="97" t="s">
        <v>2462</v>
      </c>
      <c r="E302" s="20">
        <v>1</v>
      </c>
      <c r="F302" s="20" t="s">
        <v>30</v>
      </c>
      <c r="G302" s="20">
        <v>35138</v>
      </c>
      <c r="H302" s="20" t="s">
        <v>61</v>
      </c>
      <c r="I302" s="20" t="s">
        <v>2404</v>
      </c>
      <c r="J302" s="98" t="s">
        <v>5306</v>
      </c>
      <c r="K302" s="98" t="s">
        <v>5307</v>
      </c>
      <c r="L302" s="98">
        <v>1</v>
      </c>
      <c r="M302" s="98">
        <v>0</v>
      </c>
      <c r="N302" s="98">
        <v>20856135</v>
      </c>
      <c r="O302" s="98" t="s">
        <v>5206</v>
      </c>
      <c r="P302" s="98" t="s">
        <v>5217</v>
      </c>
      <c r="Q302" s="98" t="s">
        <v>20</v>
      </c>
    </row>
    <row r="303" spans="1:17">
      <c r="A303" s="20">
        <v>108</v>
      </c>
      <c r="B303" s="20">
        <v>2022</v>
      </c>
      <c r="C303" s="96">
        <v>44775</v>
      </c>
      <c r="D303" s="97" t="s">
        <v>2462</v>
      </c>
      <c r="E303" s="20">
        <v>1</v>
      </c>
      <c r="F303" s="20" t="s">
        <v>30</v>
      </c>
      <c r="G303" s="20">
        <v>35138</v>
      </c>
      <c r="H303" s="20" t="s">
        <v>61</v>
      </c>
      <c r="I303" s="20" t="s">
        <v>2404</v>
      </c>
      <c r="J303" s="98" t="s">
        <v>5218</v>
      </c>
      <c r="K303" s="98" t="s">
        <v>5219</v>
      </c>
      <c r="L303" s="98">
        <v>0</v>
      </c>
      <c r="M303" s="98">
        <v>1</v>
      </c>
      <c r="N303" s="98">
        <v>28116708</v>
      </c>
      <c r="O303" s="98" t="s">
        <v>5220</v>
      </c>
      <c r="P303" s="98" t="s">
        <v>5221</v>
      </c>
      <c r="Q303" s="9" t="s">
        <v>22</v>
      </c>
    </row>
    <row r="304" spans="1:17">
      <c r="A304" s="20">
        <v>108</v>
      </c>
      <c r="B304" s="20">
        <v>2022</v>
      </c>
      <c r="C304" s="96">
        <v>44775</v>
      </c>
      <c r="D304" s="97" t="s">
        <v>2462</v>
      </c>
      <c r="E304" s="20">
        <v>1</v>
      </c>
      <c r="F304" s="20" t="s">
        <v>30</v>
      </c>
      <c r="G304" s="20">
        <v>35138</v>
      </c>
      <c r="H304" s="20" t="s">
        <v>61</v>
      </c>
      <c r="I304" s="20" t="s">
        <v>2404</v>
      </c>
      <c r="J304" s="98" t="s">
        <v>5213</v>
      </c>
      <c r="K304" s="98" t="s">
        <v>5214</v>
      </c>
      <c r="L304" s="98">
        <v>1</v>
      </c>
      <c r="M304" s="98">
        <v>0</v>
      </c>
      <c r="N304" s="98">
        <v>32933367</v>
      </c>
      <c r="O304" s="98" t="s">
        <v>5206</v>
      </c>
      <c r="P304" s="98" t="s">
        <v>5221</v>
      </c>
      <c r="Q304" s="9" t="s">
        <v>22</v>
      </c>
    </row>
    <row r="305" spans="1:17">
      <c r="A305" s="20">
        <v>112</v>
      </c>
      <c r="B305" s="20">
        <v>2022</v>
      </c>
      <c r="C305" s="96">
        <v>44777</v>
      </c>
      <c r="D305" s="97" t="s">
        <v>47</v>
      </c>
      <c r="E305" s="20">
        <v>1</v>
      </c>
      <c r="F305" s="20" t="s">
        <v>30</v>
      </c>
      <c r="G305" s="20">
        <v>35476</v>
      </c>
      <c r="H305" s="20" t="s">
        <v>31</v>
      </c>
      <c r="I305" s="20" t="s">
        <v>2477</v>
      </c>
      <c r="J305" s="20" t="s">
        <v>5241</v>
      </c>
      <c r="K305" s="20" t="s">
        <v>5256</v>
      </c>
      <c r="L305" s="20">
        <v>1</v>
      </c>
      <c r="M305" s="20">
        <v>0</v>
      </c>
      <c r="N305" s="20">
        <v>17026455</v>
      </c>
      <c r="O305" s="20" t="s">
        <v>5206</v>
      </c>
      <c r="P305" s="98" t="s">
        <v>5207</v>
      </c>
      <c r="Q305" s="9" t="s">
        <v>33</v>
      </c>
    </row>
    <row r="306" spans="1:17">
      <c r="A306" s="20">
        <v>112</v>
      </c>
      <c r="B306" s="20">
        <v>2022</v>
      </c>
      <c r="C306" s="96">
        <v>44777</v>
      </c>
      <c r="D306" s="97" t="s">
        <v>47</v>
      </c>
      <c r="E306" s="20">
        <v>1</v>
      </c>
      <c r="F306" s="20" t="s">
        <v>30</v>
      </c>
      <c r="G306" s="20">
        <v>35476</v>
      </c>
      <c r="H306" s="20" t="s">
        <v>31</v>
      </c>
      <c r="I306" s="20" t="s">
        <v>2477</v>
      </c>
      <c r="J306" s="20" t="s">
        <v>5204</v>
      </c>
      <c r="K306" s="20" t="s">
        <v>5205</v>
      </c>
      <c r="L306" s="20">
        <v>1</v>
      </c>
      <c r="M306" s="20">
        <v>0</v>
      </c>
      <c r="N306" s="20">
        <v>25633481</v>
      </c>
      <c r="O306" s="20" t="s">
        <v>5206</v>
      </c>
      <c r="P306" s="98" t="s">
        <v>5207</v>
      </c>
      <c r="Q306" s="9" t="s">
        <v>33</v>
      </c>
    </row>
    <row r="307" spans="1:17">
      <c r="A307" s="20">
        <v>112</v>
      </c>
      <c r="B307" s="20">
        <v>2022</v>
      </c>
      <c r="C307" s="96">
        <v>44777</v>
      </c>
      <c r="D307" s="97" t="s">
        <v>47</v>
      </c>
      <c r="E307" s="20">
        <v>1</v>
      </c>
      <c r="F307" s="20" t="s">
        <v>30</v>
      </c>
      <c r="G307" s="20">
        <v>35476</v>
      </c>
      <c r="H307" s="20" t="s">
        <v>31</v>
      </c>
      <c r="I307" s="20" t="s">
        <v>2477</v>
      </c>
      <c r="J307" s="20" t="s">
        <v>5208</v>
      </c>
      <c r="K307" s="20" t="s">
        <v>5209</v>
      </c>
      <c r="L307" s="20">
        <v>0</v>
      </c>
      <c r="M307" s="20">
        <v>1</v>
      </c>
      <c r="N307" s="20">
        <v>16430626</v>
      </c>
      <c r="O307" s="20" t="s">
        <v>5210</v>
      </c>
      <c r="P307" s="20" t="s">
        <v>5207</v>
      </c>
      <c r="Q307" s="9" t="s">
        <v>33</v>
      </c>
    </row>
    <row r="308" spans="1:17">
      <c r="A308" s="20">
        <v>112</v>
      </c>
      <c r="B308" s="20">
        <v>2022</v>
      </c>
      <c r="C308" s="96">
        <v>44777</v>
      </c>
      <c r="D308" s="97" t="s">
        <v>47</v>
      </c>
      <c r="E308" s="20">
        <v>1</v>
      </c>
      <c r="F308" s="20" t="s">
        <v>30</v>
      </c>
      <c r="G308" s="20">
        <v>35476</v>
      </c>
      <c r="H308" s="20" t="s">
        <v>31</v>
      </c>
      <c r="I308" s="20" t="s">
        <v>2477</v>
      </c>
      <c r="J308" s="98" t="s">
        <v>5215</v>
      </c>
      <c r="K308" s="98" t="s">
        <v>5216</v>
      </c>
      <c r="L308" s="98">
        <v>1</v>
      </c>
      <c r="M308" s="98">
        <v>0</v>
      </c>
      <c r="N308" s="98">
        <v>6658142</v>
      </c>
      <c r="O308" s="98" t="s">
        <v>5206</v>
      </c>
      <c r="P308" s="98" t="s">
        <v>5217</v>
      </c>
      <c r="Q308" s="9" t="s">
        <v>33</v>
      </c>
    </row>
    <row r="309" spans="1:17">
      <c r="A309" s="20">
        <v>112</v>
      </c>
      <c r="B309" s="20">
        <v>2022</v>
      </c>
      <c r="C309" s="96">
        <v>44777</v>
      </c>
      <c r="D309" s="97" t="s">
        <v>47</v>
      </c>
      <c r="E309" s="20">
        <v>1</v>
      </c>
      <c r="F309" s="20" t="s">
        <v>30</v>
      </c>
      <c r="G309" s="20">
        <v>35476</v>
      </c>
      <c r="H309" s="20" t="s">
        <v>31</v>
      </c>
      <c r="I309" s="20" t="s">
        <v>2477</v>
      </c>
      <c r="J309" s="98" t="s">
        <v>5227</v>
      </c>
      <c r="K309" s="98" t="s">
        <v>5228</v>
      </c>
      <c r="L309" s="98">
        <v>0</v>
      </c>
      <c r="M309" s="98">
        <v>1</v>
      </c>
      <c r="N309" s="98">
        <v>12670333</v>
      </c>
      <c r="O309" s="98" t="s">
        <v>5229</v>
      </c>
      <c r="P309" s="98" t="s">
        <v>5221</v>
      </c>
      <c r="Q309" s="9" t="s">
        <v>22</v>
      </c>
    </row>
    <row r="310" spans="1:17">
      <c r="A310" s="20">
        <v>113</v>
      </c>
      <c r="B310" s="20">
        <v>2022</v>
      </c>
      <c r="C310" s="96">
        <v>44782</v>
      </c>
      <c r="D310" s="97" t="s">
        <v>53</v>
      </c>
      <c r="E310" s="20">
        <v>1</v>
      </c>
      <c r="F310" s="20" t="s">
        <v>30</v>
      </c>
      <c r="G310" s="20">
        <v>35476</v>
      </c>
      <c r="H310" s="20" t="s">
        <v>31</v>
      </c>
      <c r="I310" s="20" t="s">
        <v>2477</v>
      </c>
      <c r="J310" s="20" t="s">
        <v>5245</v>
      </c>
      <c r="K310" s="20" t="s">
        <v>5246</v>
      </c>
      <c r="L310" s="20">
        <v>0</v>
      </c>
      <c r="M310" s="20">
        <v>1</v>
      </c>
      <c r="N310" s="20">
        <v>37287279</v>
      </c>
      <c r="O310" s="20" t="s">
        <v>5206</v>
      </c>
      <c r="P310" s="98" t="s">
        <v>5207</v>
      </c>
      <c r="Q310" s="9" t="s">
        <v>33</v>
      </c>
    </row>
    <row r="311" spans="1:17">
      <c r="A311" s="20">
        <v>113</v>
      </c>
      <c r="B311" s="20">
        <v>2022</v>
      </c>
      <c r="C311" s="96">
        <v>44782</v>
      </c>
      <c r="D311" s="97" t="s">
        <v>53</v>
      </c>
      <c r="E311" s="20">
        <v>1</v>
      </c>
      <c r="F311" s="20" t="s">
        <v>30</v>
      </c>
      <c r="G311" s="20">
        <v>35476</v>
      </c>
      <c r="H311" s="20" t="s">
        <v>31</v>
      </c>
      <c r="I311" s="20" t="s">
        <v>2477</v>
      </c>
      <c r="J311" s="20" t="s">
        <v>5253</v>
      </c>
      <c r="K311" s="20" t="s">
        <v>5254</v>
      </c>
      <c r="L311" s="20">
        <v>1</v>
      </c>
      <c r="M311" s="20">
        <v>0</v>
      </c>
      <c r="N311" s="20">
        <v>12794217</v>
      </c>
      <c r="O311" s="20" t="s">
        <v>5255</v>
      </c>
      <c r="P311" s="20" t="s">
        <v>5207</v>
      </c>
      <c r="Q311" s="9" t="s">
        <v>20</v>
      </c>
    </row>
    <row r="312" spans="1:17">
      <c r="A312" s="20">
        <v>113</v>
      </c>
      <c r="B312" s="20">
        <v>2022</v>
      </c>
      <c r="C312" s="96">
        <v>44782</v>
      </c>
      <c r="D312" s="97" t="s">
        <v>53</v>
      </c>
      <c r="E312" s="20">
        <v>1</v>
      </c>
      <c r="F312" s="20" t="s">
        <v>30</v>
      </c>
      <c r="G312" s="20">
        <v>35476</v>
      </c>
      <c r="H312" s="20" t="s">
        <v>31</v>
      </c>
      <c r="I312" s="20" t="s">
        <v>2477</v>
      </c>
      <c r="J312" s="20" t="s">
        <v>5285</v>
      </c>
      <c r="K312" s="20" t="s">
        <v>5286</v>
      </c>
      <c r="L312" s="20">
        <v>0</v>
      </c>
      <c r="M312" s="20">
        <v>1</v>
      </c>
      <c r="N312" s="20">
        <v>24473674</v>
      </c>
      <c r="O312" s="20" t="s">
        <v>5206</v>
      </c>
      <c r="P312" s="20" t="s">
        <v>5207</v>
      </c>
      <c r="Q312" s="9" t="s">
        <v>33</v>
      </c>
    </row>
    <row r="313" spans="1:17">
      <c r="A313" s="20">
        <v>113</v>
      </c>
      <c r="B313" s="20">
        <v>2022</v>
      </c>
      <c r="C313" s="96">
        <v>44782</v>
      </c>
      <c r="D313" s="97" t="s">
        <v>53</v>
      </c>
      <c r="E313" s="20">
        <v>1</v>
      </c>
      <c r="F313" s="20" t="s">
        <v>30</v>
      </c>
      <c r="G313" s="20">
        <v>35476</v>
      </c>
      <c r="H313" s="20" t="s">
        <v>31</v>
      </c>
      <c r="I313" s="20" t="s">
        <v>2477</v>
      </c>
      <c r="J313" s="20" t="s">
        <v>5247</v>
      </c>
      <c r="K313" s="20" t="s">
        <v>5248</v>
      </c>
      <c r="L313" s="20">
        <v>1</v>
      </c>
      <c r="M313" s="20">
        <v>0</v>
      </c>
      <c r="N313" s="20">
        <v>27498041</v>
      </c>
      <c r="O313" s="20" t="s">
        <v>5206</v>
      </c>
      <c r="P313" s="20" t="s">
        <v>5207</v>
      </c>
      <c r="Q313" s="9" t="s">
        <v>20</v>
      </c>
    </row>
    <row r="314" spans="1:17">
      <c r="A314" s="20">
        <v>113</v>
      </c>
      <c r="B314" s="20">
        <v>2022</v>
      </c>
      <c r="C314" s="96">
        <v>44782</v>
      </c>
      <c r="D314" s="97" t="s">
        <v>53</v>
      </c>
      <c r="E314" s="20">
        <v>1</v>
      </c>
      <c r="F314" s="20" t="s">
        <v>30</v>
      </c>
      <c r="G314" s="20">
        <v>35476</v>
      </c>
      <c r="H314" s="20" t="s">
        <v>31</v>
      </c>
      <c r="I314" s="20" t="s">
        <v>2477</v>
      </c>
      <c r="J314" s="20" t="s">
        <v>5283</v>
      </c>
      <c r="K314" s="20" t="s">
        <v>5284</v>
      </c>
      <c r="L314" s="20">
        <v>0</v>
      </c>
      <c r="M314" s="20">
        <v>1</v>
      </c>
      <c r="N314" s="20">
        <v>33592427</v>
      </c>
      <c r="O314" s="20" t="s">
        <v>5206</v>
      </c>
      <c r="P314" s="20" t="s">
        <v>5207</v>
      </c>
      <c r="Q314" s="9" t="s">
        <v>33</v>
      </c>
    </row>
    <row r="315" spans="1:17">
      <c r="A315" s="20">
        <v>113</v>
      </c>
      <c r="B315" s="20">
        <v>2022</v>
      </c>
      <c r="C315" s="96">
        <v>44782</v>
      </c>
      <c r="D315" s="97" t="s">
        <v>53</v>
      </c>
      <c r="E315" s="20">
        <v>1</v>
      </c>
      <c r="F315" s="20" t="s">
        <v>30</v>
      </c>
      <c r="G315" s="20">
        <v>35476</v>
      </c>
      <c r="H315" s="20" t="s">
        <v>31</v>
      </c>
      <c r="I315" s="20" t="s">
        <v>2477</v>
      </c>
      <c r="J315" s="98" t="s">
        <v>5234</v>
      </c>
      <c r="K315" s="98" t="s">
        <v>5235</v>
      </c>
      <c r="L315" s="98">
        <v>0</v>
      </c>
      <c r="M315" s="98">
        <v>1</v>
      </c>
      <c r="N315" s="98">
        <v>17325355</v>
      </c>
      <c r="O315" s="98" t="s">
        <v>5206</v>
      </c>
      <c r="P315" s="98" t="s">
        <v>5217</v>
      </c>
      <c r="Q315" s="9" t="s">
        <v>33</v>
      </c>
    </row>
    <row r="316" spans="1:17">
      <c r="A316" s="20">
        <v>115</v>
      </c>
      <c r="B316" s="20">
        <v>2022</v>
      </c>
      <c r="C316" s="96">
        <v>44782</v>
      </c>
      <c r="D316" s="97" t="s">
        <v>28</v>
      </c>
      <c r="E316" s="20">
        <v>4</v>
      </c>
      <c r="F316" s="20" t="s">
        <v>71</v>
      </c>
      <c r="G316" s="20">
        <v>34936</v>
      </c>
      <c r="H316" s="20" t="s">
        <v>61</v>
      </c>
      <c r="I316" s="20" t="s">
        <v>2494</v>
      </c>
      <c r="J316" s="20" t="s">
        <v>5317</v>
      </c>
      <c r="K316" s="20" t="s">
        <v>5318</v>
      </c>
      <c r="L316" s="20">
        <v>1</v>
      </c>
      <c r="M316" s="20">
        <v>0</v>
      </c>
      <c r="N316" s="20">
        <v>12443249</v>
      </c>
      <c r="O316" s="20" t="s">
        <v>5206</v>
      </c>
      <c r="P316" s="98" t="s">
        <v>5207</v>
      </c>
      <c r="Q316" s="9" t="s">
        <v>33</v>
      </c>
    </row>
    <row r="317" spans="1:17">
      <c r="A317" s="20">
        <v>115</v>
      </c>
      <c r="B317" s="20">
        <v>2022</v>
      </c>
      <c r="C317" s="96">
        <v>44782</v>
      </c>
      <c r="D317" s="97" t="s">
        <v>28</v>
      </c>
      <c r="E317" s="20">
        <v>4</v>
      </c>
      <c r="F317" s="20" t="s">
        <v>71</v>
      </c>
      <c r="G317" s="20">
        <v>34936</v>
      </c>
      <c r="H317" s="20" t="s">
        <v>61</v>
      </c>
      <c r="I317" s="20" t="s">
        <v>2494</v>
      </c>
      <c r="J317" s="20" t="s">
        <v>5319</v>
      </c>
      <c r="K317" s="20" t="s">
        <v>5320</v>
      </c>
      <c r="L317" s="20">
        <v>0</v>
      </c>
      <c r="M317" s="20">
        <v>1</v>
      </c>
      <c r="N317" s="20">
        <v>33477642</v>
      </c>
      <c r="O317" s="20" t="s">
        <v>5206</v>
      </c>
      <c r="P317" s="98" t="s">
        <v>5207</v>
      </c>
      <c r="Q317" s="9" t="s">
        <v>33</v>
      </c>
    </row>
    <row r="318" spans="1:17">
      <c r="A318" s="20">
        <v>115</v>
      </c>
      <c r="B318" s="20">
        <v>2022</v>
      </c>
      <c r="C318" s="96">
        <v>44782</v>
      </c>
      <c r="D318" s="97" t="s">
        <v>28</v>
      </c>
      <c r="E318" s="20">
        <v>4</v>
      </c>
      <c r="F318" s="20" t="s">
        <v>71</v>
      </c>
      <c r="G318" s="20">
        <v>34936</v>
      </c>
      <c r="H318" s="20" t="s">
        <v>61</v>
      </c>
      <c r="I318" s="20" t="s">
        <v>2494</v>
      </c>
      <c r="J318" s="20" t="s">
        <v>5321</v>
      </c>
      <c r="K318" s="20" t="s">
        <v>5322</v>
      </c>
      <c r="L318" s="20">
        <v>1</v>
      </c>
      <c r="M318" s="20">
        <v>0</v>
      </c>
      <c r="N318" s="20">
        <v>12035053</v>
      </c>
      <c r="O318" s="20" t="s">
        <v>5206</v>
      </c>
      <c r="P318" s="20" t="s">
        <v>5207</v>
      </c>
      <c r="Q318" s="9" t="s">
        <v>20</v>
      </c>
    </row>
    <row r="319" spans="1:17">
      <c r="A319" s="20">
        <v>115</v>
      </c>
      <c r="B319" s="20">
        <v>2022</v>
      </c>
      <c r="C319" s="96">
        <v>44782</v>
      </c>
      <c r="D319" s="97" t="s">
        <v>28</v>
      </c>
      <c r="E319" s="20">
        <v>4</v>
      </c>
      <c r="F319" s="20" t="s">
        <v>71</v>
      </c>
      <c r="G319" s="20">
        <v>34936</v>
      </c>
      <c r="H319" s="20" t="s">
        <v>61</v>
      </c>
      <c r="I319" s="20" t="s">
        <v>2494</v>
      </c>
      <c r="J319" s="20" t="s">
        <v>5236</v>
      </c>
      <c r="K319" s="20" t="s">
        <v>5237</v>
      </c>
      <c r="L319" s="20">
        <v>1</v>
      </c>
      <c r="M319" s="20">
        <v>0</v>
      </c>
      <c r="N319" s="20">
        <v>17628399</v>
      </c>
      <c r="O319" s="20" t="s">
        <v>5238</v>
      </c>
      <c r="P319" s="20" t="s">
        <v>5207</v>
      </c>
      <c r="Q319" s="9" t="s">
        <v>20</v>
      </c>
    </row>
    <row r="320" spans="1:17">
      <c r="A320" s="20">
        <v>115</v>
      </c>
      <c r="B320" s="20">
        <v>2022</v>
      </c>
      <c r="C320" s="96">
        <v>44782</v>
      </c>
      <c r="D320" s="97" t="s">
        <v>28</v>
      </c>
      <c r="E320" s="20">
        <v>4</v>
      </c>
      <c r="F320" s="20" t="s">
        <v>71</v>
      </c>
      <c r="G320" s="20">
        <v>34936</v>
      </c>
      <c r="H320" s="20" t="s">
        <v>61</v>
      </c>
      <c r="I320" s="20" t="s">
        <v>2494</v>
      </c>
      <c r="J320" s="20" t="s">
        <v>5279</v>
      </c>
      <c r="K320" s="20" t="s">
        <v>5280</v>
      </c>
      <c r="L320" s="20">
        <v>1</v>
      </c>
      <c r="M320" s="20">
        <v>0</v>
      </c>
      <c r="N320" s="20">
        <v>24304887</v>
      </c>
      <c r="O320" s="20" t="s">
        <v>5206</v>
      </c>
      <c r="P320" s="20" t="s">
        <v>5207</v>
      </c>
      <c r="Q320" s="9" t="s">
        <v>33</v>
      </c>
    </row>
    <row r="321" spans="1:17">
      <c r="A321" s="20">
        <v>115</v>
      </c>
      <c r="B321" s="20">
        <v>2022</v>
      </c>
      <c r="C321" s="96">
        <v>44782</v>
      </c>
      <c r="D321" s="97" t="s">
        <v>28</v>
      </c>
      <c r="E321" s="20">
        <v>4</v>
      </c>
      <c r="F321" s="20" t="s">
        <v>71</v>
      </c>
      <c r="G321" s="20">
        <v>34936</v>
      </c>
      <c r="H321" s="20" t="s">
        <v>61</v>
      </c>
      <c r="I321" s="20" t="s">
        <v>2494</v>
      </c>
      <c r="J321" s="20" t="s">
        <v>5243</v>
      </c>
      <c r="K321" s="20" t="s">
        <v>5244</v>
      </c>
      <c r="L321" s="20">
        <v>0</v>
      </c>
      <c r="M321" s="20">
        <v>1</v>
      </c>
      <c r="N321" s="20">
        <v>30682704</v>
      </c>
      <c r="O321" s="20" t="s">
        <v>5210</v>
      </c>
      <c r="P321" s="20" t="s">
        <v>5207</v>
      </c>
      <c r="Q321" s="9" t="s">
        <v>20</v>
      </c>
    </row>
    <row r="322" spans="1:17">
      <c r="A322" s="20">
        <v>115</v>
      </c>
      <c r="B322" s="20">
        <v>2022</v>
      </c>
      <c r="C322" s="96">
        <v>44782</v>
      </c>
      <c r="D322" s="97" t="s">
        <v>28</v>
      </c>
      <c r="E322" s="20">
        <v>4</v>
      </c>
      <c r="F322" s="20" t="s">
        <v>71</v>
      </c>
      <c r="G322" s="20">
        <v>34936</v>
      </c>
      <c r="H322" s="20" t="s">
        <v>61</v>
      </c>
      <c r="I322" s="20" t="s">
        <v>2494</v>
      </c>
      <c r="J322" s="98" t="s">
        <v>5213</v>
      </c>
      <c r="K322" s="98" t="s">
        <v>5214</v>
      </c>
      <c r="L322" s="98">
        <v>1</v>
      </c>
      <c r="M322" s="98">
        <v>0</v>
      </c>
      <c r="N322" s="98">
        <v>32933367</v>
      </c>
      <c r="O322" s="98" t="s">
        <v>5206</v>
      </c>
      <c r="P322" s="98" t="s">
        <v>5217</v>
      </c>
      <c r="Q322" s="9" t="s">
        <v>20</v>
      </c>
    </row>
    <row r="323" spans="1:17">
      <c r="A323" s="20">
        <v>115</v>
      </c>
      <c r="B323" s="20">
        <v>2022</v>
      </c>
      <c r="C323" s="96">
        <v>44782</v>
      </c>
      <c r="D323" s="97" t="s">
        <v>28</v>
      </c>
      <c r="E323" s="20">
        <v>4</v>
      </c>
      <c r="F323" s="20" t="s">
        <v>71</v>
      </c>
      <c r="G323" s="20">
        <v>34936</v>
      </c>
      <c r="H323" s="20" t="s">
        <v>61</v>
      </c>
      <c r="I323" s="20" t="s">
        <v>2494</v>
      </c>
      <c r="J323" s="98" t="s">
        <v>5227</v>
      </c>
      <c r="K323" s="98" t="s">
        <v>5228</v>
      </c>
      <c r="L323" s="98">
        <v>0</v>
      </c>
      <c r="M323" s="98">
        <v>1</v>
      </c>
      <c r="N323" s="98">
        <v>12670333</v>
      </c>
      <c r="O323" s="98" t="s">
        <v>5229</v>
      </c>
      <c r="P323" s="98" t="s">
        <v>5217</v>
      </c>
      <c r="Q323" s="9" t="s">
        <v>20</v>
      </c>
    </row>
    <row r="324" spans="1:17">
      <c r="A324" s="20">
        <v>115</v>
      </c>
      <c r="B324" s="20">
        <v>2022</v>
      </c>
      <c r="C324" s="96">
        <v>44782</v>
      </c>
      <c r="D324" s="97" t="s">
        <v>28</v>
      </c>
      <c r="E324" s="20">
        <v>4</v>
      </c>
      <c r="F324" s="20" t="s">
        <v>71</v>
      </c>
      <c r="G324" s="20">
        <v>34936</v>
      </c>
      <c r="H324" s="20" t="s">
        <v>61</v>
      </c>
      <c r="I324" s="20" t="s">
        <v>2494</v>
      </c>
      <c r="J324" s="98" t="s">
        <v>5323</v>
      </c>
      <c r="K324" s="98" t="s">
        <v>5324</v>
      </c>
      <c r="L324" s="98">
        <v>1</v>
      </c>
      <c r="M324" s="98">
        <v>0</v>
      </c>
      <c r="N324" s="98">
        <v>26302308</v>
      </c>
      <c r="O324" s="98" t="s">
        <v>5206</v>
      </c>
      <c r="P324" s="98" t="s">
        <v>5217</v>
      </c>
      <c r="Q324" s="9" t="s">
        <v>33</v>
      </c>
    </row>
  </sheetData>
  <autoFilter ref="A1:Q324"/>
  <conditionalFormatting sqref="Q1:Q324">
    <cfRule type="cellIs" dxfId="3" priority="1" operator="equal">
      <formula>"NO"</formula>
    </cfRule>
  </conditionalFormatting>
  <conditionalFormatting sqref="Q1:Q324">
    <cfRule type="cellIs" dxfId="2" priority="2" operator="equal">
      <formula>"SI"</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7"/>
  <sheetViews>
    <sheetView workbookViewId="0"/>
  </sheetViews>
  <sheetFormatPr baseColWidth="10" defaultColWidth="12.5703125" defaultRowHeight="15.75" customHeight="1"/>
  <sheetData>
    <row r="1" spans="1:23">
      <c r="A1" s="9" t="s">
        <v>5325</v>
      </c>
      <c r="B1" s="99">
        <f ca="1">SUM(AUX!T2:T997)</f>
        <v>34</v>
      </c>
      <c r="E1" s="100" t="s">
        <v>5326</v>
      </c>
      <c r="F1" s="101"/>
      <c r="G1" s="101"/>
      <c r="H1" s="101"/>
      <c r="I1" s="101"/>
      <c r="J1" s="97"/>
      <c r="K1" s="102"/>
      <c r="L1" s="100" t="s">
        <v>5327</v>
      </c>
      <c r="M1" s="101"/>
      <c r="N1" s="101"/>
      <c r="O1" s="101"/>
      <c r="P1" s="101"/>
      <c r="Q1" s="103"/>
      <c r="R1" s="9" t="s">
        <v>5328</v>
      </c>
      <c r="W1" s="103"/>
    </row>
    <row r="2" spans="1:23">
      <c r="A2" s="9" t="s">
        <v>5329</v>
      </c>
      <c r="B2" s="20">
        <f ca="1">COUNTIFS(AUX!R3:R997,"NA",AUX!C3:C997,"&lt;&gt;PRESENCIAL")</f>
        <v>101</v>
      </c>
      <c r="E2" s="104" t="s">
        <v>0</v>
      </c>
      <c r="F2" s="20" t="s">
        <v>1</v>
      </c>
      <c r="G2" s="20" t="s">
        <v>2</v>
      </c>
      <c r="H2" s="20" t="s">
        <v>3</v>
      </c>
      <c r="I2" s="20" t="s">
        <v>4</v>
      </c>
      <c r="J2" s="97" t="s">
        <v>5</v>
      </c>
      <c r="K2" s="8" t="s">
        <v>5325</v>
      </c>
      <c r="L2" s="104">
        <f ca="1">IFERROR(__xludf.DUMMYFUNCTION("FILTER(AUX!A:F,AUX!R:R=""NA"",AUX!C:C&lt;&gt;""PRESENCIAL"",AUX!I:I=1)"),42)</f>
        <v>42</v>
      </c>
      <c r="M2" s="20">
        <f ca="1">IFERROR(__xludf.DUMMYFUNCTION("""COMPUTED_VALUE"""),2020)</f>
        <v>2020</v>
      </c>
      <c r="N2" s="20" t="str">
        <f ca="1">IFERROR(__xludf.DUMMYFUNCTION("""COMPUTED_VALUE"""),"VIRTUAL")</f>
        <v>VIRTUAL</v>
      </c>
      <c r="O2" s="96">
        <f ca="1">IFERROR(__xludf.DUMMYFUNCTION("""COMPUTED_VALUE"""),43970)</f>
        <v>43970</v>
      </c>
      <c r="P2" s="20" t="str">
        <f ca="1">IFERROR(__xludf.DUMMYFUNCTION("""COMPUTED_VALUE"""),"SI")</f>
        <v>SI</v>
      </c>
      <c r="Q2" s="105" t="str">
        <f ca="1">IFERROR(__xludf.DUMMYFUNCTION("""COMPUTED_VALUE"""),"OBRAS PÚBLICAS, VIVIENDA Y COMUNICACIONES;ECONOMÍA, PRESUPUESTO, GESTIÓN PÚBLICA E INNOVACIÓN")</f>
        <v>OBRAS PÚBLICAS, VIVIENDA Y COMUNICACIONES;ECONOMÍA, PRESUPUESTO, GESTIÓN PÚBLICA E INNOVACIÓN</v>
      </c>
      <c r="R2" s="20">
        <f ca="1">IFERROR(__xludf.DUMMYFUNCTION("FILTER(AUX!A:F,AUX!Q:Q=""NA"",AUX!C:C&lt;&gt;""PRESENCIAL"")"),44)</f>
        <v>44</v>
      </c>
      <c r="S2" s="20">
        <f ca="1">IFERROR(__xludf.DUMMYFUNCTION("""COMPUTED_VALUE"""),2020)</f>
        <v>2020</v>
      </c>
      <c r="T2" s="20" t="str">
        <f ca="1">IFERROR(__xludf.DUMMYFUNCTION("""COMPUTED_VALUE"""),"VIRTUAL")</f>
        <v>VIRTUAL</v>
      </c>
      <c r="U2" s="96">
        <f ca="1">IFERROR(__xludf.DUMMYFUNCTION("""COMPUTED_VALUE"""),43971)</f>
        <v>43971</v>
      </c>
      <c r="V2" s="20" t="str">
        <f ca="1">IFERROR(__xludf.DUMMYFUNCTION("""COMPUTED_VALUE"""),"NO")</f>
        <v>NO</v>
      </c>
      <c r="W2" s="105" t="str">
        <f ca="1">IFERROR(__xludf.DUMMYFUNCTION("""COMPUTED_VALUE"""),"DEPORTES Y RECREACIÓN")</f>
        <v>DEPORTES Y RECREACIÓN</v>
      </c>
    </row>
    <row r="3" spans="1:23">
      <c r="A3" s="9" t="s">
        <v>5330</v>
      </c>
      <c r="B3" s="20">
        <f ca="1">COUNTA(R2:R997)</f>
        <v>31</v>
      </c>
      <c r="E3" s="104">
        <f ca="1">IFERROR(__xludf.DUMMYFUNCTION("sort({FILTER(AUX!A2:F997,AUX!T2:T997&lt;&gt;0)},4,true)
"),53)</f>
        <v>53</v>
      </c>
      <c r="F3" s="20">
        <f ca="1">IFERROR(__xludf.DUMMYFUNCTION("""COMPUTED_VALUE"""),2020)</f>
        <v>2020</v>
      </c>
      <c r="G3" s="20" t="str">
        <f ca="1">IFERROR(__xludf.DUMMYFUNCTION("""COMPUTED_VALUE"""),"VIRTUAL")</f>
        <v>VIRTUAL</v>
      </c>
      <c r="H3" s="96">
        <f ca="1">IFERROR(__xludf.DUMMYFUNCTION("""COMPUTED_VALUE"""),43984)</f>
        <v>43984</v>
      </c>
      <c r="I3" s="20" t="str">
        <f ca="1">IFERROR(__xludf.DUMMYFUNCTION("""COMPUTED_VALUE"""),"SI")</f>
        <v>SI</v>
      </c>
      <c r="J3" s="97" t="str">
        <f ca="1">IFERROR(__xludf.DUMMYFUNCTION("""COMPUTED_VALUE"""),"SEGUIMIENTO DE LA EMISIÓN DE TÍTULOS DE DEUDA;ECONOMÍA, PRESUPUESTO, GESTIÓN PÚBLICA E INNOVACIÓN")</f>
        <v>SEGUIMIENTO DE LA EMISIÓN DE TÍTULOS DE DEUDA;ECONOMÍA, PRESUPUESTO, GESTIÓN PÚBLICA E INNOVACIÓN</v>
      </c>
      <c r="K3" s="97" t="str">
        <f ca="1">IFERROR(__xludf.DUMMYFUNCTION("sort({FILTER(AUX!S2:S997,AUX!T2:T997&lt;&gt;0)},4,true)
"),"NA;https://gld.legislaturacba.gob.ar/Publics/Actas.aspx?id=_yEQxNXdbRM=")</f>
        <v>NA;https://gld.legislaturacba.gob.ar/Publics/Actas.aspx?id=_yEQxNXdbRM=</v>
      </c>
      <c r="L3" s="104">
        <f ca="1">IFERROR(__xludf.DUMMYFUNCTION("""COMPUTED_VALUE"""),43)</f>
        <v>43</v>
      </c>
      <c r="M3" s="20">
        <f ca="1">IFERROR(__xludf.DUMMYFUNCTION("""COMPUTED_VALUE"""),2020)</f>
        <v>2020</v>
      </c>
      <c r="N3" s="20" t="str">
        <f ca="1">IFERROR(__xludf.DUMMYFUNCTION("""COMPUTED_VALUE"""),"VIRTUAL")</f>
        <v>VIRTUAL</v>
      </c>
      <c r="O3" s="96">
        <f ca="1">IFERROR(__xludf.DUMMYFUNCTION("""COMPUTED_VALUE"""),43970)</f>
        <v>43970</v>
      </c>
      <c r="P3" s="20" t="str">
        <f ca="1">IFERROR(__xludf.DUMMYFUNCTION("""COMPUTED_VALUE"""),"NO")</f>
        <v>NO</v>
      </c>
      <c r="Q3" s="105" t="str">
        <f ca="1">IFERROR(__xludf.DUMMYFUNCTION("""COMPUTED_VALUE"""),"SERVICIOS PÚBLICOS")</f>
        <v>SERVICIOS PÚBLICOS</v>
      </c>
      <c r="R3" s="20">
        <f ca="1">IFERROR(__xludf.DUMMYFUNCTION("""COMPUTED_VALUE"""),45)</f>
        <v>45</v>
      </c>
      <c r="S3" s="20">
        <f ca="1">IFERROR(__xludf.DUMMYFUNCTION("""COMPUTED_VALUE"""),2020)</f>
        <v>2020</v>
      </c>
      <c r="T3" s="20" t="str">
        <f ca="1">IFERROR(__xludf.DUMMYFUNCTION("""COMPUTED_VALUE"""),"VIRTUAL")</f>
        <v>VIRTUAL</v>
      </c>
      <c r="U3" s="96">
        <f ca="1">IFERROR(__xludf.DUMMYFUNCTION("""COMPUTED_VALUE"""),43972)</f>
        <v>43972</v>
      </c>
      <c r="V3" s="20" t="str">
        <f ca="1">IFERROR(__xludf.DUMMYFUNCTION("""COMPUTED_VALUE"""),"NO")</f>
        <v>NO</v>
      </c>
      <c r="W3" s="105" t="str">
        <f ca="1">IFERROR(__xludf.DUMMYFUNCTION("""COMPUTED_VALUE"""),"TURISMO Y SU RELACIÓN CON EL DESARROLLO REGIONAL")</f>
        <v>TURISMO Y SU RELACIÓN CON EL DESARROLLO REGIONAL</v>
      </c>
    </row>
    <row r="4" spans="1:23">
      <c r="E4" s="104">
        <f ca="1">IFERROR(__xludf.DUMMYFUNCTION("""COMPUTED_VALUE"""),23)</f>
        <v>23</v>
      </c>
      <c r="F4" s="20">
        <f ca="1">IFERROR(__xludf.DUMMYFUNCTION("""COMPUTED_VALUE"""),2023)</f>
        <v>2023</v>
      </c>
      <c r="G4" s="20" t="str">
        <f ca="1">IFERROR(__xludf.DUMMYFUNCTION("""COMPUTED_VALUE"""),"SEMIPRESENCIAL")</f>
        <v>SEMIPRESENCIAL</v>
      </c>
      <c r="H4" s="106">
        <f ca="1">IFERROR(__xludf.DUMMYFUNCTION("""COMPUTED_VALUE"""),45001)</f>
        <v>45001</v>
      </c>
      <c r="I4" s="20" t="str">
        <f ca="1">IFERROR(__xludf.DUMMYFUNCTION("""COMPUTED_VALUE"""),"SI")</f>
        <v>SI</v>
      </c>
      <c r="J4" s="97" t="str">
        <f ca="1">IFERROR(__xludf.DUMMYFUNCTION("""COMPUTED_VALUE"""),"LEGISLACIÓN DEL TRABAJO, PREVISIÓN Y SEGURIDAD SOCIAL;DERECHOS HUMANOS Y DESARROLLO SOCIAL")</f>
        <v>LEGISLACIÓN DEL TRABAJO, PREVISIÓN Y SEGURIDAD SOCIAL;DERECHOS HUMANOS Y DESARROLLO SOCIAL</v>
      </c>
      <c r="K4" s="107" t="str">
        <f ca="1">IFERROR(__xludf.DUMMYFUNCTION("""COMPUTED_VALUE"""),"https://gld.legislaturacba.gob.ar/Publics/Actas.aspx?id=3H3EtxsQShU=;NA")</f>
        <v>https://gld.legislaturacba.gob.ar/Publics/Actas.aspx?id=3H3EtxsQShU=;NA</v>
      </c>
      <c r="L4" s="104">
        <f ca="1">IFERROR(__xludf.DUMMYFUNCTION("""COMPUTED_VALUE"""),44)</f>
        <v>44</v>
      </c>
      <c r="M4" s="20">
        <f ca="1">IFERROR(__xludf.DUMMYFUNCTION("""COMPUTED_VALUE"""),2020)</f>
        <v>2020</v>
      </c>
      <c r="N4" s="20" t="str">
        <f ca="1">IFERROR(__xludf.DUMMYFUNCTION("""COMPUTED_VALUE"""),"VIRTUAL")</f>
        <v>VIRTUAL</v>
      </c>
      <c r="O4" s="96">
        <f ca="1">IFERROR(__xludf.DUMMYFUNCTION("""COMPUTED_VALUE"""),43971)</f>
        <v>43971</v>
      </c>
      <c r="P4" s="20" t="str">
        <f ca="1">IFERROR(__xludf.DUMMYFUNCTION("""COMPUTED_VALUE"""),"NO")</f>
        <v>NO</v>
      </c>
      <c r="Q4" s="105" t="str">
        <f ca="1">IFERROR(__xludf.DUMMYFUNCTION("""COMPUTED_VALUE"""),"DEPORTES Y RECREACIÓN")</f>
        <v>DEPORTES Y RECREACIÓN</v>
      </c>
      <c r="R4" s="20">
        <f ca="1">IFERROR(__xludf.DUMMYFUNCTION("""COMPUTED_VALUE"""),46)</f>
        <v>46</v>
      </c>
      <c r="S4" s="20">
        <f ca="1">IFERROR(__xludf.DUMMYFUNCTION("""COMPUTED_VALUE"""),2020)</f>
        <v>2020</v>
      </c>
      <c r="T4" s="20" t="str">
        <f ca="1">IFERROR(__xludf.DUMMYFUNCTION("""COMPUTED_VALUE"""),"VIRTUAL")</f>
        <v>VIRTUAL</v>
      </c>
      <c r="U4" s="96">
        <f ca="1">IFERROR(__xludf.DUMMYFUNCTION("""COMPUTED_VALUE"""),43977)</f>
        <v>43977</v>
      </c>
      <c r="V4" s="20" t="str">
        <f ca="1">IFERROR(__xludf.DUMMYFUNCTION("""COMPUTED_VALUE"""),"NO")</f>
        <v>NO</v>
      </c>
      <c r="W4" s="105" t="str">
        <f ca="1">IFERROR(__xludf.DUMMYFUNCTION("""COMPUTED_VALUE"""),"EDUCACIÓN, CULTURA, CIENCIA, TECNOLOGÍA E INFORMÁTICA")</f>
        <v>EDUCACIÓN, CULTURA, CIENCIA, TECNOLOGÍA E INFORMÁTICA</v>
      </c>
    </row>
    <row r="5" spans="1:23">
      <c r="E5" s="104">
        <f ca="1">IFERROR(__xludf.DUMMYFUNCTION("""COMPUTED_VALUE"""),25)</f>
        <v>25</v>
      </c>
      <c r="F5" s="20">
        <f ca="1">IFERROR(__xludf.DUMMYFUNCTION("""COMPUTED_VALUE"""),2023)</f>
        <v>2023</v>
      </c>
      <c r="G5" s="20" t="str">
        <f ca="1">IFERROR(__xludf.DUMMYFUNCTION("""COMPUTED_VALUE"""),"SEMIPRESENCIAL")</f>
        <v>SEMIPRESENCIAL</v>
      </c>
      <c r="H5" s="106">
        <f ca="1">IFERROR(__xludf.DUMMYFUNCTION("""COMPUTED_VALUE"""),45006)</f>
        <v>45006</v>
      </c>
      <c r="I5" s="20" t="str">
        <f ca="1">IFERROR(__xludf.DUMMYFUNCTION("""COMPUTED_VALUE"""),"SI")</f>
        <v>SI</v>
      </c>
      <c r="J5" s="97" t="str">
        <f ca="1">IFERROR(__xludf.DUMMYFUNCTION("""COMPUTED_VALUE"""),"LEGISLACIÓN DEL TRABAJO, PREVISIÓN Y SEGURIDAD SOCIAL;DERECHOS HUMANOS Y DESARROLLO SOCIAL;LEGISLACIÓN GENERAL")</f>
        <v>LEGISLACIÓN DEL TRABAJO, PREVISIÓN Y SEGURIDAD SOCIAL;DERECHOS HUMANOS Y DESARROLLO SOCIAL;LEGISLACIÓN GENERAL</v>
      </c>
      <c r="K5" s="107" t="str">
        <f ca="1">IFERROR(__xludf.DUMMYFUNCTION("""COMPUTED_VALUE"""),"https://gld.legislaturacba.gob.ar/Publics/Actas.aspx?id=vZ07Tij7Eco=;NA;https://gld.legislaturacba.gob.ar/Publics/Actas.aspx?id=0xFk-ftoloo=")</f>
        <v>https://gld.legislaturacba.gob.ar/Publics/Actas.aspx?id=vZ07Tij7Eco=;NA;https://gld.legislaturacba.gob.ar/Publics/Actas.aspx?id=0xFk-ftoloo=</v>
      </c>
      <c r="L5" s="104">
        <f ca="1">IFERROR(__xludf.DUMMYFUNCTION("""COMPUTED_VALUE"""),47)</f>
        <v>47</v>
      </c>
      <c r="M5" s="20">
        <f ca="1">IFERROR(__xludf.DUMMYFUNCTION("""COMPUTED_VALUE"""),2020)</f>
        <v>2020</v>
      </c>
      <c r="N5" s="20" t="str">
        <f ca="1">IFERROR(__xludf.DUMMYFUNCTION("""COMPUTED_VALUE"""),"VIRTUAL")</f>
        <v>VIRTUAL</v>
      </c>
      <c r="O5" s="96">
        <f ca="1">IFERROR(__xludf.DUMMYFUNCTION("""COMPUTED_VALUE"""),43977)</f>
        <v>43977</v>
      </c>
      <c r="P5" s="20" t="str">
        <f ca="1">IFERROR(__xludf.DUMMYFUNCTION("""COMPUTED_VALUE"""),"NO")</f>
        <v>NO</v>
      </c>
      <c r="Q5" s="105" t="str">
        <f ca="1">IFERROR(__xludf.DUMMYFUNCTION("""COMPUTED_VALUE"""),"MERCOSUR, COMERCIO INTERIOR Y EXTERIOR")</f>
        <v>MERCOSUR, COMERCIO INTERIOR Y EXTERIOR</v>
      </c>
      <c r="R5" s="20">
        <f ca="1">IFERROR(__xludf.DUMMYFUNCTION("""COMPUTED_VALUE"""),48)</f>
        <v>48</v>
      </c>
      <c r="S5" s="20">
        <f ca="1">IFERROR(__xludf.DUMMYFUNCTION("""COMPUTED_VALUE"""),2020)</f>
        <v>2020</v>
      </c>
      <c r="T5" s="20" t="str">
        <f ca="1">IFERROR(__xludf.DUMMYFUNCTION("""COMPUTED_VALUE"""),"VIRTUAL")</f>
        <v>VIRTUAL</v>
      </c>
      <c r="U5" s="96">
        <f ca="1">IFERROR(__xludf.DUMMYFUNCTION("""COMPUTED_VALUE"""),43978)</f>
        <v>43978</v>
      </c>
      <c r="V5" s="20" t="str">
        <f ca="1">IFERROR(__xludf.DUMMYFUNCTION("""COMPUTED_VALUE"""),"NO")</f>
        <v>NO</v>
      </c>
      <c r="W5" s="105" t="str">
        <f ca="1">IFERROR(__xludf.DUMMYFUNCTION("""COMPUTED_VALUE"""),"DEPORTES Y RECREACIÓN")</f>
        <v>DEPORTES Y RECREACIÓN</v>
      </c>
    </row>
    <row r="6" spans="1:23">
      <c r="E6" s="104">
        <f ca="1">IFERROR(__xludf.DUMMYFUNCTION("""COMPUTED_VALUE"""),31)</f>
        <v>31</v>
      </c>
      <c r="F6" s="20">
        <f ca="1">IFERROR(__xludf.DUMMYFUNCTION("""COMPUTED_VALUE"""),2023)</f>
        <v>2023</v>
      </c>
      <c r="G6" s="20" t="str">
        <f ca="1">IFERROR(__xludf.DUMMYFUNCTION("""COMPUTED_VALUE"""),"VIRTUAL")</f>
        <v>VIRTUAL</v>
      </c>
      <c r="H6" s="106">
        <f ca="1">IFERROR(__xludf.DUMMYFUNCTION("""COMPUTED_VALUE"""),45015)</f>
        <v>45015</v>
      </c>
      <c r="I6" s="20" t="str">
        <f ca="1">IFERROR(__xludf.DUMMYFUNCTION("""COMPUTED_VALUE"""),"NO")</f>
        <v>NO</v>
      </c>
      <c r="J6" s="97" t="str">
        <f ca="1">IFERROR(__xludf.DUMMYFUNCTION("""COMPUTED_VALUE"""),"TURISMO Y SU RELACIÓN CON EL DESARROLLO REGIONAL")</f>
        <v>TURISMO Y SU RELACIÓN CON EL DESARROLLO REGIONAL</v>
      </c>
      <c r="K6" s="97" t="str">
        <f ca="1">IFERROR(__xludf.DUMMYFUNCTION("""COMPUTED_VALUE"""),"NA")</f>
        <v>NA</v>
      </c>
      <c r="L6" s="104">
        <f ca="1">IFERROR(__xludf.DUMMYFUNCTION("""COMPUTED_VALUE"""),51)</f>
        <v>51</v>
      </c>
      <c r="M6" s="20">
        <f ca="1">IFERROR(__xludf.DUMMYFUNCTION("""COMPUTED_VALUE"""),2020)</f>
        <v>2020</v>
      </c>
      <c r="N6" s="20" t="str">
        <f ca="1">IFERROR(__xludf.DUMMYFUNCTION("""COMPUTED_VALUE"""),"VIRTUAL")</f>
        <v>VIRTUAL</v>
      </c>
      <c r="O6" s="96">
        <f ca="1">IFERROR(__xludf.DUMMYFUNCTION("""COMPUTED_VALUE"""),43979)</f>
        <v>43979</v>
      </c>
      <c r="P6" s="20" t="str">
        <f ca="1">IFERROR(__xludf.DUMMYFUNCTION("""COMPUTED_VALUE"""),"NO")</f>
        <v>NO</v>
      </c>
      <c r="Q6" s="105" t="str">
        <f ca="1">IFERROR(__xludf.DUMMYFUNCTION("""COMPUTED_VALUE"""),"INDUSTRIA Y MINERÍA")</f>
        <v>INDUSTRIA Y MINERÍA</v>
      </c>
      <c r="R6" s="20">
        <f ca="1">IFERROR(__xludf.DUMMYFUNCTION("""COMPUTED_VALUE"""),67)</f>
        <v>67</v>
      </c>
      <c r="S6" s="20">
        <f ca="1">IFERROR(__xludf.DUMMYFUNCTION("""COMPUTED_VALUE"""),2020)</f>
        <v>2020</v>
      </c>
      <c r="T6" s="20" t="str">
        <f ca="1">IFERROR(__xludf.DUMMYFUNCTION("""COMPUTED_VALUE"""),"VIRTUAL")</f>
        <v>VIRTUAL</v>
      </c>
      <c r="U6" s="96">
        <f ca="1">IFERROR(__xludf.DUMMYFUNCTION("""COMPUTED_VALUE"""),44005)</f>
        <v>44005</v>
      </c>
      <c r="V6" s="20" t="str">
        <f ca="1">IFERROR(__xludf.DUMMYFUNCTION("""COMPUTED_VALUE"""),"SI")</f>
        <v>SI</v>
      </c>
      <c r="W6" s="105" t="str">
        <f ca="1">IFERROR(__xludf.DUMMYFUNCTION("""COMPUTED_VALUE"""),"ECONOMÍA, PRESUPUESTO, GESTIÓN PÚBLICA E INNOVACIÓN;SERVICIOS PÚBLICOS")</f>
        <v>ECONOMÍA, PRESUPUESTO, GESTIÓN PÚBLICA E INNOVACIÓN;SERVICIOS PÚBLICOS</v>
      </c>
    </row>
    <row r="7" spans="1:23">
      <c r="E7" s="104">
        <f ca="1">IFERROR(__xludf.DUMMYFUNCTION("""COMPUTED_VALUE"""),32)</f>
        <v>32</v>
      </c>
      <c r="F7" s="20">
        <f ca="1">IFERROR(__xludf.DUMMYFUNCTION("""COMPUTED_VALUE"""),2023)</f>
        <v>2023</v>
      </c>
      <c r="G7" s="20" t="str">
        <f ca="1">IFERROR(__xludf.DUMMYFUNCTION("""COMPUTED_VALUE"""),"VIRTUAL")</f>
        <v>VIRTUAL</v>
      </c>
      <c r="H7" s="106">
        <f ca="1">IFERROR(__xludf.DUMMYFUNCTION("""COMPUTED_VALUE"""),45020)</f>
        <v>45020</v>
      </c>
      <c r="I7" s="20" t="str">
        <f ca="1">IFERROR(__xludf.DUMMYFUNCTION("""COMPUTED_VALUE"""),"SI")</f>
        <v>SI</v>
      </c>
      <c r="J7" s="97"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K7" s="107" t="str">
        <f ca="1">IFERROR(__xludf.DUMMYFUNCTION("""COMPUTED_VALUE"""),"https://gld.legislaturacba.gob.ar/Publics/Actas.aspx?id=dqHyPnrDPqI=;NA;https://gld.legislaturacba.gob.ar/Publics/Actas.aspx?id=R1RXFTLfAXY=")</f>
        <v>https://gld.legislaturacba.gob.ar/Publics/Actas.aspx?id=dqHyPnrDPqI=;NA;https://gld.legislaturacba.gob.ar/Publics/Actas.aspx?id=R1RXFTLfAXY=</v>
      </c>
      <c r="L7" s="104">
        <f ca="1">IFERROR(__xludf.DUMMYFUNCTION("""COMPUTED_VALUE"""),53)</f>
        <v>53</v>
      </c>
      <c r="M7" s="20">
        <f ca="1">IFERROR(__xludf.DUMMYFUNCTION("""COMPUTED_VALUE"""),2020)</f>
        <v>2020</v>
      </c>
      <c r="N7" s="20" t="str">
        <f ca="1">IFERROR(__xludf.DUMMYFUNCTION("""COMPUTED_VALUE"""),"VIRTUAL")</f>
        <v>VIRTUAL</v>
      </c>
      <c r="O7" s="96">
        <f ca="1">IFERROR(__xludf.DUMMYFUNCTION("""COMPUTED_VALUE"""),43984)</f>
        <v>43984</v>
      </c>
      <c r="P7" s="20" t="str">
        <f ca="1">IFERROR(__xludf.DUMMYFUNCTION("""COMPUTED_VALUE"""),"SI")</f>
        <v>SI</v>
      </c>
      <c r="Q7" s="105" t="str">
        <f ca="1">IFERROR(__xludf.DUMMYFUNCTION("""COMPUTED_VALUE"""),"SEGUIMIENTO DE LA EMISIÓN DE TÍTULOS DE DEUDA;ECONOMÍA, PRESUPUESTO, GESTIÓN PÚBLICA E INNOVACIÓN")</f>
        <v>SEGUIMIENTO DE LA EMISIÓN DE TÍTULOS DE DEUDA;ECONOMÍA, PRESUPUESTO, GESTIÓN PÚBLICA E INNOVACIÓN</v>
      </c>
      <c r="R7" s="20">
        <f ca="1">IFERROR(__xludf.DUMMYFUNCTION("""COMPUTED_VALUE"""),95)</f>
        <v>95</v>
      </c>
      <c r="S7" s="20">
        <f ca="1">IFERROR(__xludf.DUMMYFUNCTION("""COMPUTED_VALUE"""),2020)</f>
        <v>2020</v>
      </c>
      <c r="T7" s="20" t="str">
        <f ca="1">IFERROR(__xludf.DUMMYFUNCTION("""COMPUTED_VALUE"""),"VIRTUAL")</f>
        <v>VIRTUAL</v>
      </c>
      <c r="U7" s="96">
        <f ca="1">IFERROR(__xludf.DUMMYFUNCTION("""COMPUTED_VALUE"""),44040)</f>
        <v>44040</v>
      </c>
      <c r="V7" s="20" t="str">
        <f ca="1">IFERROR(__xludf.DUMMYFUNCTION("""COMPUTED_VALUE"""),"NO")</f>
        <v>NO</v>
      </c>
      <c r="W7" s="105" t="str">
        <f ca="1">IFERROR(__xludf.DUMMYFUNCTION("""COMPUTED_VALUE"""),"LEGISLACIÓN GENERAL")</f>
        <v>LEGISLACIÓN GENERAL</v>
      </c>
    </row>
    <row r="8" spans="1:23">
      <c r="E8" s="104">
        <f ca="1">IFERROR(__xludf.DUMMYFUNCTION("""COMPUTED_VALUE"""),35)</f>
        <v>35</v>
      </c>
      <c r="F8" s="20">
        <f ca="1">IFERROR(__xludf.DUMMYFUNCTION("""COMPUTED_VALUE"""),2023)</f>
        <v>2023</v>
      </c>
      <c r="G8" s="20" t="str">
        <f ca="1">IFERROR(__xludf.DUMMYFUNCTION("""COMPUTED_VALUE"""),"VIRTUAL")</f>
        <v>VIRTUAL</v>
      </c>
      <c r="H8" s="106">
        <f ca="1">IFERROR(__xludf.DUMMYFUNCTION("""COMPUTED_VALUE"""),45027)</f>
        <v>45027</v>
      </c>
      <c r="I8" s="20" t="str">
        <f ca="1">IFERROR(__xludf.DUMMYFUNCTION("""COMPUTED_VALUE"""),"SI")</f>
        <v>SI</v>
      </c>
      <c r="J8" s="97" t="str">
        <f ca="1">IFERROR(__xludf.DUMMYFUNCTION("""COMPUTED_VALUE"""),"LEGISLACIÓN GENERAL;TURISMO Y SU RELACIÓN CON EL DESARROLLO REGIONAL")</f>
        <v>LEGISLACIÓN GENERAL;TURISMO Y SU RELACIÓN CON EL DESARROLLO REGIONAL</v>
      </c>
      <c r="K8" s="107" t="str">
        <f ca="1">IFERROR(__xludf.DUMMYFUNCTION("""COMPUTED_VALUE"""),"https://gld.legislaturacba.gob.ar/Publics/Actas.aspx?id=9llPjy8V0Wk=;NA")</f>
        <v>https://gld.legislaturacba.gob.ar/Publics/Actas.aspx?id=9llPjy8V0Wk=;NA</v>
      </c>
      <c r="L8" s="104">
        <f ca="1">IFERROR(__xludf.DUMMYFUNCTION("""COMPUTED_VALUE"""),60)</f>
        <v>60</v>
      </c>
      <c r="M8" s="20">
        <f ca="1">IFERROR(__xludf.DUMMYFUNCTION("""COMPUTED_VALUE"""),2020)</f>
        <v>2020</v>
      </c>
      <c r="N8" s="20" t="str">
        <f ca="1">IFERROR(__xludf.DUMMYFUNCTION("""COMPUTED_VALUE"""),"VIRTUAL")</f>
        <v>VIRTUAL</v>
      </c>
      <c r="O8" s="96">
        <f ca="1">IFERROR(__xludf.DUMMYFUNCTION("""COMPUTED_VALUE"""),43993)</f>
        <v>43993</v>
      </c>
      <c r="P8" s="20" t="str">
        <f ca="1">IFERROR(__xludf.DUMMYFUNCTION("""COMPUTED_VALUE"""),"SI")</f>
        <v>SI</v>
      </c>
      <c r="Q8" s="105"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R8" s="20">
        <f ca="1">IFERROR(__xludf.DUMMYFUNCTION("""COMPUTED_VALUE"""),100)</f>
        <v>100</v>
      </c>
      <c r="S8" s="20">
        <f ca="1">IFERROR(__xludf.DUMMYFUNCTION("""COMPUTED_VALUE"""),2020)</f>
        <v>2020</v>
      </c>
      <c r="T8" s="20" t="str">
        <f ca="1">IFERROR(__xludf.DUMMYFUNCTION("""COMPUTED_VALUE"""),"VIRTUAL")</f>
        <v>VIRTUAL</v>
      </c>
      <c r="U8" s="96">
        <f ca="1">IFERROR(__xludf.DUMMYFUNCTION("""COMPUTED_VALUE"""),44047)</f>
        <v>44047</v>
      </c>
      <c r="V8" s="20" t="str">
        <f ca="1">IFERROR(__xludf.DUMMYFUNCTION("""COMPUTED_VALUE"""),"NO")</f>
        <v>NO</v>
      </c>
      <c r="W8" s="105" t="str">
        <f ca="1">IFERROR(__xludf.DUMMYFUNCTION("""COMPUTED_VALUE"""),"OBRAS PÚBLICAS, VIVIENDA Y COMUNICACIONES")</f>
        <v>OBRAS PÚBLICAS, VIVIENDA Y COMUNICACIONES</v>
      </c>
    </row>
    <row r="9" spans="1:23">
      <c r="D9" s="9"/>
      <c r="E9" s="104">
        <f ca="1">IFERROR(__xludf.DUMMYFUNCTION("""COMPUTED_VALUE"""),38)</f>
        <v>38</v>
      </c>
      <c r="F9" s="20">
        <f ca="1">IFERROR(__xludf.DUMMYFUNCTION("""COMPUTED_VALUE"""),2023)</f>
        <v>2023</v>
      </c>
      <c r="G9" s="20" t="str">
        <f ca="1">IFERROR(__xludf.DUMMYFUNCTION("""COMPUTED_VALUE"""),"VIRTUAL")</f>
        <v>VIRTUAL</v>
      </c>
      <c r="H9" s="106">
        <f ca="1">IFERROR(__xludf.DUMMYFUNCTION("""COMPUTED_VALUE"""),45034)</f>
        <v>45034</v>
      </c>
      <c r="I9" s="20" t="str">
        <f ca="1">IFERROR(__xludf.DUMMYFUNCTION("""COMPUTED_VALUE"""),"NO")</f>
        <v>NO</v>
      </c>
      <c r="J9" s="97" t="str">
        <f ca="1">IFERROR(__xludf.DUMMYFUNCTION("""COMPUTED_VALUE"""),"ECONOMÍA, PRESUPUESTO, GESTIÓN PÚBLICA E INNOVACIÓN")</f>
        <v>ECONOMÍA, PRESUPUESTO, GESTIÓN PÚBLICA E INNOVACIÓN</v>
      </c>
      <c r="K9" s="97" t="str">
        <f ca="1">IFERROR(__xludf.DUMMYFUNCTION("""COMPUTED_VALUE"""),"NA")</f>
        <v>NA</v>
      </c>
      <c r="L9" s="104">
        <f ca="1">IFERROR(__xludf.DUMMYFUNCTION("""COMPUTED_VALUE"""),62)</f>
        <v>62</v>
      </c>
      <c r="M9" s="20">
        <f ca="1">IFERROR(__xludf.DUMMYFUNCTION("""COMPUTED_VALUE"""),2020)</f>
        <v>2020</v>
      </c>
      <c r="N9" s="20" t="str">
        <f ca="1">IFERROR(__xludf.DUMMYFUNCTION("""COMPUTED_VALUE"""),"VIRTUAL")</f>
        <v>VIRTUAL</v>
      </c>
      <c r="O9" s="96">
        <f ca="1">IFERROR(__xludf.DUMMYFUNCTION("""COMPUTED_VALUE"""),43998)</f>
        <v>43998</v>
      </c>
      <c r="P9" s="20" t="str">
        <f ca="1">IFERROR(__xludf.DUMMYFUNCTION("""COMPUTED_VALUE"""),"SI")</f>
        <v>SI</v>
      </c>
      <c r="Q9" s="105" t="str">
        <f ca="1">IFERROR(__xludf.DUMMYFUNCTION("""COMPUTED_VALUE"""),"SALUD HUMANA;LEGISLACIÓN GENERAL")</f>
        <v>SALUD HUMANA;LEGISLACIÓN GENERAL</v>
      </c>
      <c r="R9" s="20">
        <f ca="1">IFERROR(__xludf.DUMMYFUNCTION("""COMPUTED_VALUE"""),227)</f>
        <v>227</v>
      </c>
      <c r="S9" s="20">
        <f ca="1">IFERROR(__xludf.DUMMYFUNCTION("""COMPUTED_VALUE"""),2020)</f>
        <v>2020</v>
      </c>
      <c r="T9" s="20" t="str">
        <f ca="1">IFERROR(__xludf.DUMMYFUNCTION("""COMPUTED_VALUE"""),"VIRTUAL")</f>
        <v>VIRTUAL</v>
      </c>
      <c r="U9" s="96">
        <f ca="1">IFERROR(__xludf.DUMMYFUNCTION("""COMPUTED_VALUE"""),44182)</f>
        <v>44182</v>
      </c>
      <c r="V9" s="20" t="str">
        <f ca="1">IFERROR(__xludf.DUMMYFUNCTION("""COMPUTED_VALUE"""),"NO")</f>
        <v>NO</v>
      </c>
      <c r="W9" s="105" t="str">
        <f ca="1">IFERROR(__xludf.DUMMYFUNCTION("""COMPUTED_VALUE"""),"EQUIDAD Y LUCHA CONTRA LA VIOLENCIA DE GÉNERO")</f>
        <v>EQUIDAD Y LUCHA CONTRA LA VIOLENCIA DE GÉNERO</v>
      </c>
    </row>
    <row r="10" spans="1:23">
      <c r="E10" s="104">
        <f ca="1">IFERROR(__xludf.DUMMYFUNCTION("""COMPUTED_VALUE"""),40)</f>
        <v>40</v>
      </c>
      <c r="F10" s="20">
        <f ca="1">IFERROR(__xludf.DUMMYFUNCTION("""COMPUTED_VALUE"""),2023)</f>
        <v>2023</v>
      </c>
      <c r="G10" s="20" t="str">
        <f ca="1">IFERROR(__xludf.DUMMYFUNCTION("""COMPUTED_VALUE"""),"VIRTUAL")</f>
        <v>VIRTUAL</v>
      </c>
      <c r="H10" s="106">
        <f ca="1">IFERROR(__xludf.DUMMYFUNCTION("""COMPUTED_VALUE"""),45036)</f>
        <v>45036</v>
      </c>
      <c r="I10" s="20" t="str">
        <f ca="1">IFERROR(__xludf.DUMMYFUNCTION("""COMPUTED_VALUE"""),"NO")</f>
        <v>NO</v>
      </c>
      <c r="J10" s="97" t="str">
        <f ca="1">IFERROR(__xludf.DUMMYFUNCTION("""COMPUTED_VALUE"""),"OBRAS PÚBLICAS, VIVIENDA Y COMUNICACIONES")</f>
        <v>OBRAS PÚBLICAS, VIVIENDA Y COMUNICACIONES</v>
      </c>
      <c r="K10" s="97" t="str">
        <f ca="1">IFERROR(__xludf.DUMMYFUNCTION("""COMPUTED_VALUE"""),"NA")</f>
        <v>NA</v>
      </c>
      <c r="L10" s="104">
        <f ca="1">IFERROR(__xludf.DUMMYFUNCTION("""COMPUTED_VALUE"""),63)</f>
        <v>63</v>
      </c>
      <c r="M10" s="20">
        <f ca="1">IFERROR(__xludf.DUMMYFUNCTION("""COMPUTED_VALUE"""),2020)</f>
        <v>2020</v>
      </c>
      <c r="N10" s="20" t="str">
        <f ca="1">IFERROR(__xludf.DUMMYFUNCTION("""COMPUTED_VALUE"""),"VIRTUAL")</f>
        <v>VIRTUAL</v>
      </c>
      <c r="O10" s="96">
        <f ca="1">IFERROR(__xludf.DUMMYFUNCTION("""COMPUTED_VALUE"""),43999)</f>
        <v>43999</v>
      </c>
      <c r="P10" s="20" t="str">
        <f ca="1">IFERROR(__xludf.DUMMYFUNCTION("""COMPUTED_VALUE"""),"NO")</f>
        <v>NO</v>
      </c>
      <c r="Q10" s="105" t="str">
        <f ca="1">IFERROR(__xludf.DUMMYFUNCTION("""COMPUTED_VALUE"""),"AGRICULTURA, GANADERÍA Y RECURSOS RENOVABLES")</f>
        <v>AGRICULTURA, GANADERÍA Y RECURSOS RENOVABLES</v>
      </c>
      <c r="R10" s="20">
        <f ca="1">IFERROR(__xludf.DUMMYFUNCTION("""COMPUTED_VALUE"""),228)</f>
        <v>228</v>
      </c>
      <c r="S10" s="20">
        <f ca="1">IFERROR(__xludf.DUMMYFUNCTION("""COMPUTED_VALUE"""),2020)</f>
        <v>2020</v>
      </c>
      <c r="T10" s="20" t="str">
        <f ca="1">IFERROR(__xludf.DUMMYFUNCTION("""COMPUTED_VALUE"""),"VIRTUAL")</f>
        <v>VIRTUAL</v>
      </c>
      <c r="U10" s="96">
        <f ca="1">IFERROR(__xludf.DUMMYFUNCTION("""COMPUTED_VALUE"""),44187)</f>
        <v>44187</v>
      </c>
      <c r="V10" s="20" t="str">
        <f ca="1">IFERROR(__xludf.DUMMYFUNCTION("""COMPUTED_VALUE"""),"SI")</f>
        <v>SI</v>
      </c>
      <c r="W10" s="105" t="str">
        <f ca="1">IFERROR(__xludf.DUMMYFUNCTION("""COMPUTED_VALUE"""),"OBRAS PÚBLICAS, VIVIENDA Y COMUNICACIONES;ECONOMÍA, PRESUPUESTO, GESTIÓN PÚBLICA E INNOVACIÓN")</f>
        <v>OBRAS PÚBLICAS, VIVIENDA Y COMUNICACIONES;ECONOMÍA, PRESUPUESTO, GESTIÓN PÚBLICA E INNOVACIÓN</v>
      </c>
    </row>
    <row r="11" spans="1:23">
      <c r="E11" s="104">
        <f ca="1">IFERROR(__xludf.DUMMYFUNCTION("""COMPUTED_VALUE"""),43)</f>
        <v>43</v>
      </c>
      <c r="F11" s="20">
        <f ca="1">IFERROR(__xludf.DUMMYFUNCTION("""COMPUTED_VALUE"""),2023)</f>
        <v>2023</v>
      </c>
      <c r="G11" s="20" t="str">
        <f ca="1">IFERROR(__xludf.DUMMYFUNCTION("""COMPUTED_VALUE"""),"SEMIPRESENCIAL")</f>
        <v>SEMIPRESENCIAL</v>
      </c>
      <c r="H11" s="106">
        <f ca="1">IFERROR(__xludf.DUMMYFUNCTION("""COMPUTED_VALUE"""),45041)</f>
        <v>45041</v>
      </c>
      <c r="I11" s="20" t="str">
        <f ca="1">IFERROR(__xludf.DUMMYFUNCTION("""COMPUTED_VALUE"""),"SI")</f>
        <v>SI</v>
      </c>
      <c r="J11" s="97" t="str">
        <f ca="1">IFERROR(__xludf.DUMMYFUNCTION("""COMPUTED_VALUE"""),"TURISMO Y SU RELACIÓN CON EL DESARROLLO REGIONAL;RELACIONES INTERNACIONALES, MERCOSUR Y COMERCIO EXTERIOR")</f>
        <v>TURISMO Y SU RELACIÓN CON EL DESARROLLO REGIONAL;RELACIONES INTERNACIONALES, MERCOSUR Y COMERCIO EXTERIOR</v>
      </c>
      <c r="K11" s="97" t="str">
        <f ca="1">IFERROR(__xludf.DUMMYFUNCTION("""COMPUTED_VALUE"""),"NA;https://gld.legislaturacba.gob.ar/Publics/Actas.aspx?id=EmouEM7zEZ8=")</f>
        <v>NA;https://gld.legislaturacba.gob.ar/Publics/Actas.aspx?id=EmouEM7zEZ8=</v>
      </c>
      <c r="L11" s="104">
        <f ca="1">IFERROR(__xludf.DUMMYFUNCTION("""COMPUTED_VALUE"""),65)</f>
        <v>65</v>
      </c>
      <c r="M11" s="20">
        <f ca="1">IFERROR(__xludf.DUMMYFUNCTION("""COMPUTED_VALUE"""),2020)</f>
        <v>2020</v>
      </c>
      <c r="N11" s="20" t="str">
        <f ca="1">IFERROR(__xludf.DUMMYFUNCTION("""COMPUTED_VALUE"""),"VIRTUAL")</f>
        <v>VIRTUAL</v>
      </c>
      <c r="O11" s="96">
        <f ca="1">IFERROR(__xludf.DUMMYFUNCTION("""COMPUTED_VALUE"""),44000)</f>
        <v>44000</v>
      </c>
      <c r="P11" s="20" t="str">
        <f ca="1">IFERROR(__xludf.DUMMYFUNCTION("""COMPUTED_VALUE"""),"NO")</f>
        <v>NO</v>
      </c>
      <c r="Q11" s="105" t="str">
        <f ca="1">IFERROR(__xludf.DUMMYFUNCTION("""COMPUTED_VALUE"""),"ASUNTOS CONSTITUCIONALES, JUSTICIA Y ACUERDOS")</f>
        <v>ASUNTOS CONSTITUCIONALES, JUSTICIA Y ACUERDOS</v>
      </c>
      <c r="R11" s="20">
        <f ca="1">IFERROR(__xludf.DUMMYFUNCTION("""COMPUTED_VALUE"""),1)</f>
        <v>1</v>
      </c>
      <c r="S11" s="20">
        <f ca="1">IFERROR(__xludf.DUMMYFUNCTION("""COMPUTED_VALUE"""),2021)</f>
        <v>2021</v>
      </c>
      <c r="T11" s="20" t="str">
        <f ca="1">IFERROR(__xludf.DUMMYFUNCTION("""COMPUTED_VALUE"""),"VIRTUAL")</f>
        <v>VIRTUAL</v>
      </c>
      <c r="U11" s="96">
        <f ca="1">IFERROR(__xludf.DUMMYFUNCTION("""COMPUTED_VALUE"""),44231)</f>
        <v>44231</v>
      </c>
      <c r="V11" s="20" t="str">
        <f ca="1">IFERROR(__xludf.DUMMYFUNCTION("""COMPUTED_VALUE"""),"NO")</f>
        <v>NO</v>
      </c>
      <c r="W11" s="105" t="str">
        <f ca="1">IFERROR(__xludf.DUMMYFUNCTION("""COMPUTED_VALUE"""),"LEGISLACIÓN GENERAL")</f>
        <v>LEGISLACIÓN GENERAL</v>
      </c>
    </row>
    <row r="12" spans="1:23">
      <c r="E12" s="104">
        <f ca="1">IFERROR(__xludf.DUMMYFUNCTION("""COMPUTED_VALUE"""),50)</f>
        <v>50</v>
      </c>
      <c r="F12" s="20">
        <f ca="1">IFERROR(__xludf.DUMMYFUNCTION("""COMPUTED_VALUE"""),2023)</f>
        <v>2023</v>
      </c>
      <c r="G12" s="20" t="str">
        <f ca="1">IFERROR(__xludf.DUMMYFUNCTION("""COMPUTED_VALUE"""),"SEMIPRESENCIAL")</f>
        <v>SEMIPRESENCIAL</v>
      </c>
      <c r="H12" s="106">
        <f ca="1">IFERROR(__xludf.DUMMYFUNCTION("""COMPUTED_VALUE"""),45055)</f>
        <v>45055</v>
      </c>
      <c r="I12" s="20" t="str">
        <f ca="1">IFERROR(__xludf.DUMMYFUNCTION("""COMPUTED_VALUE"""),"SI")</f>
        <v>SI</v>
      </c>
      <c r="J12" s="97" t="str">
        <f ca="1">IFERROR(__xludf.DUMMYFUNCTION("""COMPUTED_VALUE"""),"ECONOMÍA, PRESUPUESTO, GESTIÓN PÚBLICA E INNOVACIÓN;OBRAS PÚBLICAS, VIVIENDA Y COMUNICACIONES")</f>
        <v>ECONOMÍA, PRESUPUESTO, GESTIÓN PÚBLICA E INNOVACIÓN;OBRAS PÚBLICAS, VIVIENDA Y COMUNICACIONES</v>
      </c>
      <c r="K12" s="97" t="str">
        <f ca="1">IFERROR(__xludf.DUMMYFUNCTION("""COMPUTED_VALUE"""),"NA;NA")</f>
        <v>NA;NA</v>
      </c>
      <c r="L12" s="104">
        <f ca="1">IFERROR(__xludf.DUMMYFUNCTION("""COMPUTED_VALUE"""),66)</f>
        <v>66</v>
      </c>
      <c r="M12" s="20">
        <f ca="1">IFERROR(__xludf.DUMMYFUNCTION("""COMPUTED_VALUE"""),2020)</f>
        <v>2020</v>
      </c>
      <c r="N12" s="20" t="str">
        <f ca="1">IFERROR(__xludf.DUMMYFUNCTION("""COMPUTED_VALUE"""),"VIRTUAL")</f>
        <v>VIRTUAL</v>
      </c>
      <c r="O12" s="96">
        <f ca="1">IFERROR(__xludf.DUMMYFUNCTION("""COMPUTED_VALUE"""),44005)</f>
        <v>44005</v>
      </c>
      <c r="P12" s="20" t="str">
        <f ca="1">IFERROR(__xludf.DUMMYFUNCTION("""COMPUTED_VALUE"""),"NO")</f>
        <v>NO</v>
      </c>
      <c r="Q12" s="105" t="str">
        <f ca="1">IFERROR(__xludf.DUMMYFUNCTION("""COMPUTED_VALUE"""),"PROMOCIÓN Y DESARROLLO DE ECONOMÍAS REGIONALES Y PYMES")</f>
        <v>PROMOCIÓN Y DESARROLLO DE ECONOMÍAS REGIONALES Y PYMES</v>
      </c>
      <c r="R12" s="20">
        <f ca="1">IFERROR(__xludf.DUMMYFUNCTION("""COMPUTED_VALUE"""),5)</f>
        <v>5</v>
      </c>
      <c r="S12" s="20">
        <f ca="1">IFERROR(__xludf.DUMMYFUNCTION("""COMPUTED_VALUE"""),2021)</f>
        <v>2021</v>
      </c>
      <c r="T12" s="20" t="str">
        <f ca="1">IFERROR(__xludf.DUMMYFUNCTION("""COMPUTED_VALUE"""),"VIRTUAL")</f>
        <v>VIRTUAL</v>
      </c>
      <c r="U12" s="96">
        <f ca="1">IFERROR(__xludf.DUMMYFUNCTION("""COMPUTED_VALUE"""),44238)</f>
        <v>44238</v>
      </c>
      <c r="V12" s="20" t="str">
        <f ca="1">IFERROR(__xludf.DUMMYFUNCTION("""COMPUTED_VALUE"""),"NO")</f>
        <v>NO</v>
      </c>
      <c r="W12" s="105" t="str">
        <f ca="1">IFERROR(__xludf.DUMMYFUNCTION("""COMPUTED_VALUE"""),"LEGISLACIÓN GENERAL")</f>
        <v>LEGISLACIÓN GENERAL</v>
      </c>
    </row>
    <row r="13" spans="1:23">
      <c r="E13" s="104">
        <f ca="1">IFERROR(__xludf.DUMMYFUNCTION("""COMPUTED_VALUE"""),53)</f>
        <v>53</v>
      </c>
      <c r="F13" s="20">
        <f ca="1">IFERROR(__xludf.DUMMYFUNCTION("""COMPUTED_VALUE"""),2023)</f>
        <v>2023</v>
      </c>
      <c r="G13" s="20" t="str">
        <f ca="1">IFERROR(__xludf.DUMMYFUNCTION("""COMPUTED_VALUE"""),"SEMIPRESENCIAL")</f>
        <v>SEMIPRESENCIAL</v>
      </c>
      <c r="H13" s="106">
        <f ca="1">IFERROR(__xludf.DUMMYFUNCTION("""COMPUTED_VALUE"""),45057)</f>
        <v>45057</v>
      </c>
      <c r="I13" s="20" t="str">
        <f ca="1">IFERROR(__xludf.DUMMYFUNCTION("""COMPUTED_VALUE"""),"NO")</f>
        <v>NO</v>
      </c>
      <c r="J13" s="97" t="str">
        <f ca="1">IFERROR(__xludf.DUMMYFUNCTION("""COMPUTED_VALUE"""),"DERECHOS HUMANOS Y DESARROLLO SOCIAL")</f>
        <v>DERECHOS HUMANOS Y DESARROLLO SOCIAL</v>
      </c>
      <c r="K13" s="97" t="str">
        <f ca="1">IFERROR(__xludf.DUMMYFUNCTION("""COMPUTED_VALUE"""),"NA")</f>
        <v>NA</v>
      </c>
      <c r="L13" s="104">
        <f ca="1">IFERROR(__xludf.DUMMYFUNCTION("""COMPUTED_VALUE"""),67)</f>
        <v>67</v>
      </c>
      <c r="M13" s="20">
        <f ca="1">IFERROR(__xludf.DUMMYFUNCTION("""COMPUTED_VALUE"""),2020)</f>
        <v>2020</v>
      </c>
      <c r="N13" s="20" t="str">
        <f ca="1">IFERROR(__xludf.DUMMYFUNCTION("""COMPUTED_VALUE"""),"VIRTUAL")</f>
        <v>VIRTUAL</v>
      </c>
      <c r="O13" s="96">
        <f ca="1">IFERROR(__xludf.DUMMYFUNCTION("""COMPUTED_VALUE"""),44005)</f>
        <v>44005</v>
      </c>
      <c r="P13" s="20" t="str">
        <f ca="1">IFERROR(__xludf.DUMMYFUNCTION("""COMPUTED_VALUE"""),"SI")</f>
        <v>SI</v>
      </c>
      <c r="Q13" s="105" t="str">
        <f ca="1">IFERROR(__xludf.DUMMYFUNCTION("""COMPUTED_VALUE"""),"ECONOMÍA, PRESUPUESTO, GESTIÓN PÚBLICA E INNOVACIÓN;SERVICIOS PÚBLICOS")</f>
        <v>ECONOMÍA, PRESUPUESTO, GESTIÓN PÚBLICA E INNOVACIÓN;SERVICIOS PÚBLICOS</v>
      </c>
      <c r="R13" s="20">
        <f ca="1">IFERROR(__xludf.DUMMYFUNCTION("""COMPUTED_VALUE"""),7)</f>
        <v>7</v>
      </c>
      <c r="S13" s="20">
        <f ca="1">IFERROR(__xludf.DUMMYFUNCTION("""COMPUTED_VALUE"""),2021)</f>
        <v>2021</v>
      </c>
      <c r="T13" s="20" t="str">
        <f ca="1">IFERROR(__xludf.DUMMYFUNCTION("""COMPUTED_VALUE"""),"VIRTUAL")</f>
        <v>VIRTUAL</v>
      </c>
      <c r="U13" s="96">
        <f ca="1">IFERROR(__xludf.DUMMYFUNCTION("""COMPUTED_VALUE"""),44244)</f>
        <v>44244</v>
      </c>
      <c r="V13" s="20" t="str">
        <f ca="1">IFERROR(__xludf.DUMMYFUNCTION("""COMPUTED_VALUE"""),"NO")</f>
        <v>NO</v>
      </c>
      <c r="W13" s="105" t="str">
        <f ca="1">IFERROR(__xludf.DUMMYFUNCTION("""COMPUTED_VALUE"""),"LEGISLACIÓN GENERAL")</f>
        <v>LEGISLACIÓN GENERAL</v>
      </c>
    </row>
    <row r="14" spans="1:23">
      <c r="E14" s="104">
        <f ca="1">IFERROR(__xludf.DUMMYFUNCTION("""COMPUTED_VALUE"""),56)</f>
        <v>56</v>
      </c>
      <c r="F14" s="20">
        <f ca="1">IFERROR(__xludf.DUMMYFUNCTION("""COMPUTED_VALUE"""),2023)</f>
        <v>2023</v>
      </c>
      <c r="G14" s="20" t="str">
        <f ca="1">IFERROR(__xludf.DUMMYFUNCTION("""COMPUTED_VALUE"""),"PRESENCIAL")</f>
        <v>PRESENCIAL</v>
      </c>
      <c r="H14" s="106">
        <f ca="1">IFERROR(__xludf.DUMMYFUNCTION("""COMPUTED_VALUE"""),45062)</f>
        <v>45062</v>
      </c>
      <c r="I14" s="20" t="str">
        <f ca="1">IFERROR(__xludf.DUMMYFUNCTION("""COMPUTED_VALUE"""),"SI")</f>
        <v>SI</v>
      </c>
      <c r="J14" s="97" t="str">
        <f ca="1">IFERROR(__xludf.DUMMYFUNCTION("""COMPUTED_VALUE"""),"SALUD HUMANA;DERECHOS HUMANOS Y DESARROLLO SOCIAL;DEPORTES Y RECREACIÓN")</f>
        <v>SALUD HUMANA;DERECHOS HUMANOS Y DESARROLLO SOCIAL;DEPORTES Y RECREACIÓN</v>
      </c>
      <c r="K14" s="107" t="str">
        <f ca="1">IFERROR(__xludf.DUMMYFUNCTION("""COMPUTED_VALUE"""),"https://gld.legislaturacba.gob.ar/Publics/Actas.aspx?id=7qijYLHbHtk=;NA;https://gld.legislaturacba.gob.ar/Publics/Actas.aspx?id=LXI1h9zoY44=")</f>
        <v>https://gld.legislaturacba.gob.ar/Publics/Actas.aspx?id=7qijYLHbHtk=;NA;https://gld.legislaturacba.gob.ar/Publics/Actas.aspx?id=LXI1h9zoY44=</v>
      </c>
      <c r="L14" s="104">
        <f ca="1">IFERROR(__xludf.DUMMYFUNCTION("""COMPUTED_VALUE"""),68)</f>
        <v>68</v>
      </c>
      <c r="M14" s="20">
        <f ca="1">IFERROR(__xludf.DUMMYFUNCTION("""COMPUTED_VALUE"""),2020)</f>
        <v>2020</v>
      </c>
      <c r="N14" s="20" t="str">
        <f ca="1">IFERROR(__xludf.DUMMYFUNCTION("""COMPUTED_VALUE"""),"VIRTUAL")</f>
        <v>VIRTUAL</v>
      </c>
      <c r="O14" s="96">
        <f ca="1">IFERROR(__xludf.DUMMYFUNCTION("""COMPUTED_VALUE"""),44006)</f>
        <v>44006</v>
      </c>
      <c r="P14" s="20" t="str">
        <f ca="1">IFERROR(__xludf.DUMMYFUNCTION("""COMPUTED_VALUE"""),"NO")</f>
        <v>NO</v>
      </c>
      <c r="Q14" s="105" t="str">
        <f ca="1">IFERROR(__xludf.DUMMYFUNCTION("""COMPUTED_VALUE"""),"EQUIDAD Y LUCHA CONTRA LA VIOLENCIA DE GÉNERO")</f>
        <v>EQUIDAD Y LUCHA CONTRA LA VIOLENCIA DE GÉNERO</v>
      </c>
      <c r="R14" s="20">
        <f ca="1">IFERROR(__xludf.DUMMYFUNCTION("""COMPUTED_VALUE"""),8)</f>
        <v>8</v>
      </c>
      <c r="S14" s="20">
        <f ca="1">IFERROR(__xludf.DUMMYFUNCTION("""COMPUTED_VALUE"""),2021)</f>
        <v>2021</v>
      </c>
      <c r="T14" s="20" t="str">
        <f ca="1">IFERROR(__xludf.DUMMYFUNCTION("""COMPUTED_VALUE"""),"VIRTUAL")</f>
        <v>VIRTUAL</v>
      </c>
      <c r="U14" s="96">
        <f ca="1">IFERROR(__xludf.DUMMYFUNCTION("""COMPUTED_VALUE"""),44244)</f>
        <v>44244</v>
      </c>
      <c r="V14" s="20" t="str">
        <f ca="1">IFERROR(__xludf.DUMMYFUNCTION("""COMPUTED_VALUE"""),"NO")</f>
        <v>NO</v>
      </c>
      <c r="W14" s="105" t="str">
        <f ca="1">IFERROR(__xludf.DUMMYFUNCTION("""COMPUTED_VALUE"""),"EDUCACIÓN, CULTURA, CIENCIA, TECNOLOGÍA E INFORMÁTICA")</f>
        <v>EDUCACIÓN, CULTURA, CIENCIA, TECNOLOGÍA E INFORMÁTICA</v>
      </c>
    </row>
    <row r="15" spans="1:23">
      <c r="E15" s="104">
        <f ca="1">IFERROR(__xludf.DUMMYFUNCTION("""COMPUTED_VALUE"""),59)</f>
        <v>59</v>
      </c>
      <c r="F15" s="20">
        <f ca="1">IFERROR(__xludf.DUMMYFUNCTION("""COMPUTED_VALUE"""),2023)</f>
        <v>2023</v>
      </c>
      <c r="G15" s="20" t="str">
        <f ca="1">IFERROR(__xludf.DUMMYFUNCTION("""COMPUTED_VALUE"""),"PRESENCIAL")</f>
        <v>PRESENCIAL</v>
      </c>
      <c r="H15" s="106">
        <f ca="1">IFERROR(__xludf.DUMMYFUNCTION("""COMPUTED_VALUE"""),45064)</f>
        <v>45064</v>
      </c>
      <c r="I15" s="20" t="str">
        <f ca="1">IFERROR(__xludf.DUMMYFUNCTION("""COMPUTED_VALUE"""),"SI")</f>
        <v>SI</v>
      </c>
      <c r="J15" s="97" t="str">
        <f ca="1">IFERROR(__xludf.DUMMYFUNCTION("""COMPUTED_VALUE"""),"SALUD HUMANA;DERECHOS HUMANOS Y DESARROLLO SOCIAL")</f>
        <v>SALUD HUMANA;DERECHOS HUMANOS Y DESARROLLO SOCIAL</v>
      </c>
      <c r="K15" s="107" t="str">
        <f ca="1">IFERROR(__xludf.DUMMYFUNCTION("""COMPUTED_VALUE"""),"https://gld.legislaturacba.gob.ar/Publics/Actas.aspx?id=6mBtBdMW8F0=;NA")</f>
        <v>https://gld.legislaturacba.gob.ar/Publics/Actas.aspx?id=6mBtBdMW8F0=;NA</v>
      </c>
      <c r="L15" s="104">
        <f ca="1">IFERROR(__xludf.DUMMYFUNCTION("""COMPUTED_VALUE"""),70)</f>
        <v>70</v>
      </c>
      <c r="M15" s="20">
        <f ca="1">IFERROR(__xludf.DUMMYFUNCTION("""COMPUTED_VALUE"""),2020)</f>
        <v>2020</v>
      </c>
      <c r="N15" s="20" t="str">
        <f ca="1">IFERROR(__xludf.DUMMYFUNCTION("""COMPUTED_VALUE"""),"VIRTUAL")</f>
        <v>VIRTUAL</v>
      </c>
      <c r="O15" s="96">
        <f ca="1">IFERROR(__xludf.DUMMYFUNCTION("""COMPUTED_VALUE"""),44007)</f>
        <v>44007</v>
      </c>
      <c r="P15" s="20" t="str">
        <f ca="1">IFERROR(__xludf.DUMMYFUNCTION("""COMPUTED_VALUE"""),"NO")</f>
        <v>NO</v>
      </c>
      <c r="Q15" s="105" t="str">
        <f ca="1">IFERROR(__xludf.DUMMYFUNCTION("""COMPUTED_VALUE"""),"ASUNTOS ECOLÓGICOS")</f>
        <v>ASUNTOS ECOLÓGICOS</v>
      </c>
      <c r="R15" s="20">
        <f ca="1">IFERROR(__xludf.DUMMYFUNCTION("""COMPUTED_VALUE"""),24)</f>
        <v>24</v>
      </c>
      <c r="S15" s="20">
        <f ca="1">IFERROR(__xludf.DUMMYFUNCTION("""COMPUTED_VALUE"""),2021)</f>
        <v>2021</v>
      </c>
      <c r="T15" s="20" t="str">
        <f ca="1">IFERROR(__xludf.DUMMYFUNCTION("""COMPUTED_VALUE"""),"VIRTUAL")</f>
        <v>VIRTUAL</v>
      </c>
      <c r="U15" s="96">
        <f ca="1">IFERROR(__xludf.DUMMYFUNCTION("""COMPUTED_VALUE"""),44258)</f>
        <v>44258</v>
      </c>
      <c r="V15" s="20" t="str">
        <f ca="1">IFERROR(__xludf.DUMMYFUNCTION("""COMPUTED_VALUE"""),"NO")</f>
        <v>NO</v>
      </c>
      <c r="W15" s="105" t="str">
        <f ca="1">IFERROR(__xludf.DUMMYFUNCTION("""COMPUTED_VALUE"""),"LEGISLACIÓN GENERAL")</f>
        <v>LEGISLACIÓN GENERAL</v>
      </c>
    </row>
    <row r="16" spans="1:23">
      <c r="E16" s="104">
        <f ca="1">IFERROR(__xludf.DUMMYFUNCTION("""COMPUTED_VALUE"""),62)</f>
        <v>62</v>
      </c>
      <c r="F16" s="20">
        <f ca="1">IFERROR(__xludf.DUMMYFUNCTION("""COMPUTED_VALUE"""),2023)</f>
        <v>2023</v>
      </c>
      <c r="G16" s="20" t="str">
        <f ca="1">IFERROR(__xludf.DUMMYFUNCTION("""COMPUTED_VALUE"""),"VIRTUAL")</f>
        <v>VIRTUAL</v>
      </c>
      <c r="H16" s="106">
        <f ca="1">IFERROR(__xludf.DUMMYFUNCTION("""COMPUTED_VALUE"""),45069)</f>
        <v>45069</v>
      </c>
      <c r="I16" s="20" t="str">
        <f ca="1">IFERROR(__xludf.DUMMYFUNCTION("""COMPUTED_VALUE"""),"NO")</f>
        <v>NO</v>
      </c>
      <c r="J16" s="97" t="str">
        <f ca="1">IFERROR(__xludf.DUMMYFUNCTION("""COMPUTED_VALUE"""),"ECONOMÍA, PRESUPUESTO, GESTIÓN PÚBLICA E INNOVACIÓN")</f>
        <v>ECONOMÍA, PRESUPUESTO, GESTIÓN PÚBLICA E INNOVACIÓN</v>
      </c>
      <c r="K16" s="97" t="str">
        <f ca="1">IFERROR(__xludf.DUMMYFUNCTION("""COMPUTED_VALUE"""),"NA")</f>
        <v>NA</v>
      </c>
      <c r="L16" s="104">
        <f ca="1">IFERROR(__xludf.DUMMYFUNCTION("""COMPUTED_VALUE"""),77)</f>
        <v>77</v>
      </c>
      <c r="M16" s="20">
        <f ca="1">IFERROR(__xludf.DUMMYFUNCTION("""COMPUTED_VALUE"""),2020)</f>
        <v>2020</v>
      </c>
      <c r="N16" s="20" t="str">
        <f ca="1">IFERROR(__xludf.DUMMYFUNCTION("""COMPUTED_VALUE"""),"VIRTUAL")</f>
        <v>VIRTUAL</v>
      </c>
      <c r="O16" s="96">
        <f ca="1">IFERROR(__xludf.DUMMYFUNCTION("""COMPUTED_VALUE"""),44019)</f>
        <v>44019</v>
      </c>
      <c r="P16" s="20" t="str">
        <f ca="1">IFERROR(__xludf.DUMMYFUNCTION("""COMPUTED_VALUE"""),"NO")</f>
        <v>NO</v>
      </c>
      <c r="Q16" s="105" t="str">
        <f ca="1">IFERROR(__xludf.DUMMYFUNCTION("""COMPUTED_VALUE"""),"ASUNTOS CONSTITUCIONALES, JUSTICIA Y ACUERDOS")</f>
        <v>ASUNTOS CONSTITUCIONALES, JUSTICIA Y ACUERDOS</v>
      </c>
      <c r="R16" s="20">
        <f ca="1">IFERROR(__xludf.DUMMYFUNCTION("""COMPUTED_VALUE"""),84)</f>
        <v>84</v>
      </c>
      <c r="S16" s="20">
        <f ca="1">IFERROR(__xludf.DUMMYFUNCTION("""COMPUTED_VALUE"""),2021)</f>
        <v>2021</v>
      </c>
      <c r="T16" s="20" t="str">
        <f ca="1">IFERROR(__xludf.DUMMYFUNCTION("""COMPUTED_VALUE"""),"VIRTUAL")</f>
        <v>VIRTUAL</v>
      </c>
      <c r="U16" s="96">
        <f ca="1">IFERROR(__xludf.DUMMYFUNCTION("""COMPUTED_VALUE"""),44315)</f>
        <v>44315</v>
      </c>
      <c r="V16" s="20" t="str">
        <f ca="1">IFERROR(__xludf.DUMMYFUNCTION("""COMPUTED_VALUE"""),"NO")</f>
        <v>NO</v>
      </c>
      <c r="W16" s="105" t="str">
        <f ca="1">IFERROR(__xludf.DUMMYFUNCTION("""COMPUTED_VALUE"""),"AMBIENTE")</f>
        <v>AMBIENTE</v>
      </c>
    </row>
    <row r="17" spans="5:23">
      <c r="E17" s="104">
        <f ca="1">IFERROR(__xludf.DUMMYFUNCTION("""COMPUTED_VALUE"""),67)</f>
        <v>67</v>
      </c>
      <c r="F17" s="20">
        <f ca="1">IFERROR(__xludf.DUMMYFUNCTION("""COMPUTED_VALUE"""),2023)</f>
        <v>2023</v>
      </c>
      <c r="G17" s="20" t="str">
        <f ca="1">IFERROR(__xludf.DUMMYFUNCTION("""COMPUTED_VALUE"""),"VIRTUAL")</f>
        <v>VIRTUAL</v>
      </c>
      <c r="H17" s="106">
        <f ca="1">IFERROR(__xludf.DUMMYFUNCTION("""COMPUTED_VALUE"""),45083)</f>
        <v>45083</v>
      </c>
      <c r="I17" s="20" t="str">
        <f ca="1">IFERROR(__xludf.DUMMYFUNCTION("""COMPUTED_VALUE"""),"SI")</f>
        <v>SI</v>
      </c>
      <c r="J17" s="97" t="str">
        <f ca="1">IFERROR(__xludf.DUMMYFUNCTION("""COMPUTED_VALUE"""),"AMBIENTE;PROMOCIÓN Y DESARROLLO DE LAS COMUNIDADES REGIONALES")</f>
        <v>AMBIENTE;PROMOCIÓN Y DESARROLLO DE LAS COMUNIDADES REGIONALES</v>
      </c>
      <c r="K17" s="97" t="str">
        <f ca="1">IFERROR(__xludf.DUMMYFUNCTION("""COMPUTED_VALUE"""),"NA;https://gld.legislaturacba.gob.ar/Publics/Actas.aspx?id=86Dwn3jxFag=")</f>
        <v>NA;https://gld.legislaturacba.gob.ar/Publics/Actas.aspx?id=86Dwn3jxFag=</v>
      </c>
      <c r="L17" s="104">
        <f ca="1">IFERROR(__xludf.DUMMYFUNCTION("""COMPUTED_VALUE"""),78)</f>
        <v>78</v>
      </c>
      <c r="M17" s="20">
        <f ca="1">IFERROR(__xludf.DUMMYFUNCTION("""COMPUTED_VALUE"""),2020)</f>
        <v>2020</v>
      </c>
      <c r="N17" s="20" t="str">
        <f ca="1">IFERROR(__xludf.DUMMYFUNCTION("""COMPUTED_VALUE"""),"VIRTUAL")</f>
        <v>VIRTUAL</v>
      </c>
      <c r="O17" s="96">
        <f ca="1">IFERROR(__xludf.DUMMYFUNCTION("""COMPUTED_VALUE"""),44019)</f>
        <v>44019</v>
      </c>
      <c r="P17" s="20" t="str">
        <f ca="1">IFERROR(__xludf.DUMMYFUNCTION("""COMPUTED_VALUE"""),"SI")</f>
        <v>SI</v>
      </c>
      <c r="Q17" s="105" t="str">
        <f ca="1">IFERROR(__xludf.DUMMYFUNCTION("""COMPUTED_VALUE"""),"PROMOCIÓN Y DESARROLLO DE ECONOMÍAS REGIONALES Y PYMES;INDUSTRIA Y MINERÍA")</f>
        <v>PROMOCIÓN Y DESARROLLO DE ECONOMÍAS REGIONALES Y PYMES;INDUSTRIA Y MINERÍA</v>
      </c>
      <c r="R17" s="20">
        <f ca="1">IFERROR(__xludf.DUMMYFUNCTION("""COMPUTED_VALUE"""),147)</f>
        <v>147</v>
      </c>
      <c r="S17" s="20">
        <f ca="1">IFERROR(__xludf.DUMMYFUNCTION("""COMPUTED_VALUE"""),2021)</f>
        <v>2021</v>
      </c>
      <c r="T17" s="20" t="str">
        <f ca="1">IFERROR(__xludf.DUMMYFUNCTION("""COMPUTED_VALUE"""),"VIRTUAL")</f>
        <v>VIRTUAL</v>
      </c>
      <c r="U17" s="96">
        <f ca="1">IFERROR(__xludf.DUMMYFUNCTION("""COMPUTED_VALUE"""),44406)</f>
        <v>44406</v>
      </c>
      <c r="V17" s="20" t="str">
        <f ca="1">IFERROR(__xludf.DUMMYFUNCTION("""COMPUTED_VALUE"""),"NO")</f>
        <v>NO</v>
      </c>
      <c r="W17" s="105" t="str">
        <f ca="1">IFERROR(__xludf.DUMMYFUNCTION("""COMPUTED_VALUE"""),"ECONOMÍA SOCIAL, COOPERATIVAS Y MUTUALES")</f>
        <v>ECONOMÍA SOCIAL, COOPERATIVAS Y MUTUALES</v>
      </c>
    </row>
    <row r="18" spans="5:23">
      <c r="E18" s="104">
        <f ca="1">IFERROR(__xludf.DUMMYFUNCTION("""COMPUTED_VALUE"""),70)</f>
        <v>70</v>
      </c>
      <c r="F18" s="20">
        <f ca="1">IFERROR(__xludf.DUMMYFUNCTION("""COMPUTED_VALUE"""),2023)</f>
        <v>2023</v>
      </c>
      <c r="G18" s="20" t="str">
        <f ca="1">IFERROR(__xludf.DUMMYFUNCTION("""COMPUTED_VALUE"""),"VIRTUAL")</f>
        <v>VIRTUAL</v>
      </c>
      <c r="H18" s="106">
        <f ca="1">IFERROR(__xludf.DUMMYFUNCTION("""COMPUTED_VALUE"""),45090)</f>
        <v>45090</v>
      </c>
      <c r="I18" s="20" t="str">
        <f ca="1">IFERROR(__xludf.DUMMYFUNCTION("""COMPUTED_VALUE"""),"NO")</f>
        <v>NO</v>
      </c>
      <c r="J18" s="97" t="str">
        <f ca="1">IFERROR(__xludf.DUMMYFUNCTION("""COMPUTED_VALUE"""),"DERECHOS HUMANOS Y DESARROLLO SOCIAL")</f>
        <v>DERECHOS HUMANOS Y DESARROLLO SOCIAL</v>
      </c>
      <c r="K18" s="97" t="str">
        <f ca="1">IFERROR(__xludf.DUMMYFUNCTION("""COMPUTED_VALUE"""),"NA")</f>
        <v>NA</v>
      </c>
      <c r="L18" s="104">
        <f ca="1">IFERROR(__xludf.DUMMYFUNCTION("""COMPUTED_VALUE"""),81)</f>
        <v>81</v>
      </c>
      <c r="M18" s="20">
        <f ca="1">IFERROR(__xludf.DUMMYFUNCTION("""COMPUTED_VALUE"""),2020)</f>
        <v>2020</v>
      </c>
      <c r="N18" s="20" t="str">
        <f ca="1">IFERROR(__xludf.DUMMYFUNCTION("""COMPUTED_VALUE"""),"VIRTUAL")</f>
        <v>VIRTUAL</v>
      </c>
      <c r="O18" s="96">
        <f ca="1">IFERROR(__xludf.DUMMYFUNCTION("""COMPUTED_VALUE"""),44026)</f>
        <v>44026</v>
      </c>
      <c r="P18" s="20" t="str">
        <f ca="1">IFERROR(__xludf.DUMMYFUNCTION("""COMPUTED_VALUE"""),"NO")</f>
        <v>NO</v>
      </c>
      <c r="Q18" s="105" t="str">
        <f ca="1">IFERROR(__xludf.DUMMYFUNCTION("""COMPUTED_VALUE"""),"MERCOSUR, COMERCIO INTERIOR Y EXTERIOR")</f>
        <v>MERCOSUR, COMERCIO INTERIOR Y EXTERIOR</v>
      </c>
      <c r="R18" s="20">
        <f ca="1">IFERROR(__xludf.DUMMYFUNCTION("""COMPUTED_VALUE"""),160)</f>
        <v>160</v>
      </c>
      <c r="S18" s="20">
        <f ca="1">IFERROR(__xludf.DUMMYFUNCTION("""COMPUTED_VALUE"""),2021)</f>
        <v>2021</v>
      </c>
      <c r="T18" s="20" t="str">
        <f ca="1">IFERROR(__xludf.DUMMYFUNCTION("""COMPUTED_VALUE"""),"VIRTUAL")</f>
        <v>VIRTUAL</v>
      </c>
      <c r="U18" s="96">
        <f ca="1">IFERROR(__xludf.DUMMYFUNCTION("""COMPUTED_VALUE"""),44425)</f>
        <v>44425</v>
      </c>
      <c r="V18" s="20" t="str">
        <f ca="1">IFERROR(__xludf.DUMMYFUNCTION("""COMPUTED_VALUE"""),"NO")</f>
        <v>NO</v>
      </c>
      <c r="W18" s="105" t="str">
        <f ca="1">IFERROR(__xludf.DUMMYFUNCTION("""COMPUTED_VALUE"""),"EDUCACIÓN, CULTURA, CIENCIA, TECNOLOGÍA E INFORMÁTICA")</f>
        <v>EDUCACIÓN, CULTURA, CIENCIA, TECNOLOGÍA E INFORMÁTICA</v>
      </c>
    </row>
    <row r="19" spans="5:23">
      <c r="E19" s="104">
        <f ca="1">IFERROR(__xludf.DUMMYFUNCTION("""COMPUTED_VALUE"""),71)</f>
        <v>71</v>
      </c>
      <c r="F19" s="20">
        <f ca="1">IFERROR(__xludf.DUMMYFUNCTION("""COMPUTED_VALUE"""),2023)</f>
        <v>2023</v>
      </c>
      <c r="G19" s="20" t="str">
        <f ca="1">IFERROR(__xludf.DUMMYFUNCTION("""COMPUTED_VALUE"""),"VIRTUAL")</f>
        <v>VIRTUAL</v>
      </c>
      <c r="H19" s="106">
        <f ca="1">IFERROR(__xludf.DUMMYFUNCTION("""COMPUTED_VALUE"""),45104)</f>
        <v>45104</v>
      </c>
      <c r="I19" s="20" t="str">
        <f ca="1">IFERROR(__xludf.DUMMYFUNCTION("""COMPUTED_VALUE"""),"SI")</f>
        <v>SI</v>
      </c>
      <c r="J19" s="97" t="str">
        <f ca="1">IFERROR(__xludf.DUMMYFUNCTION("""COMPUTED_VALUE"""),"ECONOMÍA, PRESUPUESTO, GESTIÓN PÚBLICA E INNOVACIÓN;DERECHOS HUMANOS Y DESARROLLO SOCIAL")</f>
        <v>ECONOMÍA, PRESUPUESTO, GESTIÓN PÚBLICA E INNOVACIÓN;DERECHOS HUMANOS Y DESARROLLO SOCIAL</v>
      </c>
      <c r="K19" s="97" t="str">
        <f ca="1">IFERROR(__xludf.DUMMYFUNCTION("""COMPUTED_VALUE"""),"NA;NA")</f>
        <v>NA;NA</v>
      </c>
      <c r="L19" s="104">
        <f ca="1">IFERROR(__xludf.DUMMYFUNCTION("""COMPUTED_VALUE"""),86)</f>
        <v>86</v>
      </c>
      <c r="M19" s="20">
        <f ca="1">IFERROR(__xludf.DUMMYFUNCTION("""COMPUTED_VALUE"""),2020)</f>
        <v>2020</v>
      </c>
      <c r="N19" s="20" t="str">
        <f ca="1">IFERROR(__xludf.DUMMYFUNCTION("""COMPUTED_VALUE"""),"VIRTUAL")</f>
        <v>VIRTUAL</v>
      </c>
      <c r="O19" s="96">
        <f ca="1">IFERROR(__xludf.DUMMYFUNCTION("""COMPUTED_VALUE"""),44033)</f>
        <v>44033</v>
      </c>
      <c r="P19" s="20" t="str">
        <f ca="1">IFERROR(__xludf.DUMMYFUNCTION("""COMPUTED_VALUE"""),"NO")</f>
        <v>NO</v>
      </c>
      <c r="Q19" s="105" t="str">
        <f ca="1">IFERROR(__xludf.DUMMYFUNCTION("""COMPUTED_VALUE"""),"EQUIDAD Y LUCHA CONTRA LA VIOLENCIA DE GÉNERO")</f>
        <v>EQUIDAD Y LUCHA CONTRA LA VIOLENCIA DE GÉNERO</v>
      </c>
      <c r="R19" s="20">
        <f ca="1">IFERROR(__xludf.DUMMYFUNCTION("""COMPUTED_VALUE"""),176)</f>
        <v>176</v>
      </c>
      <c r="S19" s="20">
        <f ca="1">IFERROR(__xludf.DUMMYFUNCTION("""COMPUTED_VALUE"""),2021)</f>
        <v>2021</v>
      </c>
      <c r="T19" s="20" t="str">
        <f ca="1">IFERROR(__xludf.DUMMYFUNCTION("""COMPUTED_VALUE"""),"VIRTUAL")</f>
        <v>VIRTUAL</v>
      </c>
      <c r="U19" s="96">
        <f ca="1">IFERROR(__xludf.DUMMYFUNCTION("""COMPUTED_VALUE"""),44441)</f>
        <v>44441</v>
      </c>
      <c r="V19" s="20" t="str">
        <f ca="1">IFERROR(__xludf.DUMMYFUNCTION("""COMPUTED_VALUE"""),"NO")</f>
        <v>NO</v>
      </c>
      <c r="W19" s="105" t="str">
        <f ca="1">IFERROR(__xludf.DUMMYFUNCTION("""COMPUTED_VALUE"""),"PROMOCIÓN Y DESARROLLO DE LAS COMUNIDADES REGIONALES")</f>
        <v>PROMOCIÓN Y DESARROLLO DE LAS COMUNIDADES REGIONALES</v>
      </c>
    </row>
    <row r="20" spans="5:23">
      <c r="E20" s="104">
        <f ca="1">IFERROR(__xludf.DUMMYFUNCTION("""COMPUTED_VALUE"""),73)</f>
        <v>73</v>
      </c>
      <c r="F20" s="20">
        <f ca="1">IFERROR(__xludf.DUMMYFUNCTION("""COMPUTED_VALUE"""),2023)</f>
        <v>2023</v>
      </c>
      <c r="G20" s="20" t="str">
        <f ca="1">IFERROR(__xludf.DUMMYFUNCTION("""COMPUTED_VALUE"""),"SEMIPRESENCIAL")</f>
        <v>SEMIPRESENCIAL</v>
      </c>
      <c r="H20" s="106">
        <f ca="1">IFERROR(__xludf.DUMMYFUNCTION("""COMPUTED_VALUE"""),45132)</f>
        <v>45132</v>
      </c>
      <c r="I20" s="20" t="str">
        <f ca="1">IFERROR(__xludf.DUMMYFUNCTION("""COMPUTED_VALUE"""),"SI")</f>
        <v>SI</v>
      </c>
      <c r="J20" s="97" t="str">
        <f ca="1">IFERROR(__xludf.DUMMYFUNCTION("""COMPUTED_VALUE"""),"LEGISLACIÓN DEL TRABAJO, PREVISIÓN Y SEGURIDAD SOCIAL;SALUD HUMANA")</f>
        <v>LEGISLACIÓN DEL TRABAJO, PREVISIÓN Y SEGURIDAD SOCIAL;SALUD HUMANA</v>
      </c>
      <c r="K20" s="97" t="str">
        <f ca="1">IFERROR(__xludf.DUMMYFUNCTION("""COMPUTED_VALUE"""),"NA;https://gld.legislaturacba.gob.ar/Publics/Actas.aspx?id=dwij8UChx9w=")</f>
        <v>NA;https://gld.legislaturacba.gob.ar/Publics/Actas.aspx?id=dwij8UChx9w=</v>
      </c>
      <c r="L20" s="104">
        <f ca="1">IFERROR(__xludf.DUMMYFUNCTION("""COMPUTED_VALUE"""),91)</f>
        <v>91</v>
      </c>
      <c r="M20" s="20">
        <f ca="1">IFERROR(__xludf.DUMMYFUNCTION("""COMPUTED_VALUE"""),2020)</f>
        <v>2020</v>
      </c>
      <c r="N20" s="20" t="str">
        <f ca="1">IFERROR(__xludf.DUMMYFUNCTION("""COMPUTED_VALUE"""),"VIRTUAL")</f>
        <v>VIRTUAL</v>
      </c>
      <c r="O20" s="96">
        <f ca="1">IFERROR(__xludf.DUMMYFUNCTION("""COMPUTED_VALUE"""),44040)</f>
        <v>44040</v>
      </c>
      <c r="P20" s="20" t="str">
        <f ca="1">IFERROR(__xludf.DUMMYFUNCTION("""COMPUTED_VALUE"""),"NO")</f>
        <v>NO</v>
      </c>
      <c r="Q20" s="105" t="str">
        <f ca="1">IFERROR(__xludf.DUMMYFUNCTION("""COMPUTED_VALUE"""),"OBRAS PÚBLICAS, VIVIENDA Y COMUNICACIONES")</f>
        <v>OBRAS PÚBLICAS, VIVIENDA Y COMUNICACIONES</v>
      </c>
      <c r="R20" s="20">
        <f ca="1">IFERROR(__xludf.DUMMYFUNCTION("""COMPUTED_VALUE"""),210)</f>
        <v>210</v>
      </c>
      <c r="S20" s="20">
        <f ca="1">IFERROR(__xludf.DUMMYFUNCTION("""COMPUTED_VALUE"""),2021)</f>
        <v>2021</v>
      </c>
      <c r="T20" s="20" t="str">
        <f ca="1">IFERROR(__xludf.DUMMYFUNCTION("""COMPUTED_VALUE"""),"VIRTUAL")</f>
        <v>VIRTUAL</v>
      </c>
      <c r="U20" s="96">
        <f ca="1">IFERROR(__xludf.DUMMYFUNCTION("""COMPUTED_VALUE"""),44490)</f>
        <v>44490</v>
      </c>
      <c r="V20" s="20" t="str">
        <f ca="1">IFERROR(__xludf.DUMMYFUNCTION("""COMPUTED_VALUE"""),"NO")</f>
        <v>NO</v>
      </c>
      <c r="W20" s="105" t="str">
        <f ca="1">IFERROR(__xludf.DUMMYFUNCTION("""COMPUTED_VALUE"""),"ECONOMÍA, PRESUPUESTO, GESTIÓN PÚBLICA E INNOVACIÓN")</f>
        <v>ECONOMÍA, PRESUPUESTO, GESTIÓN PÚBLICA E INNOVACIÓN</v>
      </c>
    </row>
    <row r="21" spans="5:23">
      <c r="E21" s="104">
        <f ca="1">IFERROR(__xludf.DUMMYFUNCTION("""COMPUTED_VALUE"""),76)</f>
        <v>76</v>
      </c>
      <c r="F21" s="20">
        <f ca="1">IFERROR(__xludf.DUMMYFUNCTION("""COMPUTED_VALUE"""),2023)</f>
        <v>2023</v>
      </c>
      <c r="G21" s="20" t="str">
        <f ca="1">IFERROR(__xludf.DUMMYFUNCTION("""COMPUTED_VALUE"""),"SEMIPRESENCIAL")</f>
        <v>SEMIPRESENCIAL</v>
      </c>
      <c r="H21" s="106">
        <f ca="1">IFERROR(__xludf.DUMMYFUNCTION("""COMPUTED_VALUE"""),45133)</f>
        <v>45133</v>
      </c>
      <c r="I21" s="20" t="str">
        <f ca="1">IFERROR(__xludf.DUMMYFUNCTION("""COMPUTED_VALUE"""),"SI")</f>
        <v>SI</v>
      </c>
      <c r="J21" s="97" t="str">
        <f ca="1">IFERROR(__xludf.DUMMYFUNCTION("""COMPUTED_VALUE"""),"LEGISLACIÓN GENERAL;ASUNTOS CONSTITUCIONALES, JUSTICIA Y ACUERDOS")</f>
        <v>LEGISLACIÓN GENERAL;ASUNTOS CONSTITUCIONALES, JUSTICIA Y ACUERDOS</v>
      </c>
      <c r="K21" s="97" t="str">
        <f ca="1">IFERROR(__xludf.DUMMYFUNCTION("""COMPUTED_VALUE"""),"NA;https://gld.legislaturacba.gob.ar/Publics/Actas.aspx?id=EbF9oQdnlgU=")</f>
        <v>NA;https://gld.legislaturacba.gob.ar/Publics/Actas.aspx?id=EbF9oQdnlgU=</v>
      </c>
      <c r="L21" s="104">
        <f ca="1">IFERROR(__xludf.DUMMYFUNCTION("""COMPUTED_VALUE"""),97)</f>
        <v>97</v>
      </c>
      <c r="M21" s="20">
        <f ca="1">IFERROR(__xludf.DUMMYFUNCTION("""COMPUTED_VALUE"""),2020)</f>
        <v>2020</v>
      </c>
      <c r="N21" s="20" t="str">
        <f ca="1">IFERROR(__xludf.DUMMYFUNCTION("""COMPUTED_VALUE"""),"VIRTUAL")</f>
        <v>VIRTUAL</v>
      </c>
      <c r="O21" s="96">
        <f ca="1">IFERROR(__xludf.DUMMYFUNCTION("""COMPUTED_VALUE"""),44042)</f>
        <v>44042</v>
      </c>
      <c r="P21" s="20" t="str">
        <f ca="1">IFERROR(__xludf.DUMMYFUNCTION("""COMPUTED_VALUE"""),"NO")</f>
        <v>NO</v>
      </c>
      <c r="Q21" s="105" t="str">
        <f ca="1">IFERROR(__xludf.DUMMYFUNCTION("""COMPUTED_VALUE"""),"EQUIDAD Y LUCHA CONTRA LA VIOLENCIA DE GÉNERO")</f>
        <v>EQUIDAD Y LUCHA CONTRA LA VIOLENCIA DE GÉNERO</v>
      </c>
      <c r="R21" s="20">
        <f ca="1">IFERROR(__xludf.DUMMYFUNCTION("""COMPUTED_VALUE"""),184)</f>
        <v>184</v>
      </c>
      <c r="S21" s="20">
        <f ca="1">IFERROR(__xludf.DUMMYFUNCTION("""COMPUTED_VALUE"""),2022)</f>
        <v>2022</v>
      </c>
      <c r="T21" s="20" t="str">
        <f ca="1">IFERROR(__xludf.DUMMYFUNCTION("""COMPUTED_VALUE"""),"VIRTUAL")</f>
        <v>VIRTUAL</v>
      </c>
      <c r="U21" s="106">
        <f ca="1">IFERROR(__xludf.DUMMYFUNCTION("""COMPUTED_VALUE"""),44874)</f>
        <v>44874</v>
      </c>
      <c r="V21" s="20" t="str">
        <f ca="1">IFERROR(__xludf.DUMMYFUNCTION("""COMPUTED_VALUE"""),"NO")</f>
        <v>NO</v>
      </c>
      <c r="W21" s="105" t="str">
        <f ca="1">IFERROR(__xludf.DUMMYFUNCTION("""COMPUTED_VALUE"""),"LEGISLACIÓN GENERAL")</f>
        <v>LEGISLACIÓN GENERAL</v>
      </c>
    </row>
    <row r="22" spans="5:23">
      <c r="E22" s="104">
        <f ca="1">IFERROR(__xludf.DUMMYFUNCTION("""COMPUTED_VALUE"""),78)</f>
        <v>78</v>
      </c>
      <c r="F22" s="20">
        <f ca="1">IFERROR(__xludf.DUMMYFUNCTION("""COMPUTED_VALUE"""),2023)</f>
        <v>2023</v>
      </c>
      <c r="G22" s="20" t="str">
        <f ca="1">IFERROR(__xludf.DUMMYFUNCTION("""COMPUTED_VALUE"""),"SEMIPRESENCIAL")</f>
        <v>SEMIPRESENCIAL</v>
      </c>
      <c r="H22" s="106">
        <f ca="1">IFERROR(__xludf.DUMMYFUNCTION("""COMPUTED_VALUE"""),45139)</f>
        <v>45139</v>
      </c>
      <c r="I22" s="20" t="str">
        <f ca="1">IFERROR(__xludf.DUMMYFUNCTION("""COMPUTED_VALUE"""),"SI")</f>
        <v>SI</v>
      </c>
      <c r="J22" s="97" t="str">
        <f ca="1">IFERROR(__xludf.DUMMYFUNCTION("""COMPUTED_VALUE"""),"LEGISLACIÓN DEL TRABAJO, PREVISIÓN Y SEGURIDAD SOCIAL;SALUD HUMANA")</f>
        <v>LEGISLACIÓN DEL TRABAJO, PREVISIÓN Y SEGURIDAD SOCIAL;SALUD HUMANA</v>
      </c>
      <c r="K22" s="97" t="str">
        <f ca="1">IFERROR(__xludf.DUMMYFUNCTION("""COMPUTED_VALUE"""),"NA;https://gld.legislaturacba.gob.ar/Publics/Actas.aspx?id=9H7qdQk9OT0=")</f>
        <v>NA;https://gld.legislaturacba.gob.ar/Publics/Actas.aspx?id=9H7qdQk9OT0=</v>
      </c>
      <c r="L22" s="104">
        <f ca="1">IFERROR(__xludf.DUMMYFUNCTION("""COMPUTED_VALUE"""),103)</f>
        <v>103</v>
      </c>
      <c r="M22" s="20">
        <f ca="1">IFERROR(__xludf.DUMMYFUNCTION("""COMPUTED_VALUE"""),2020)</f>
        <v>2020</v>
      </c>
      <c r="N22" s="20" t="str">
        <f ca="1">IFERROR(__xludf.DUMMYFUNCTION("""COMPUTED_VALUE"""),"VIRTUAL")</f>
        <v>VIRTUAL</v>
      </c>
      <c r="O22" s="96">
        <f ca="1">IFERROR(__xludf.DUMMYFUNCTION("""COMPUTED_VALUE"""),44047)</f>
        <v>44047</v>
      </c>
      <c r="P22" s="20" t="str">
        <f ca="1">IFERROR(__xludf.DUMMYFUNCTION("""COMPUTED_VALUE"""),"NO")</f>
        <v>NO</v>
      </c>
      <c r="Q22" s="105" t="str">
        <f ca="1">IFERROR(__xludf.DUMMYFUNCTION("""COMPUTED_VALUE"""),"EQUIDAD Y LUCHA CONTRA LA VIOLENCIA DE GÉNERO")</f>
        <v>EQUIDAD Y LUCHA CONTRA LA VIOLENCIA DE GÉNERO</v>
      </c>
      <c r="R22" s="20">
        <f ca="1">IFERROR(__xludf.DUMMYFUNCTION("""COMPUTED_VALUE"""),31)</f>
        <v>31</v>
      </c>
      <c r="S22" s="20">
        <f ca="1">IFERROR(__xludf.DUMMYFUNCTION("""COMPUTED_VALUE"""),2023)</f>
        <v>2023</v>
      </c>
      <c r="T22" s="20" t="str">
        <f ca="1">IFERROR(__xludf.DUMMYFUNCTION("""COMPUTED_VALUE"""),"VIRTUAL")</f>
        <v>VIRTUAL</v>
      </c>
      <c r="U22" s="106">
        <f ca="1">IFERROR(__xludf.DUMMYFUNCTION("""COMPUTED_VALUE"""),45015)</f>
        <v>45015</v>
      </c>
      <c r="V22" s="20" t="str">
        <f ca="1">IFERROR(__xludf.DUMMYFUNCTION("""COMPUTED_VALUE"""),"NO")</f>
        <v>NO</v>
      </c>
      <c r="W22" s="105" t="str">
        <f ca="1">IFERROR(__xludf.DUMMYFUNCTION("""COMPUTED_VALUE"""),"TURISMO Y SU RELACIÓN CON EL DESARROLLO REGIONAL")</f>
        <v>TURISMO Y SU RELACIÓN CON EL DESARROLLO REGIONAL</v>
      </c>
    </row>
    <row r="23" spans="5:23">
      <c r="E23" s="104">
        <f ca="1">IFERROR(__xludf.DUMMYFUNCTION("""COMPUTED_VALUE"""),79)</f>
        <v>79</v>
      </c>
      <c r="F23" s="20">
        <f ca="1">IFERROR(__xludf.DUMMYFUNCTION("""COMPUTED_VALUE"""),2023)</f>
        <v>2023</v>
      </c>
      <c r="G23" s="20" t="str">
        <f ca="1">IFERROR(__xludf.DUMMYFUNCTION("""COMPUTED_VALUE"""),"SEMIPRESENCIAL")</f>
        <v>SEMIPRESENCIAL</v>
      </c>
      <c r="H23" s="106">
        <f ca="1">IFERROR(__xludf.DUMMYFUNCTION("""COMPUTED_VALUE"""),45139)</f>
        <v>45139</v>
      </c>
      <c r="I23" s="20" t="str">
        <f ca="1">IFERROR(__xludf.DUMMYFUNCTION("""COMPUTED_VALUE"""),"SI")</f>
        <v>SI</v>
      </c>
      <c r="J23" s="97" t="str">
        <f ca="1">IFERROR(__xludf.DUMMYFUNCTION("""COMPUTED_VALUE"""),"LEGISLACIÓN GENERAL;ASUNTOS CONSTITUCIONALES, JUSTICIA Y ACUERDOS")</f>
        <v>LEGISLACIÓN GENERAL;ASUNTOS CONSTITUCIONALES, JUSTICIA Y ACUERDOS</v>
      </c>
      <c r="K23" s="97" t="str">
        <f ca="1">IFERROR(__xludf.DUMMYFUNCTION("""COMPUTED_VALUE"""),"NA;https://gld.legislaturacba.gob.ar/Publics/Actas.aspx?id=jd4hz1F-VBk=")</f>
        <v>NA;https://gld.legislaturacba.gob.ar/Publics/Actas.aspx?id=jd4hz1F-VBk=</v>
      </c>
      <c r="L23" s="104">
        <f ca="1">IFERROR(__xludf.DUMMYFUNCTION("""COMPUTED_VALUE"""),112)</f>
        <v>112</v>
      </c>
      <c r="M23" s="20">
        <f ca="1">IFERROR(__xludf.DUMMYFUNCTION("""COMPUTED_VALUE"""),2020)</f>
        <v>2020</v>
      </c>
      <c r="N23" s="20" t="str">
        <f ca="1">IFERROR(__xludf.DUMMYFUNCTION("""COMPUTED_VALUE"""),"VIRTUAL")</f>
        <v>VIRTUAL</v>
      </c>
      <c r="O23" s="96">
        <f ca="1">IFERROR(__xludf.DUMMYFUNCTION("""COMPUTED_VALUE"""),44056)</f>
        <v>44056</v>
      </c>
      <c r="P23" s="20" t="str">
        <f ca="1">IFERROR(__xludf.DUMMYFUNCTION("""COMPUTED_VALUE"""),"NO")</f>
        <v>NO</v>
      </c>
      <c r="Q23" s="105" t="str">
        <f ca="1">IFERROR(__xludf.DUMMYFUNCTION("""COMPUTED_VALUE"""),"ECONOMÍA, PRESUPUESTO, GESTIÓN PÚBLICA E INNOVACIÓN")</f>
        <v>ECONOMÍA, PRESUPUESTO, GESTIÓN PÚBLICA E INNOVACIÓN</v>
      </c>
      <c r="R23" s="20">
        <f ca="1">IFERROR(__xludf.DUMMYFUNCTION("""COMPUTED_VALUE"""),36)</f>
        <v>36</v>
      </c>
      <c r="S23" s="20">
        <f ca="1">IFERROR(__xludf.DUMMYFUNCTION("""COMPUTED_VALUE"""),2023)</f>
        <v>2023</v>
      </c>
      <c r="T23" s="20" t="str">
        <f ca="1">IFERROR(__xludf.DUMMYFUNCTION("""COMPUTED_VALUE"""),"SEMIPRESENCIAL")</f>
        <v>SEMIPRESENCIAL</v>
      </c>
      <c r="U23" s="106">
        <f ca="1">IFERROR(__xludf.DUMMYFUNCTION("""COMPUTED_VALUE"""),45029)</f>
        <v>45029</v>
      </c>
      <c r="V23" s="20" t="str">
        <f ca="1">IFERROR(__xludf.DUMMYFUNCTION("""COMPUTED_VALUE"""),"SI")</f>
        <v>SI</v>
      </c>
      <c r="W23" s="105" t="str">
        <f ca="1">IFERROR(__xludf.DUMMYFUNCTION("""COMPUTED_VALUE"""),"EDUCACIÓN, CULTURA, CIENCIA, TECNOLOGÍA E INFORMÁTICA;RELACIONES INTERNACIONALES, MERCOSUR Y COMERCIO EXTERIOR")</f>
        <v>EDUCACIÓN, CULTURA, CIENCIA, TECNOLOGÍA E INFORMÁTICA;RELACIONES INTERNACIONALES, MERCOSUR Y COMERCIO EXTERIOR</v>
      </c>
    </row>
    <row r="24" spans="5:23">
      <c r="E24" s="104">
        <f ca="1">IFERROR(__xludf.DUMMYFUNCTION("""COMPUTED_VALUE"""),80)</f>
        <v>80</v>
      </c>
      <c r="F24" s="20">
        <f ca="1">IFERROR(__xludf.DUMMYFUNCTION("""COMPUTED_VALUE"""),2023)</f>
        <v>2023</v>
      </c>
      <c r="G24" s="20" t="str">
        <f ca="1">IFERROR(__xludf.DUMMYFUNCTION("""COMPUTED_VALUE"""),"SEMIPRESENCIAL")</f>
        <v>SEMIPRESENCIAL</v>
      </c>
      <c r="H24" s="106">
        <f ca="1">IFERROR(__xludf.DUMMYFUNCTION("""COMPUTED_VALUE"""),45139)</f>
        <v>45139</v>
      </c>
      <c r="I24" s="20" t="str">
        <f ca="1">IFERROR(__xludf.DUMMYFUNCTION("""COMPUTED_VALUE"""),"NO")</f>
        <v>NO</v>
      </c>
      <c r="J24" s="97" t="str">
        <f ca="1">IFERROR(__xludf.DUMMYFUNCTION("""COMPUTED_VALUE"""),"PROMOCIÓN Y DEFENSA DE LOS DERECHOS DE LA NIÑEZ, ADOLESCENCIA Y FAMILIA")</f>
        <v>PROMOCIÓN Y DEFENSA DE LOS DERECHOS DE LA NIÑEZ, ADOLESCENCIA Y FAMILIA</v>
      </c>
      <c r="K24" s="97" t="str">
        <f ca="1">IFERROR(__xludf.DUMMYFUNCTION("""COMPUTED_VALUE"""),"NA")</f>
        <v>NA</v>
      </c>
      <c r="L24" s="104">
        <f ca="1">IFERROR(__xludf.DUMMYFUNCTION("""COMPUTED_VALUE"""),119)</f>
        <v>119</v>
      </c>
      <c r="M24" s="20">
        <f ca="1">IFERROR(__xludf.DUMMYFUNCTION("""COMPUTED_VALUE"""),2020)</f>
        <v>2020</v>
      </c>
      <c r="N24" s="20" t="str">
        <f ca="1">IFERROR(__xludf.DUMMYFUNCTION("""COMPUTED_VALUE"""),"VIRTUAL")</f>
        <v>VIRTUAL</v>
      </c>
      <c r="O24" s="96">
        <f ca="1">IFERROR(__xludf.DUMMYFUNCTION("""COMPUTED_VALUE"""),44063)</f>
        <v>44063</v>
      </c>
      <c r="P24" s="20" t="str">
        <f ca="1">IFERROR(__xludf.DUMMYFUNCTION("""COMPUTED_VALUE"""),"NO")</f>
        <v>NO</v>
      </c>
      <c r="Q24" s="105" t="str">
        <f ca="1">IFERROR(__xludf.DUMMYFUNCTION("""COMPUTED_VALUE"""),"SALUD HUMANA")</f>
        <v>SALUD HUMANA</v>
      </c>
      <c r="R24" s="20">
        <f ca="1">IFERROR(__xludf.DUMMYFUNCTION("""COMPUTED_VALUE"""),38)</f>
        <v>38</v>
      </c>
      <c r="S24" s="20">
        <f ca="1">IFERROR(__xludf.DUMMYFUNCTION("""COMPUTED_VALUE"""),2023)</f>
        <v>2023</v>
      </c>
      <c r="T24" s="20" t="str">
        <f ca="1">IFERROR(__xludf.DUMMYFUNCTION("""COMPUTED_VALUE"""),"VIRTUAL")</f>
        <v>VIRTUAL</v>
      </c>
      <c r="U24" s="106">
        <f ca="1">IFERROR(__xludf.DUMMYFUNCTION("""COMPUTED_VALUE"""),45034)</f>
        <v>45034</v>
      </c>
      <c r="V24" s="20" t="str">
        <f ca="1">IFERROR(__xludf.DUMMYFUNCTION("""COMPUTED_VALUE"""),"NO")</f>
        <v>NO</v>
      </c>
      <c r="W24" s="105" t="str">
        <f ca="1">IFERROR(__xludf.DUMMYFUNCTION("""COMPUTED_VALUE"""),"ECONOMÍA, PRESUPUESTO, GESTIÓN PÚBLICA E INNOVACIÓN")</f>
        <v>ECONOMÍA, PRESUPUESTO, GESTIÓN PÚBLICA E INNOVACIÓN</v>
      </c>
    </row>
    <row r="25" spans="5:23">
      <c r="E25" s="104">
        <f ca="1">IFERROR(__xludf.DUMMYFUNCTION("""COMPUTED_VALUE"""),81)</f>
        <v>81</v>
      </c>
      <c r="F25" s="20">
        <f ca="1">IFERROR(__xludf.DUMMYFUNCTION("""COMPUTED_VALUE"""),2023)</f>
        <v>2023</v>
      </c>
      <c r="G25" s="20" t="str">
        <f ca="1">IFERROR(__xludf.DUMMYFUNCTION("""COMPUTED_VALUE"""),"VIRTUAL")</f>
        <v>VIRTUAL</v>
      </c>
      <c r="H25" s="106">
        <f ca="1">IFERROR(__xludf.DUMMYFUNCTION("""COMPUTED_VALUE"""),45141)</f>
        <v>45141</v>
      </c>
      <c r="I25" s="20" t="str">
        <f ca="1">IFERROR(__xludf.DUMMYFUNCTION("""COMPUTED_VALUE"""),"NO")</f>
        <v>NO</v>
      </c>
      <c r="J25" s="97" t="str">
        <f ca="1">IFERROR(__xludf.DUMMYFUNCTION("""COMPUTED_VALUE"""),"ECONOMÍA, PRESUPUESTO, GESTIÓN PÚBLICA E INNOVACIÓN")</f>
        <v>ECONOMÍA, PRESUPUESTO, GESTIÓN PÚBLICA E INNOVACIÓN</v>
      </c>
      <c r="K25" s="97" t="str">
        <f ca="1">IFERROR(__xludf.DUMMYFUNCTION("""COMPUTED_VALUE"""),"NA")</f>
        <v>NA</v>
      </c>
      <c r="L25" s="104">
        <f ca="1">IFERROR(__xludf.DUMMYFUNCTION("""COMPUTED_VALUE"""),120)</f>
        <v>120</v>
      </c>
      <c r="M25" s="20">
        <f ca="1">IFERROR(__xludf.DUMMYFUNCTION("""COMPUTED_VALUE"""),2020)</f>
        <v>2020</v>
      </c>
      <c r="N25" s="20" t="str">
        <f ca="1">IFERROR(__xludf.DUMMYFUNCTION("""COMPUTED_VALUE"""),"VIRTUAL")</f>
        <v>VIRTUAL</v>
      </c>
      <c r="O25" s="96">
        <f ca="1">IFERROR(__xludf.DUMMYFUNCTION("""COMPUTED_VALUE"""),44098)</f>
        <v>44098</v>
      </c>
      <c r="P25" s="20" t="str">
        <f ca="1">IFERROR(__xludf.DUMMYFUNCTION("""COMPUTED_VALUE"""),"NO")</f>
        <v>NO</v>
      </c>
      <c r="Q25" s="105" t="str">
        <f ca="1">IFERROR(__xludf.DUMMYFUNCTION("""COMPUTED_VALUE"""),"PROMOCIÓN Y DEFENSA DE LOS DERECHOS DE LA NIÑEZ, ADOLESCENCIA Y FAMILIA")</f>
        <v>PROMOCIÓN Y DEFENSA DE LOS DERECHOS DE LA NIÑEZ, ADOLESCENCIA Y FAMILIA</v>
      </c>
      <c r="R25" s="20">
        <f ca="1">IFERROR(__xludf.DUMMYFUNCTION("""COMPUTED_VALUE"""),40)</f>
        <v>40</v>
      </c>
      <c r="S25" s="20">
        <f ca="1">IFERROR(__xludf.DUMMYFUNCTION("""COMPUTED_VALUE"""),2023)</f>
        <v>2023</v>
      </c>
      <c r="T25" s="20" t="str">
        <f ca="1">IFERROR(__xludf.DUMMYFUNCTION("""COMPUTED_VALUE"""),"VIRTUAL")</f>
        <v>VIRTUAL</v>
      </c>
      <c r="U25" s="106">
        <f ca="1">IFERROR(__xludf.DUMMYFUNCTION("""COMPUTED_VALUE"""),45036)</f>
        <v>45036</v>
      </c>
      <c r="V25" s="20" t="str">
        <f ca="1">IFERROR(__xludf.DUMMYFUNCTION("""COMPUTED_VALUE"""),"NO")</f>
        <v>NO</v>
      </c>
      <c r="W25" s="105" t="str">
        <f ca="1">IFERROR(__xludf.DUMMYFUNCTION("""COMPUTED_VALUE"""),"OBRAS PÚBLICAS, VIVIENDA Y COMUNICACIONES")</f>
        <v>OBRAS PÚBLICAS, VIVIENDA Y COMUNICACIONES</v>
      </c>
    </row>
    <row r="26" spans="5:23">
      <c r="E26" s="104">
        <f ca="1">IFERROR(__xludf.DUMMYFUNCTION("""COMPUTED_VALUE"""),82)</f>
        <v>82</v>
      </c>
      <c r="F26" s="20">
        <f ca="1">IFERROR(__xludf.DUMMYFUNCTION("""COMPUTED_VALUE"""),2023)</f>
        <v>2023</v>
      </c>
      <c r="G26" s="20" t="str">
        <f ca="1">IFERROR(__xludf.DUMMYFUNCTION("""COMPUTED_VALUE"""),"SEMIPRESENCIAL")</f>
        <v>SEMIPRESENCIAL</v>
      </c>
      <c r="H26" s="106">
        <f ca="1">IFERROR(__xludf.DUMMYFUNCTION("""COMPUTED_VALUE"""),45153)</f>
        <v>45153</v>
      </c>
      <c r="I26" s="20" t="str">
        <f ca="1">IFERROR(__xludf.DUMMYFUNCTION("""COMPUTED_VALUE"""),"SI")</f>
        <v>SI</v>
      </c>
      <c r="J26" s="97" t="str">
        <f ca="1">IFERROR(__xludf.DUMMYFUNCTION("""COMPUTED_VALUE"""),"LEGISLACIÓN GENERAL;ASUNTOS CONSTITUCIONALES, JUSTICIA Y ACUERDOS")</f>
        <v>LEGISLACIÓN GENERAL;ASUNTOS CONSTITUCIONALES, JUSTICIA Y ACUERDOS</v>
      </c>
      <c r="K26" s="97" t="str">
        <f ca="1">IFERROR(__xludf.DUMMYFUNCTION("""COMPUTED_VALUE"""),"NA;https://gld.legislaturacba.gob.ar/Publics/Actas.aspx?id=jLKhDGdsAlw=")</f>
        <v>NA;https://gld.legislaturacba.gob.ar/Publics/Actas.aspx?id=jLKhDGdsAlw=</v>
      </c>
      <c r="L26" s="104">
        <f ca="1">IFERROR(__xludf.DUMMYFUNCTION("""COMPUTED_VALUE"""),121)</f>
        <v>121</v>
      </c>
      <c r="M26" s="20">
        <f ca="1">IFERROR(__xludf.DUMMYFUNCTION("""COMPUTED_VALUE"""),2020)</f>
        <v>2020</v>
      </c>
      <c r="N26" s="20" t="str">
        <f ca="1">IFERROR(__xludf.DUMMYFUNCTION("""COMPUTED_VALUE"""),"VIRTUAL")</f>
        <v>VIRTUAL</v>
      </c>
      <c r="O26" s="96">
        <f ca="1">IFERROR(__xludf.DUMMYFUNCTION("""COMPUTED_VALUE"""),44068)</f>
        <v>44068</v>
      </c>
      <c r="P26" s="20" t="str">
        <f ca="1">IFERROR(__xludf.DUMMYFUNCTION("""COMPUTED_VALUE"""),"SI")</f>
        <v>SI</v>
      </c>
      <c r="Q26" s="105" t="str">
        <f ca="1">IFERROR(__xludf.DUMMYFUNCTION("""COMPUTED_VALUE"""),"LEGISLACIÓN DEL TRABAJO, PREVISIÓN Y SEGURIDAD SOCIAL;INDUSTRIA Y MINERÍA")</f>
        <v>LEGISLACIÓN DEL TRABAJO, PREVISIÓN Y SEGURIDAD SOCIAL;INDUSTRIA Y MINERÍA</v>
      </c>
      <c r="R26" s="20">
        <f ca="1">IFERROR(__xludf.DUMMYFUNCTION("""COMPUTED_VALUE"""),44)</f>
        <v>44</v>
      </c>
      <c r="S26" s="20">
        <f ca="1">IFERROR(__xludf.DUMMYFUNCTION("""COMPUTED_VALUE"""),2023)</f>
        <v>2023</v>
      </c>
      <c r="T26" s="20" t="str">
        <f ca="1">IFERROR(__xludf.DUMMYFUNCTION("""COMPUTED_VALUE"""),"VIRTUAL")</f>
        <v>VIRTUAL</v>
      </c>
      <c r="U26" s="106">
        <f ca="1">IFERROR(__xludf.DUMMYFUNCTION("""COMPUTED_VALUE"""),45042)</f>
        <v>45042</v>
      </c>
      <c r="V26" s="20" t="str">
        <f ca="1">IFERROR(__xludf.DUMMYFUNCTION("""COMPUTED_VALUE"""),"NO")</f>
        <v>NO</v>
      </c>
      <c r="W26" s="105" t="str">
        <f ca="1">IFERROR(__xludf.DUMMYFUNCTION("""COMPUTED_VALUE"""),"LEGISLACIÓN GENERAL")</f>
        <v>LEGISLACIÓN GENERAL</v>
      </c>
    </row>
    <row r="27" spans="5:23">
      <c r="E27" s="104">
        <f ca="1">IFERROR(__xludf.DUMMYFUNCTION("""COMPUTED_VALUE"""),83)</f>
        <v>83</v>
      </c>
      <c r="F27" s="20">
        <f ca="1">IFERROR(__xludf.DUMMYFUNCTION("""COMPUTED_VALUE"""),2023)</f>
        <v>2023</v>
      </c>
      <c r="G27" s="20" t="str">
        <f ca="1">IFERROR(__xludf.DUMMYFUNCTION("""COMPUTED_VALUE"""),"VIRTUAL")</f>
        <v>VIRTUAL</v>
      </c>
      <c r="H27" s="106">
        <f ca="1">IFERROR(__xludf.DUMMYFUNCTION("""COMPUTED_VALUE"""),45153)</f>
        <v>45153</v>
      </c>
      <c r="I27" s="20" t="str">
        <f ca="1">IFERROR(__xludf.DUMMYFUNCTION("""COMPUTED_VALUE"""),"SI")</f>
        <v>SI</v>
      </c>
      <c r="J27" s="97" t="str">
        <f ca="1">IFERROR(__xludf.DUMMYFUNCTION("""COMPUTED_VALUE"""),"EDUCACIÓN, CULTURA, CIENCIA, TECNOLOGÍA E INFORMÁTICA;ECONOMÍA, PRESUPUESTO, GESTIÓN PÚBLICA E INNOVACIÓN")</f>
        <v>EDUCACIÓN, CULTURA, CIENCIA, TECNOLOGÍA E INFORMÁTICA;ECONOMÍA, PRESUPUESTO, GESTIÓN PÚBLICA E INNOVACIÓN</v>
      </c>
      <c r="K27" s="97" t="str">
        <f ca="1">IFERROR(__xludf.DUMMYFUNCTION("""COMPUTED_VALUE"""),"NA;NA")</f>
        <v>NA;NA</v>
      </c>
      <c r="L27" s="104">
        <f ca="1">IFERROR(__xludf.DUMMYFUNCTION("""COMPUTED_VALUE"""),122)</f>
        <v>122</v>
      </c>
      <c r="M27" s="20">
        <f ca="1">IFERROR(__xludf.DUMMYFUNCTION("""COMPUTED_VALUE"""),2020)</f>
        <v>2020</v>
      </c>
      <c r="N27" s="20" t="str">
        <f ca="1">IFERROR(__xludf.DUMMYFUNCTION("""COMPUTED_VALUE"""),"VIRTUAL")</f>
        <v>VIRTUAL</v>
      </c>
      <c r="O27" s="96">
        <f ca="1">IFERROR(__xludf.DUMMYFUNCTION("""COMPUTED_VALUE"""),44068)</f>
        <v>44068</v>
      </c>
      <c r="P27" s="20" t="str">
        <f ca="1">IFERROR(__xludf.DUMMYFUNCTION("""COMPUTED_VALUE"""),"SI")</f>
        <v>SI</v>
      </c>
      <c r="Q27" s="105" t="str">
        <f ca="1">IFERROR(__xludf.DUMMYFUNCTION("""COMPUTED_VALUE"""),"OBRAS PÚBLICAS, VIVIENDA Y COMUNICACIONES;ECONOMÍA, PRESUPUESTO, GESTIÓN PÚBLICA E INNOVACIÓN")</f>
        <v>OBRAS PÚBLICAS, VIVIENDA Y COMUNICACIONES;ECONOMÍA, PRESUPUESTO, GESTIÓN PÚBLICA E INNOVACIÓN</v>
      </c>
      <c r="R27" s="20">
        <f ca="1">IFERROR(__xludf.DUMMYFUNCTION("""COMPUTED_VALUE"""),50)</f>
        <v>50</v>
      </c>
      <c r="S27" s="20">
        <f ca="1">IFERROR(__xludf.DUMMYFUNCTION("""COMPUTED_VALUE"""),2023)</f>
        <v>2023</v>
      </c>
      <c r="T27" s="20" t="str">
        <f ca="1">IFERROR(__xludf.DUMMYFUNCTION("""COMPUTED_VALUE"""),"SEMIPRESENCIAL")</f>
        <v>SEMIPRESENCIAL</v>
      </c>
      <c r="U27" s="106">
        <f ca="1">IFERROR(__xludf.DUMMYFUNCTION("""COMPUTED_VALUE"""),45055)</f>
        <v>45055</v>
      </c>
      <c r="V27" s="20" t="str">
        <f ca="1">IFERROR(__xludf.DUMMYFUNCTION("""COMPUTED_VALUE"""),"SI")</f>
        <v>SI</v>
      </c>
      <c r="W27" s="105" t="str">
        <f ca="1">IFERROR(__xludf.DUMMYFUNCTION("""COMPUTED_VALUE"""),"ECONOMÍA, PRESUPUESTO, GESTIÓN PÚBLICA E INNOVACIÓN;OBRAS PÚBLICAS, VIVIENDA Y COMUNICACIONES")</f>
        <v>ECONOMÍA, PRESUPUESTO, GESTIÓN PÚBLICA E INNOVACIÓN;OBRAS PÚBLICAS, VIVIENDA Y COMUNICACIONES</v>
      </c>
    </row>
    <row r="28" spans="5:23">
      <c r="E28" s="104">
        <f ca="1">IFERROR(__xludf.DUMMYFUNCTION("""COMPUTED_VALUE"""),84)</f>
        <v>84</v>
      </c>
      <c r="F28" s="20">
        <f ca="1">IFERROR(__xludf.DUMMYFUNCTION("""COMPUTED_VALUE"""),2023)</f>
        <v>2023</v>
      </c>
      <c r="G28" s="20" t="str">
        <f ca="1">IFERROR(__xludf.DUMMYFUNCTION("""COMPUTED_VALUE"""),"VIRTUAL")</f>
        <v>VIRTUAL</v>
      </c>
      <c r="H28" s="106">
        <f ca="1">IFERROR(__xludf.DUMMYFUNCTION("""COMPUTED_VALUE"""),45154)</f>
        <v>45154</v>
      </c>
      <c r="I28" s="20" t="str">
        <f ca="1">IFERROR(__xludf.DUMMYFUNCTION("""COMPUTED_VALUE"""),"SI")</f>
        <v>SI</v>
      </c>
      <c r="J28" s="97" t="str">
        <f ca="1">IFERROR(__xludf.DUMMYFUNCTION("""COMPUTED_VALUE"""),"LEGISLACIÓN GENERAL;ASUNTOS CONSTITUCIONALES, JUSTICIA Y ACUERDOS")</f>
        <v>LEGISLACIÓN GENERAL;ASUNTOS CONSTITUCIONALES, JUSTICIA Y ACUERDOS</v>
      </c>
      <c r="K28" s="97" t="str">
        <f ca="1">IFERROR(__xludf.DUMMYFUNCTION("""COMPUTED_VALUE"""),"NA;https://gld.legislaturacba.gob.ar/Publics/Actas.aspx?id=SSJIUr0cpbw=")</f>
        <v>NA;https://gld.legislaturacba.gob.ar/Publics/Actas.aspx?id=SSJIUr0cpbw=</v>
      </c>
      <c r="L28" s="104">
        <f ca="1">IFERROR(__xludf.DUMMYFUNCTION("""COMPUTED_VALUE"""),123)</f>
        <v>123</v>
      </c>
      <c r="M28" s="20">
        <f ca="1">IFERROR(__xludf.DUMMYFUNCTION("""COMPUTED_VALUE"""),2020)</f>
        <v>2020</v>
      </c>
      <c r="N28" s="20" t="str">
        <f ca="1">IFERROR(__xludf.DUMMYFUNCTION("""COMPUTED_VALUE"""),"VIRTUAL")</f>
        <v>VIRTUAL</v>
      </c>
      <c r="O28" s="96">
        <f ca="1">IFERROR(__xludf.DUMMYFUNCTION("""COMPUTED_VALUE"""),44068)</f>
        <v>44068</v>
      </c>
      <c r="P28" s="20" t="str">
        <f ca="1">IFERROR(__xludf.DUMMYFUNCTION("""COMPUTED_VALUE"""),"NO")</f>
        <v>NO</v>
      </c>
      <c r="Q28" s="105" t="str">
        <f ca="1">IFERROR(__xludf.DUMMYFUNCTION("""COMPUTED_VALUE"""),"TURISMO Y SU RELACIÓN CON EL DESARROLLO REGIONAL")</f>
        <v>TURISMO Y SU RELACIÓN CON EL DESARROLLO REGIONAL</v>
      </c>
      <c r="R28" s="20">
        <f ca="1">IFERROR(__xludf.DUMMYFUNCTION("""COMPUTED_VALUE"""),53)</f>
        <v>53</v>
      </c>
      <c r="S28" s="20">
        <f ca="1">IFERROR(__xludf.DUMMYFUNCTION("""COMPUTED_VALUE"""),2023)</f>
        <v>2023</v>
      </c>
      <c r="T28" s="20" t="str">
        <f ca="1">IFERROR(__xludf.DUMMYFUNCTION("""COMPUTED_VALUE"""),"SEMIPRESENCIAL")</f>
        <v>SEMIPRESENCIAL</v>
      </c>
      <c r="U28" s="106">
        <f ca="1">IFERROR(__xludf.DUMMYFUNCTION("""COMPUTED_VALUE"""),45057)</f>
        <v>45057</v>
      </c>
      <c r="V28" s="20" t="str">
        <f ca="1">IFERROR(__xludf.DUMMYFUNCTION("""COMPUTED_VALUE"""),"NO")</f>
        <v>NO</v>
      </c>
      <c r="W28" s="105" t="str">
        <f ca="1">IFERROR(__xludf.DUMMYFUNCTION("""COMPUTED_VALUE"""),"DERECHOS HUMANOS Y DESARROLLO SOCIAL")</f>
        <v>DERECHOS HUMANOS Y DESARROLLO SOCIAL</v>
      </c>
    </row>
    <row r="29" spans="5:23">
      <c r="E29" s="104">
        <f ca="1">IFERROR(__xludf.DUMMYFUNCTION("""COMPUTED_VALUE"""),87)</f>
        <v>87</v>
      </c>
      <c r="F29" s="20">
        <f ca="1">IFERROR(__xludf.DUMMYFUNCTION("""COMPUTED_VALUE"""),2023)</f>
        <v>2023</v>
      </c>
      <c r="G29" s="20" t="str">
        <f ca="1">IFERROR(__xludf.DUMMYFUNCTION("""COMPUTED_VALUE"""),"SEMIPRESENCIAL")</f>
        <v>SEMIPRESENCIAL</v>
      </c>
      <c r="H29" s="106">
        <f ca="1">IFERROR(__xludf.DUMMYFUNCTION("""COMPUTED_VALUE"""),45160)</f>
        <v>45160</v>
      </c>
      <c r="I29" s="20" t="str">
        <f ca="1">IFERROR(__xludf.DUMMYFUNCTION("""COMPUTED_VALUE"""),"SI")</f>
        <v>SI</v>
      </c>
      <c r="J29" s="97" t="str">
        <f ca="1">IFERROR(__xludf.DUMMYFUNCTION("""COMPUTED_VALUE"""),"LEGISLACIÓN DEL TRABAJO, PREVISIÓN Y SEGURIDAD SOCIAL;SALUD HUMANA")</f>
        <v>LEGISLACIÓN DEL TRABAJO, PREVISIÓN Y SEGURIDAD SOCIAL;SALUD HUMANA</v>
      </c>
      <c r="K29" s="97" t="str">
        <f ca="1">IFERROR(__xludf.DUMMYFUNCTION("""COMPUTED_VALUE"""),"NA;NA")</f>
        <v>NA;NA</v>
      </c>
      <c r="L29" s="104">
        <f ca="1">IFERROR(__xludf.DUMMYFUNCTION("""COMPUTED_VALUE"""),126)</f>
        <v>126</v>
      </c>
      <c r="M29" s="20">
        <f ca="1">IFERROR(__xludf.DUMMYFUNCTION("""COMPUTED_VALUE"""),2020)</f>
        <v>2020</v>
      </c>
      <c r="N29" s="20" t="str">
        <f ca="1">IFERROR(__xludf.DUMMYFUNCTION("""COMPUTED_VALUE"""),"VIRTUAL")</f>
        <v>VIRTUAL</v>
      </c>
      <c r="O29" s="96">
        <f ca="1">IFERROR(__xludf.DUMMYFUNCTION("""COMPUTED_VALUE"""),44070)</f>
        <v>44070</v>
      </c>
      <c r="P29" s="20" t="str">
        <f ca="1">IFERROR(__xludf.DUMMYFUNCTION("""COMPUTED_VALUE"""),"NO")</f>
        <v>NO</v>
      </c>
      <c r="Q29" s="105" t="str">
        <f ca="1">IFERROR(__xludf.DUMMYFUNCTION("""COMPUTED_VALUE"""),"DERECHOS HUMANOS Y DESARROLLO SOCIAL")</f>
        <v>DERECHOS HUMANOS Y DESARROLLO SOCIAL</v>
      </c>
      <c r="R29" s="20">
        <f ca="1">IFERROR(__xludf.DUMMYFUNCTION("""COMPUTED_VALUE"""),61)</f>
        <v>61</v>
      </c>
      <c r="S29" s="20">
        <f ca="1">IFERROR(__xludf.DUMMYFUNCTION("""COMPUTED_VALUE"""),2023)</f>
        <v>2023</v>
      </c>
      <c r="T29" s="20" t="str">
        <f ca="1">IFERROR(__xludf.DUMMYFUNCTION("""COMPUTED_VALUE"""),"VIRTUAL")</f>
        <v>VIRTUAL</v>
      </c>
      <c r="U29" s="106">
        <f ca="1">IFERROR(__xludf.DUMMYFUNCTION("""COMPUTED_VALUE"""),45069)</f>
        <v>45069</v>
      </c>
      <c r="V29" s="20" t="str">
        <f ca="1">IFERROR(__xludf.DUMMYFUNCTION("""COMPUTED_VALUE"""),"NO")</f>
        <v>NO</v>
      </c>
      <c r="W29" s="105" t="str">
        <f ca="1">IFERROR(__xludf.DUMMYFUNCTION("""COMPUTED_VALUE"""),"SALUD HUMANA")</f>
        <v>SALUD HUMANA</v>
      </c>
    </row>
    <row r="30" spans="5:23">
      <c r="E30" s="104">
        <f ca="1">IFERROR(__xludf.DUMMYFUNCTION("""COMPUTED_VALUE"""),89)</f>
        <v>89</v>
      </c>
      <c r="F30" s="20">
        <f ca="1">IFERROR(__xludf.DUMMYFUNCTION("""COMPUTED_VALUE"""),2023)</f>
        <v>2023</v>
      </c>
      <c r="G30" s="20" t="str">
        <f ca="1">IFERROR(__xludf.DUMMYFUNCTION("""COMPUTED_VALUE"""),"VIRTUAL")</f>
        <v>VIRTUAL</v>
      </c>
      <c r="H30" s="106">
        <f ca="1">IFERROR(__xludf.DUMMYFUNCTION("""COMPUTED_VALUE"""),45160)</f>
        <v>45160</v>
      </c>
      <c r="I30" s="20" t="str">
        <f ca="1">IFERROR(__xludf.DUMMYFUNCTION("""COMPUTED_VALUE"""),"NO")</f>
        <v>NO</v>
      </c>
      <c r="J30" s="97" t="str">
        <f ca="1">IFERROR(__xludf.DUMMYFUNCTION("""COMPUTED_VALUE"""),"EQUIDAD Y LUCHA CONTRA LA VIOLENCIA DE GÉNERO")</f>
        <v>EQUIDAD Y LUCHA CONTRA LA VIOLENCIA DE GÉNERO</v>
      </c>
      <c r="K30" s="97" t="str">
        <f ca="1">IFERROR(__xludf.DUMMYFUNCTION("""COMPUTED_VALUE"""),"NA")</f>
        <v>NA</v>
      </c>
      <c r="L30" s="104">
        <f ca="1">IFERROR(__xludf.DUMMYFUNCTION("""COMPUTED_VALUE"""),129)</f>
        <v>129</v>
      </c>
      <c r="M30" s="20">
        <f ca="1">IFERROR(__xludf.DUMMYFUNCTION("""COMPUTED_VALUE"""),2020)</f>
        <v>2020</v>
      </c>
      <c r="N30" s="20" t="str">
        <f ca="1">IFERROR(__xludf.DUMMYFUNCTION("""COMPUTED_VALUE"""),"VIRTUAL")</f>
        <v>VIRTUAL</v>
      </c>
      <c r="O30" s="96">
        <f ca="1">IFERROR(__xludf.DUMMYFUNCTION("""COMPUTED_VALUE"""),44076)</f>
        <v>44076</v>
      </c>
      <c r="P30" s="20" t="str">
        <f ca="1">IFERROR(__xludf.DUMMYFUNCTION("""COMPUTED_VALUE"""),"NO")</f>
        <v>NO</v>
      </c>
      <c r="Q30" s="105" t="str">
        <f ca="1">IFERROR(__xludf.DUMMYFUNCTION("""COMPUTED_VALUE"""),"EDUCACIÓN, CULTURA, CIENCIA, TECNOLOGÍA E INFORMÁTICA")</f>
        <v>EDUCACIÓN, CULTURA, CIENCIA, TECNOLOGÍA E INFORMÁTICA</v>
      </c>
      <c r="R30" s="20">
        <f ca="1">IFERROR(__xludf.DUMMYFUNCTION("""COMPUTED_VALUE"""),62)</f>
        <v>62</v>
      </c>
      <c r="S30" s="20">
        <f ca="1">IFERROR(__xludf.DUMMYFUNCTION("""COMPUTED_VALUE"""),2023)</f>
        <v>2023</v>
      </c>
      <c r="T30" s="20" t="str">
        <f ca="1">IFERROR(__xludf.DUMMYFUNCTION("""COMPUTED_VALUE"""),"VIRTUAL")</f>
        <v>VIRTUAL</v>
      </c>
      <c r="U30" s="106">
        <f ca="1">IFERROR(__xludf.DUMMYFUNCTION("""COMPUTED_VALUE"""),45069)</f>
        <v>45069</v>
      </c>
      <c r="V30" s="20" t="str">
        <f ca="1">IFERROR(__xludf.DUMMYFUNCTION("""COMPUTED_VALUE"""),"NO")</f>
        <v>NO</v>
      </c>
      <c r="W30" s="105" t="str">
        <f ca="1">IFERROR(__xludf.DUMMYFUNCTION("""COMPUTED_VALUE"""),"ECONOMÍA, PRESUPUESTO, GESTIÓN PÚBLICA E INNOVACIÓN")</f>
        <v>ECONOMÍA, PRESUPUESTO, GESTIÓN PÚBLICA E INNOVACIÓN</v>
      </c>
    </row>
    <row r="31" spans="5:23">
      <c r="E31" s="104">
        <f ca="1">IFERROR(__xludf.DUMMYFUNCTION("""COMPUTED_VALUE"""),90)</f>
        <v>90</v>
      </c>
      <c r="F31" s="20">
        <f ca="1">IFERROR(__xludf.DUMMYFUNCTION("""COMPUTED_VALUE"""),2023)</f>
        <v>2023</v>
      </c>
      <c r="G31" s="20" t="str">
        <f ca="1">IFERROR(__xludf.DUMMYFUNCTION("""COMPUTED_VALUE"""),"VIRTUAL")</f>
        <v>VIRTUAL</v>
      </c>
      <c r="H31" s="106">
        <f ca="1">IFERROR(__xludf.DUMMYFUNCTION("""COMPUTED_VALUE"""),45161)</f>
        <v>45161</v>
      </c>
      <c r="I31" s="20" t="str">
        <f ca="1">IFERROR(__xludf.DUMMYFUNCTION("""COMPUTED_VALUE"""),"NO")</f>
        <v>NO</v>
      </c>
      <c r="J31" s="97" t="str">
        <f ca="1">IFERROR(__xludf.DUMMYFUNCTION("""COMPUTED_VALUE"""),"LEGISLACIÓN GENERAL")</f>
        <v>LEGISLACIÓN GENERAL</v>
      </c>
      <c r="K31" s="97" t="str">
        <f ca="1">IFERROR(__xludf.DUMMYFUNCTION("""COMPUTED_VALUE"""),"NA")</f>
        <v>NA</v>
      </c>
      <c r="L31" s="104">
        <f ca="1">IFERROR(__xludf.DUMMYFUNCTION("""COMPUTED_VALUE"""),133)</f>
        <v>133</v>
      </c>
      <c r="M31" s="20">
        <f ca="1">IFERROR(__xludf.DUMMYFUNCTION("""COMPUTED_VALUE"""),2020)</f>
        <v>2020</v>
      </c>
      <c r="N31" s="20" t="str">
        <f ca="1">IFERROR(__xludf.DUMMYFUNCTION("""COMPUTED_VALUE"""),"VIRTUAL")</f>
        <v>VIRTUAL</v>
      </c>
      <c r="O31" s="96">
        <f ca="1">IFERROR(__xludf.DUMMYFUNCTION("""COMPUTED_VALUE"""),44082)</f>
        <v>44082</v>
      </c>
      <c r="P31" s="20" t="str">
        <f ca="1">IFERROR(__xludf.DUMMYFUNCTION("""COMPUTED_VALUE"""),"SI")</f>
        <v>SI</v>
      </c>
      <c r="Q31" s="105" t="str">
        <f ca="1">IFERROR(__xludf.DUMMYFUNCTION("""COMPUTED_VALUE"""),"LEGISLACIÓN DEL TRABAJO, PREVISIÓN Y SEGURIDAD SOCIAL;OBRAS PÚBLICAS, VIVIENDA Y COMUNICACIONES")</f>
        <v>LEGISLACIÓN DEL TRABAJO, PREVISIÓN Y SEGURIDAD SOCIAL;OBRAS PÚBLICAS, VIVIENDA Y COMUNICACIONES</v>
      </c>
      <c r="R31" s="20">
        <f ca="1">IFERROR(__xludf.DUMMYFUNCTION("""COMPUTED_VALUE"""),70)</f>
        <v>70</v>
      </c>
      <c r="S31" s="20">
        <f ca="1">IFERROR(__xludf.DUMMYFUNCTION("""COMPUTED_VALUE"""),2023)</f>
        <v>2023</v>
      </c>
      <c r="T31" s="20" t="str">
        <f ca="1">IFERROR(__xludf.DUMMYFUNCTION("""COMPUTED_VALUE"""),"VIRTUAL")</f>
        <v>VIRTUAL</v>
      </c>
      <c r="U31" s="106">
        <f ca="1">IFERROR(__xludf.DUMMYFUNCTION("""COMPUTED_VALUE"""),45090)</f>
        <v>45090</v>
      </c>
      <c r="V31" s="20" t="str">
        <f ca="1">IFERROR(__xludf.DUMMYFUNCTION("""COMPUTED_VALUE"""),"NO")</f>
        <v>NO</v>
      </c>
      <c r="W31" s="105" t="str">
        <f ca="1">IFERROR(__xludf.DUMMYFUNCTION("""COMPUTED_VALUE"""),"DERECHOS HUMANOS Y DESARROLLO SOCIAL")</f>
        <v>DERECHOS HUMANOS Y DESARROLLO SOCIAL</v>
      </c>
    </row>
    <row r="32" spans="5:23">
      <c r="E32" s="104">
        <f ca="1">IFERROR(__xludf.DUMMYFUNCTION("""COMPUTED_VALUE"""),91)</f>
        <v>91</v>
      </c>
      <c r="F32" s="20">
        <f ca="1">IFERROR(__xludf.DUMMYFUNCTION("""COMPUTED_VALUE"""),2023)</f>
        <v>2023</v>
      </c>
      <c r="G32" s="20" t="str">
        <f ca="1">IFERROR(__xludf.DUMMYFUNCTION("""COMPUTED_VALUE"""),"VIRTUAL")</f>
        <v>VIRTUAL</v>
      </c>
      <c r="H32" s="106">
        <f ca="1">IFERROR(__xludf.DUMMYFUNCTION("""COMPUTED_VALUE"""),45162)</f>
        <v>45162</v>
      </c>
      <c r="I32" s="20" t="str">
        <f ca="1">IFERROR(__xludf.DUMMYFUNCTION("""COMPUTED_VALUE"""),"NO")</f>
        <v>NO</v>
      </c>
      <c r="J32" s="97" t="str">
        <f ca="1">IFERROR(__xludf.DUMMYFUNCTION("""COMPUTED_VALUE"""),"OBRAS PÚBLICAS, VIVIENDA Y COMUNICACIONES")</f>
        <v>OBRAS PÚBLICAS, VIVIENDA Y COMUNICACIONES</v>
      </c>
      <c r="K32" s="97" t="str">
        <f ca="1">IFERROR(__xludf.DUMMYFUNCTION("""COMPUTED_VALUE"""),"NA")</f>
        <v>NA</v>
      </c>
      <c r="L32" s="104">
        <f ca="1">IFERROR(__xludf.DUMMYFUNCTION("""COMPUTED_VALUE"""),136)</f>
        <v>136</v>
      </c>
      <c r="M32" s="20">
        <f ca="1">IFERROR(__xludf.DUMMYFUNCTION("""COMPUTED_VALUE"""),2020)</f>
        <v>2020</v>
      </c>
      <c r="N32" s="20" t="str">
        <f ca="1">IFERROR(__xludf.DUMMYFUNCTION("""COMPUTED_VALUE"""),"VIRTUAL")</f>
        <v>VIRTUAL</v>
      </c>
      <c r="O32" s="96">
        <f ca="1">IFERROR(__xludf.DUMMYFUNCTION("""COMPUTED_VALUE"""),44083)</f>
        <v>44083</v>
      </c>
      <c r="P32" s="20" t="str">
        <f ca="1">IFERROR(__xludf.DUMMYFUNCTION("""COMPUTED_VALUE"""),"SI")</f>
        <v>SI</v>
      </c>
      <c r="Q32" s="105" t="str">
        <f ca="1">IFERROR(__xludf.DUMMYFUNCTION("""COMPUTED_VALUE"""),"DEPORTES Y RECREACIÓN;LEGISLACIÓN GENERAL;TURISMO Y SU RELACIÓN CON EL DESARROLLO REGIONAL")</f>
        <v>DEPORTES Y RECREACIÓN;LEGISLACIÓN GENERAL;TURISMO Y SU RELACIÓN CON EL DESARROLLO REGIONAL</v>
      </c>
      <c r="R32" s="20">
        <f ca="1">IFERROR(__xludf.DUMMYFUNCTION("""COMPUTED_VALUE"""),71)</f>
        <v>71</v>
      </c>
      <c r="S32" s="20">
        <f ca="1">IFERROR(__xludf.DUMMYFUNCTION("""COMPUTED_VALUE"""),2023)</f>
        <v>2023</v>
      </c>
      <c r="T32" s="20" t="str">
        <f ca="1">IFERROR(__xludf.DUMMYFUNCTION("""COMPUTED_VALUE"""),"VIRTUAL")</f>
        <v>VIRTUAL</v>
      </c>
      <c r="U32" s="106">
        <f ca="1">IFERROR(__xludf.DUMMYFUNCTION("""COMPUTED_VALUE"""),45104)</f>
        <v>45104</v>
      </c>
      <c r="V32" s="20" t="str">
        <f ca="1">IFERROR(__xludf.DUMMYFUNCTION("""COMPUTED_VALUE"""),"SI")</f>
        <v>SI</v>
      </c>
      <c r="W32" s="105" t="str">
        <f ca="1">IFERROR(__xludf.DUMMYFUNCTION("""COMPUTED_VALUE"""),"ECONOMÍA, PRESUPUESTO, GESTIÓN PÚBLICA E INNOVACIÓN;DERECHOS HUMANOS Y DESARROLLO SOCIAL")</f>
        <v>ECONOMÍA, PRESUPUESTO, GESTIÓN PÚBLICA E INNOVACIÓN;DERECHOS HUMANOS Y DESARROLLO SOCIAL</v>
      </c>
    </row>
    <row r="33" spans="5:23">
      <c r="E33" s="104"/>
      <c r="J33" s="97"/>
      <c r="K33" s="97"/>
      <c r="L33" s="104">
        <f ca="1">IFERROR(__xludf.DUMMYFUNCTION("""COMPUTED_VALUE"""),137)</f>
        <v>137</v>
      </c>
      <c r="M33" s="20">
        <f ca="1">IFERROR(__xludf.DUMMYFUNCTION("""COMPUTED_VALUE"""),2020)</f>
        <v>2020</v>
      </c>
      <c r="N33" s="20" t="str">
        <f ca="1">IFERROR(__xludf.DUMMYFUNCTION("""COMPUTED_VALUE"""),"VIRTUAL")</f>
        <v>VIRTUAL</v>
      </c>
      <c r="O33" s="96">
        <f ca="1">IFERROR(__xludf.DUMMYFUNCTION("""COMPUTED_VALUE"""),44083)</f>
        <v>44083</v>
      </c>
      <c r="P33" s="20" t="str">
        <f ca="1">IFERROR(__xludf.DUMMYFUNCTION("""COMPUTED_VALUE"""),"NO")</f>
        <v>NO</v>
      </c>
      <c r="Q33" s="105" t="str">
        <f ca="1">IFERROR(__xludf.DUMMYFUNCTION("""COMPUTED_VALUE"""),"EQUIDAD Y LUCHA CONTRA LA VIOLENCIA DE GÉNERO")</f>
        <v>EQUIDAD Y LUCHA CONTRA LA VIOLENCIA DE GÉNERO</v>
      </c>
      <c r="W33" s="105"/>
    </row>
    <row r="34" spans="5:23">
      <c r="E34" s="104"/>
      <c r="J34" s="97"/>
      <c r="K34" s="97"/>
      <c r="L34" s="104">
        <f ca="1">IFERROR(__xludf.DUMMYFUNCTION("""COMPUTED_VALUE"""),149)</f>
        <v>149</v>
      </c>
      <c r="M34" s="20">
        <f ca="1">IFERROR(__xludf.DUMMYFUNCTION("""COMPUTED_VALUE"""),2020)</f>
        <v>2020</v>
      </c>
      <c r="N34" s="20" t="str">
        <f ca="1">IFERROR(__xludf.DUMMYFUNCTION("""COMPUTED_VALUE"""),"VIRTUAL")</f>
        <v>VIRTUAL</v>
      </c>
      <c r="O34" s="96">
        <f ca="1">IFERROR(__xludf.DUMMYFUNCTION("""COMPUTED_VALUE"""),44096)</f>
        <v>44096</v>
      </c>
      <c r="P34" s="20" t="str">
        <f ca="1">IFERROR(__xludf.DUMMYFUNCTION("""COMPUTED_VALUE"""),"SI")</f>
        <v>SI</v>
      </c>
      <c r="Q34" s="105" t="str">
        <f ca="1">IFERROR(__xludf.DUMMYFUNCTION("""COMPUTED_VALUE"""),"EDUCACIÓN, CULTURA, CIENCIA, TECNOLOGÍA E INFORMÁTICA;SERVICIOS PÚBLICOS")</f>
        <v>EDUCACIÓN, CULTURA, CIENCIA, TECNOLOGÍA E INFORMÁTICA;SERVICIOS PÚBLICOS</v>
      </c>
      <c r="W34" s="105"/>
    </row>
    <row r="35" spans="5:23">
      <c r="E35" s="104"/>
      <c r="J35" s="97"/>
      <c r="K35" s="97"/>
      <c r="L35" s="104">
        <f ca="1">IFERROR(__xludf.DUMMYFUNCTION("""COMPUTED_VALUE"""),152)</f>
        <v>152</v>
      </c>
      <c r="M35" s="20">
        <f ca="1">IFERROR(__xludf.DUMMYFUNCTION("""COMPUTED_VALUE"""),2020)</f>
        <v>2020</v>
      </c>
      <c r="N35" s="20" t="str">
        <f ca="1">IFERROR(__xludf.DUMMYFUNCTION("""COMPUTED_VALUE"""),"VIRTUAL")</f>
        <v>VIRTUAL</v>
      </c>
      <c r="O35" s="96">
        <f ca="1">IFERROR(__xludf.DUMMYFUNCTION("""COMPUTED_VALUE"""),44098)</f>
        <v>44098</v>
      </c>
      <c r="P35" s="20" t="str">
        <f ca="1">IFERROR(__xludf.DUMMYFUNCTION("""COMPUTED_VALUE"""),"SI")</f>
        <v>SI</v>
      </c>
      <c r="Q35" s="105" t="str">
        <f ca="1">IFERROR(__xludf.DUMMYFUNCTION("""COMPUTED_VALUE"""),"INDUSTRIA Y MINERÍA;PROMOCIÓN Y DESARROLLO DE ECONOMÍAS REGIONALES Y PYMES")</f>
        <v>INDUSTRIA Y MINERÍA;PROMOCIÓN Y DESARROLLO DE ECONOMÍAS REGIONALES Y PYMES</v>
      </c>
      <c r="W35" s="105"/>
    </row>
    <row r="36" spans="5:23">
      <c r="E36" s="104"/>
      <c r="J36" s="97"/>
      <c r="K36" s="97"/>
      <c r="L36" s="104">
        <f ca="1">IFERROR(__xludf.DUMMYFUNCTION("""COMPUTED_VALUE"""),154)</f>
        <v>154</v>
      </c>
      <c r="M36" s="20">
        <f ca="1">IFERROR(__xludf.DUMMYFUNCTION("""COMPUTED_VALUE"""),2020)</f>
        <v>2020</v>
      </c>
      <c r="N36" s="20" t="str">
        <f ca="1">IFERROR(__xludf.DUMMYFUNCTION("""COMPUTED_VALUE"""),"VIRTUAL")</f>
        <v>VIRTUAL</v>
      </c>
      <c r="O36" s="96">
        <f ca="1">IFERROR(__xludf.DUMMYFUNCTION("""COMPUTED_VALUE"""),44103)</f>
        <v>44103</v>
      </c>
      <c r="P36" s="20" t="str">
        <f ca="1">IFERROR(__xludf.DUMMYFUNCTION("""COMPUTED_VALUE"""),"NO")</f>
        <v>NO</v>
      </c>
      <c r="Q36" s="105" t="str">
        <f ca="1">IFERROR(__xludf.DUMMYFUNCTION("""COMPUTED_VALUE"""),"EDUCACIÓN, CULTURA, CIENCIA, TECNOLOGÍA E INFORMÁTICA")</f>
        <v>EDUCACIÓN, CULTURA, CIENCIA, TECNOLOGÍA E INFORMÁTICA</v>
      </c>
      <c r="W36" s="105"/>
    </row>
    <row r="37" spans="5:23">
      <c r="E37" s="104"/>
      <c r="J37" s="97"/>
      <c r="K37" s="97"/>
      <c r="L37" s="104">
        <f ca="1">IFERROR(__xludf.DUMMYFUNCTION("""COMPUTED_VALUE"""),155)</f>
        <v>155</v>
      </c>
      <c r="M37" s="20">
        <f ca="1">IFERROR(__xludf.DUMMYFUNCTION("""COMPUTED_VALUE"""),2020)</f>
        <v>2020</v>
      </c>
      <c r="N37" s="20" t="str">
        <f ca="1">IFERROR(__xludf.DUMMYFUNCTION("""COMPUTED_VALUE"""),"VIRTUAL")</f>
        <v>VIRTUAL</v>
      </c>
      <c r="O37" s="96">
        <f ca="1">IFERROR(__xludf.DUMMYFUNCTION("""COMPUTED_VALUE"""),44105)</f>
        <v>44105</v>
      </c>
      <c r="P37" s="20" t="str">
        <f ca="1">IFERROR(__xludf.DUMMYFUNCTION("""COMPUTED_VALUE"""),"NO")</f>
        <v>NO</v>
      </c>
      <c r="Q37" s="105" t="str">
        <f ca="1">IFERROR(__xludf.DUMMYFUNCTION("""COMPUTED_VALUE"""),"EQUIDAD Y LUCHA CONTRA LA VIOLENCIA DE GÉNERO")</f>
        <v>EQUIDAD Y LUCHA CONTRA LA VIOLENCIA DE GÉNERO</v>
      </c>
      <c r="W37" s="105"/>
    </row>
    <row r="38" spans="5:23">
      <c r="E38" s="104"/>
      <c r="J38" s="97"/>
      <c r="K38" s="97"/>
      <c r="L38" s="104">
        <f ca="1">IFERROR(__xludf.DUMMYFUNCTION("""COMPUTED_VALUE"""),158)</f>
        <v>158</v>
      </c>
      <c r="M38" s="20">
        <f ca="1">IFERROR(__xludf.DUMMYFUNCTION("""COMPUTED_VALUE"""),2020)</f>
        <v>2020</v>
      </c>
      <c r="N38" s="20" t="str">
        <f ca="1">IFERROR(__xludf.DUMMYFUNCTION("""COMPUTED_VALUE"""),"VIRTUAL")</f>
        <v>VIRTUAL</v>
      </c>
      <c r="O38" s="96">
        <f ca="1">IFERROR(__xludf.DUMMYFUNCTION("""COMPUTED_VALUE"""),44110)</f>
        <v>44110</v>
      </c>
      <c r="P38" s="20" t="str">
        <f ca="1">IFERROR(__xludf.DUMMYFUNCTION("""COMPUTED_VALUE"""),"SI")</f>
        <v>SI</v>
      </c>
      <c r="Q38" s="105" t="str">
        <f ca="1">IFERROR(__xludf.DUMMYFUNCTION("""COMPUTED_VALUE"""),"ASUNTOS INSTITUCIONALES, MUNICIPALES Y COMUNALES;LEGISLACIÓN GENERAL")</f>
        <v>ASUNTOS INSTITUCIONALES, MUNICIPALES Y COMUNALES;LEGISLACIÓN GENERAL</v>
      </c>
      <c r="W38" s="105"/>
    </row>
    <row r="39" spans="5:23">
      <c r="E39" s="104"/>
      <c r="J39" s="97"/>
      <c r="K39" s="97"/>
      <c r="L39" s="104">
        <f ca="1">IFERROR(__xludf.DUMMYFUNCTION("""COMPUTED_VALUE"""),160)</f>
        <v>160</v>
      </c>
      <c r="M39" s="20">
        <f ca="1">IFERROR(__xludf.DUMMYFUNCTION("""COMPUTED_VALUE"""),2020)</f>
        <v>2020</v>
      </c>
      <c r="N39" s="20" t="str">
        <f ca="1">IFERROR(__xludf.DUMMYFUNCTION("""COMPUTED_VALUE"""),"VIRTUAL")</f>
        <v>VIRTUAL</v>
      </c>
      <c r="O39" s="96">
        <f ca="1">IFERROR(__xludf.DUMMYFUNCTION("""COMPUTED_VALUE"""),44112)</f>
        <v>44112</v>
      </c>
      <c r="P39" s="20" t="str">
        <f ca="1">IFERROR(__xludf.DUMMYFUNCTION("""COMPUTED_VALUE"""),"SI")</f>
        <v>SI</v>
      </c>
      <c r="Q39" s="105" t="str">
        <f ca="1">IFERROR(__xludf.DUMMYFUNCTION("""COMPUTED_VALUE"""),"LEGISLACIÓN DEL TRABAJO, PREVISIÓN Y SEGURIDAD SOCIAL;ASUNTOS CONSTITUCIONALES, JUSTICIA Y ACUERDOS")</f>
        <v>LEGISLACIÓN DEL TRABAJO, PREVISIÓN Y SEGURIDAD SOCIAL;ASUNTOS CONSTITUCIONALES, JUSTICIA Y ACUERDOS</v>
      </c>
      <c r="W39" s="105"/>
    </row>
    <row r="40" spans="5:23">
      <c r="E40" s="104"/>
      <c r="J40" s="97"/>
      <c r="K40" s="97"/>
      <c r="L40" s="104">
        <f ca="1">IFERROR(__xludf.DUMMYFUNCTION("""COMPUTED_VALUE"""),161)</f>
        <v>161</v>
      </c>
      <c r="M40" s="20">
        <f ca="1">IFERROR(__xludf.DUMMYFUNCTION("""COMPUTED_VALUE"""),2020)</f>
        <v>2020</v>
      </c>
      <c r="N40" s="20" t="str">
        <f ca="1">IFERROR(__xludf.DUMMYFUNCTION("""COMPUTED_VALUE"""),"VIRTUAL")</f>
        <v>VIRTUAL</v>
      </c>
      <c r="O40" s="96">
        <f ca="1">IFERROR(__xludf.DUMMYFUNCTION("""COMPUTED_VALUE"""),44112)</f>
        <v>44112</v>
      </c>
      <c r="P40" s="20" t="str">
        <f ca="1">IFERROR(__xludf.DUMMYFUNCTION("""COMPUTED_VALUE"""),"NO")</f>
        <v>NO</v>
      </c>
      <c r="Q40" s="105" t="str">
        <f ca="1">IFERROR(__xludf.DUMMYFUNCTION("""COMPUTED_VALUE"""),"RELACIONES INTERNACIONALES, MERCOSUR Y COMERCIO EXTERIOR")</f>
        <v>RELACIONES INTERNACIONALES, MERCOSUR Y COMERCIO EXTERIOR</v>
      </c>
      <c r="W40" s="105"/>
    </row>
    <row r="41" spans="5:23">
      <c r="E41" s="104"/>
      <c r="J41" s="97"/>
      <c r="K41" s="97"/>
      <c r="L41" s="104">
        <f ca="1">IFERROR(__xludf.DUMMYFUNCTION("""COMPUTED_VALUE"""),162)</f>
        <v>162</v>
      </c>
      <c r="M41" s="20">
        <f ca="1">IFERROR(__xludf.DUMMYFUNCTION("""COMPUTED_VALUE"""),2020)</f>
        <v>2020</v>
      </c>
      <c r="N41" s="20" t="str">
        <f ca="1">IFERROR(__xludf.DUMMYFUNCTION("""COMPUTED_VALUE"""),"VIRTUAL")</f>
        <v>VIRTUAL</v>
      </c>
      <c r="O41" s="96">
        <f ca="1">IFERROR(__xludf.DUMMYFUNCTION("""COMPUTED_VALUE"""),44117)</f>
        <v>44117</v>
      </c>
      <c r="P41" s="20" t="str">
        <f ca="1">IFERROR(__xludf.DUMMYFUNCTION("""COMPUTED_VALUE"""),"NO")</f>
        <v>NO</v>
      </c>
      <c r="Q41" s="105" t="str">
        <f ca="1">IFERROR(__xludf.DUMMYFUNCTION("""COMPUTED_VALUE"""),"SALUD HUMANA")</f>
        <v>SALUD HUMANA</v>
      </c>
      <c r="W41" s="105"/>
    </row>
    <row r="42" spans="5:23">
      <c r="E42" s="104"/>
      <c r="J42" s="97"/>
      <c r="K42" s="97"/>
      <c r="L42" s="104">
        <f ca="1">IFERROR(__xludf.DUMMYFUNCTION("""COMPUTED_VALUE"""),167)</f>
        <v>167</v>
      </c>
      <c r="M42" s="20">
        <f ca="1">IFERROR(__xludf.DUMMYFUNCTION("""COMPUTED_VALUE"""),2020)</f>
        <v>2020</v>
      </c>
      <c r="N42" s="20" t="str">
        <f ca="1">IFERROR(__xludf.DUMMYFUNCTION("""COMPUTED_VALUE"""),"VIRTUAL")</f>
        <v>VIRTUAL</v>
      </c>
      <c r="O42" s="96">
        <f ca="1">IFERROR(__xludf.DUMMYFUNCTION("""COMPUTED_VALUE"""),44119)</f>
        <v>44119</v>
      </c>
      <c r="P42" s="20" t="str">
        <f ca="1">IFERROR(__xludf.DUMMYFUNCTION("""COMPUTED_VALUE"""),"NO")</f>
        <v>NO</v>
      </c>
      <c r="Q42" s="105" t="str">
        <f ca="1">IFERROR(__xludf.DUMMYFUNCTION("""COMPUTED_VALUE"""),"PROMOCIÓN Y DEFENSA DE LOS DERECHOS DE LA NIÑEZ, ADOLESCENCIA Y FAMILIA")</f>
        <v>PROMOCIÓN Y DEFENSA DE LOS DERECHOS DE LA NIÑEZ, ADOLESCENCIA Y FAMILIA</v>
      </c>
      <c r="W42" s="105"/>
    </row>
    <row r="43" spans="5:23">
      <c r="E43" s="104"/>
      <c r="J43" s="97"/>
      <c r="K43" s="97"/>
      <c r="L43" s="104">
        <f ca="1">IFERROR(__xludf.DUMMYFUNCTION("""COMPUTED_VALUE"""),168)</f>
        <v>168</v>
      </c>
      <c r="M43" s="20">
        <f ca="1">IFERROR(__xludf.DUMMYFUNCTION("""COMPUTED_VALUE"""),2020)</f>
        <v>2020</v>
      </c>
      <c r="N43" s="20" t="str">
        <f ca="1">IFERROR(__xludf.DUMMYFUNCTION("""COMPUTED_VALUE"""),"VIRTUAL")</f>
        <v>VIRTUAL</v>
      </c>
      <c r="O43" s="96">
        <f ca="1">IFERROR(__xludf.DUMMYFUNCTION("""COMPUTED_VALUE"""),44124)</f>
        <v>44124</v>
      </c>
      <c r="P43" s="20" t="str">
        <f ca="1">IFERROR(__xludf.DUMMYFUNCTION("""COMPUTED_VALUE"""),"SI")</f>
        <v>SI</v>
      </c>
      <c r="Q43" s="105" t="str">
        <f ca="1">IFERROR(__xludf.DUMMYFUNCTION("""COMPUTED_VALUE"""),"PROMOCIÓN Y DEFENSA DE LOS DERECHOS DE LA NIÑEZ, ADOLESCENCIA Y FAMILIA;LEGISLACIÓN GENERAL")</f>
        <v>PROMOCIÓN Y DEFENSA DE LOS DERECHOS DE LA NIÑEZ, ADOLESCENCIA Y FAMILIA;LEGISLACIÓN GENERAL</v>
      </c>
      <c r="W43" s="105"/>
    </row>
    <row r="44" spans="5:23">
      <c r="E44" s="104"/>
      <c r="J44" s="97"/>
      <c r="K44" s="97"/>
      <c r="L44" s="104">
        <f ca="1">IFERROR(__xludf.DUMMYFUNCTION("""COMPUTED_VALUE"""),172)</f>
        <v>172</v>
      </c>
      <c r="M44" s="20">
        <f ca="1">IFERROR(__xludf.DUMMYFUNCTION("""COMPUTED_VALUE"""),2020)</f>
        <v>2020</v>
      </c>
      <c r="N44" s="20" t="str">
        <f ca="1">IFERROR(__xludf.DUMMYFUNCTION("""COMPUTED_VALUE"""),"VIRTUAL")</f>
        <v>VIRTUAL</v>
      </c>
      <c r="O44" s="96">
        <f ca="1">IFERROR(__xludf.DUMMYFUNCTION("""COMPUTED_VALUE"""),44126)</f>
        <v>44126</v>
      </c>
      <c r="P44" s="20" t="str">
        <f ca="1">IFERROR(__xludf.DUMMYFUNCTION("""COMPUTED_VALUE"""),"NO")</f>
        <v>NO</v>
      </c>
      <c r="Q44" s="105" t="str">
        <f ca="1">IFERROR(__xludf.DUMMYFUNCTION("""COMPUTED_VALUE"""),"EQUIDAD Y LUCHA CONTRA LA VIOLENCIA DE GÉNERO")</f>
        <v>EQUIDAD Y LUCHA CONTRA LA VIOLENCIA DE GÉNERO</v>
      </c>
      <c r="W44" s="105"/>
    </row>
    <row r="45" spans="5:23">
      <c r="E45" s="104"/>
      <c r="J45" s="97"/>
      <c r="K45" s="97"/>
      <c r="L45" s="104">
        <f ca="1">IFERROR(__xludf.DUMMYFUNCTION("""COMPUTED_VALUE"""),173)</f>
        <v>173</v>
      </c>
      <c r="M45" s="20">
        <f ca="1">IFERROR(__xludf.DUMMYFUNCTION("""COMPUTED_VALUE"""),2020)</f>
        <v>2020</v>
      </c>
      <c r="N45" s="20" t="str">
        <f ca="1">IFERROR(__xludf.DUMMYFUNCTION("""COMPUTED_VALUE"""),"VIRTUAL")</f>
        <v>VIRTUAL</v>
      </c>
      <c r="O45" s="96">
        <f ca="1">IFERROR(__xludf.DUMMYFUNCTION("""COMPUTED_VALUE"""),44126)</f>
        <v>44126</v>
      </c>
      <c r="P45" s="20" t="str">
        <f ca="1">IFERROR(__xludf.DUMMYFUNCTION("""COMPUTED_VALUE"""),"NO")</f>
        <v>NO</v>
      </c>
      <c r="Q45" s="105" t="str">
        <f ca="1">IFERROR(__xludf.DUMMYFUNCTION("""COMPUTED_VALUE"""),"TURISMO Y SU RELACIÓN CON EL DESARROLLO REGIONAL")</f>
        <v>TURISMO Y SU RELACIÓN CON EL DESARROLLO REGIONAL</v>
      </c>
      <c r="W45" s="105"/>
    </row>
    <row r="46" spans="5:23">
      <c r="E46" s="104"/>
      <c r="J46" s="97"/>
      <c r="K46" s="97"/>
      <c r="L46" s="104">
        <f ca="1">IFERROR(__xludf.DUMMYFUNCTION("""COMPUTED_VALUE"""),175)</f>
        <v>175</v>
      </c>
      <c r="M46" s="20">
        <f ca="1">IFERROR(__xludf.DUMMYFUNCTION("""COMPUTED_VALUE"""),2020)</f>
        <v>2020</v>
      </c>
      <c r="N46" s="20" t="str">
        <f ca="1">IFERROR(__xludf.DUMMYFUNCTION("""COMPUTED_VALUE"""),"VIRTUAL")</f>
        <v>VIRTUAL</v>
      </c>
      <c r="O46" s="96">
        <f ca="1">IFERROR(__xludf.DUMMYFUNCTION("""COMPUTED_VALUE"""),44131)</f>
        <v>44131</v>
      </c>
      <c r="P46" s="20" t="str">
        <f ca="1">IFERROR(__xludf.DUMMYFUNCTION("""COMPUTED_VALUE"""),"SI")</f>
        <v>SI</v>
      </c>
      <c r="Q46" s="105" t="str">
        <f ca="1">IFERROR(__xludf.DUMMYFUNCTION("""COMPUTED_VALUE"""),"EQUIDAD Y LUCHA CONTRA LA VIOLENCIA DE GÉNERO;LEGISLACIÓN GENERAL")</f>
        <v>EQUIDAD Y LUCHA CONTRA LA VIOLENCIA DE GÉNERO;LEGISLACIÓN GENERAL</v>
      </c>
      <c r="W46" s="105"/>
    </row>
    <row r="47" spans="5:23">
      <c r="E47" s="104"/>
      <c r="J47" s="97"/>
      <c r="K47" s="97"/>
      <c r="L47" s="104">
        <f ca="1">IFERROR(__xludf.DUMMYFUNCTION("""COMPUTED_VALUE"""),176)</f>
        <v>176</v>
      </c>
      <c r="M47" s="20">
        <f ca="1">IFERROR(__xludf.DUMMYFUNCTION("""COMPUTED_VALUE"""),2020)</f>
        <v>2020</v>
      </c>
      <c r="N47" s="20" t="str">
        <f ca="1">IFERROR(__xludf.DUMMYFUNCTION("""COMPUTED_VALUE"""),"VIRTUAL")</f>
        <v>VIRTUAL</v>
      </c>
      <c r="O47" s="96">
        <f ca="1">IFERROR(__xludf.DUMMYFUNCTION("""COMPUTED_VALUE"""),44131)</f>
        <v>44131</v>
      </c>
      <c r="P47" s="20" t="str">
        <f ca="1">IFERROR(__xludf.DUMMYFUNCTION("""COMPUTED_VALUE"""),"NO")</f>
        <v>NO</v>
      </c>
      <c r="Q47" s="105" t="str">
        <f ca="1">IFERROR(__xludf.DUMMYFUNCTION("""COMPUTED_VALUE"""),"DEPORTES Y RECREACIÓN")</f>
        <v>DEPORTES Y RECREACIÓN</v>
      </c>
      <c r="W47" s="105"/>
    </row>
    <row r="48" spans="5:23">
      <c r="E48" s="104"/>
      <c r="J48" s="97"/>
      <c r="K48" s="97"/>
      <c r="L48" s="104">
        <f ca="1">IFERROR(__xludf.DUMMYFUNCTION("""COMPUTED_VALUE"""),178)</f>
        <v>178</v>
      </c>
      <c r="M48" s="20">
        <f ca="1">IFERROR(__xludf.DUMMYFUNCTION("""COMPUTED_VALUE"""),2020)</f>
        <v>2020</v>
      </c>
      <c r="N48" s="20" t="str">
        <f ca="1">IFERROR(__xludf.DUMMYFUNCTION("""COMPUTED_VALUE"""),"VIRTUAL")</f>
        <v>VIRTUAL</v>
      </c>
      <c r="O48" s="96">
        <f ca="1">IFERROR(__xludf.DUMMYFUNCTION("""COMPUTED_VALUE"""),44133)</f>
        <v>44133</v>
      </c>
      <c r="P48" s="20" t="str">
        <f ca="1">IFERROR(__xludf.DUMMYFUNCTION("""COMPUTED_VALUE"""),"NO")</f>
        <v>NO</v>
      </c>
      <c r="Q48" s="105" t="str">
        <f ca="1">IFERROR(__xludf.DUMMYFUNCTION("""COMPUTED_VALUE"""),"ECONOMÍA, PRESUPUESTO, GESTIÓN PÚBLICA E INNOVACIÓN")</f>
        <v>ECONOMÍA, PRESUPUESTO, GESTIÓN PÚBLICA E INNOVACIÓN</v>
      </c>
      <c r="W48" s="105"/>
    </row>
    <row r="49" spans="5:23">
      <c r="E49" s="104"/>
      <c r="J49" s="97"/>
      <c r="K49" s="97"/>
      <c r="L49" s="104">
        <f ca="1">IFERROR(__xludf.DUMMYFUNCTION("""COMPUTED_VALUE"""),188)</f>
        <v>188</v>
      </c>
      <c r="M49" s="20">
        <f ca="1">IFERROR(__xludf.DUMMYFUNCTION("""COMPUTED_VALUE"""),2020)</f>
        <v>2020</v>
      </c>
      <c r="N49" s="20" t="str">
        <f ca="1">IFERROR(__xludf.DUMMYFUNCTION("""COMPUTED_VALUE"""),"VIRTUAL")</f>
        <v>VIRTUAL</v>
      </c>
      <c r="O49" s="96">
        <f ca="1">IFERROR(__xludf.DUMMYFUNCTION("""COMPUTED_VALUE"""),44145)</f>
        <v>44145</v>
      </c>
      <c r="P49" s="20" t="str">
        <f ca="1">IFERROR(__xludf.DUMMYFUNCTION("""COMPUTED_VALUE"""),"SI")</f>
        <v>SI</v>
      </c>
      <c r="Q49" s="105" t="str">
        <f ca="1">IFERROR(__xludf.DUMMYFUNCTION("""COMPUTED_VALUE"""),"ECONOMÍA, PRESUPUESTO, GESTIÓN PÚBLICA E INNOVACIÓN;LEGISLACIÓN GENERAL")</f>
        <v>ECONOMÍA, PRESUPUESTO, GESTIÓN PÚBLICA E INNOVACIÓN;LEGISLACIÓN GENERAL</v>
      </c>
      <c r="W49" s="105"/>
    </row>
    <row r="50" spans="5:23">
      <c r="E50" s="104"/>
      <c r="J50" s="97"/>
      <c r="K50" s="97"/>
      <c r="L50" s="104">
        <f ca="1">IFERROR(__xludf.DUMMYFUNCTION("""COMPUTED_VALUE"""),190)</f>
        <v>190</v>
      </c>
      <c r="M50" s="20">
        <f ca="1">IFERROR(__xludf.DUMMYFUNCTION("""COMPUTED_VALUE"""),2020)</f>
        <v>2020</v>
      </c>
      <c r="N50" s="20" t="str">
        <f ca="1">IFERROR(__xludf.DUMMYFUNCTION("""COMPUTED_VALUE"""),"VIRTUAL")</f>
        <v>VIRTUAL</v>
      </c>
      <c r="O50" s="96">
        <f ca="1">IFERROR(__xludf.DUMMYFUNCTION("""COMPUTED_VALUE"""),44147)</f>
        <v>44147</v>
      </c>
      <c r="P50" s="20" t="str">
        <f ca="1">IFERROR(__xludf.DUMMYFUNCTION("""COMPUTED_VALUE"""),"SI")</f>
        <v>SI</v>
      </c>
      <c r="Q50" s="105" t="str">
        <f ca="1">IFERROR(__xludf.DUMMYFUNCTION("""COMPUTED_VALUE"""),"SERVICIOS PÚBLICOS;ASUNTOS INSTITUCIONALES, MUNICIPALES Y COMUNALES")</f>
        <v>SERVICIOS PÚBLICOS;ASUNTOS INSTITUCIONALES, MUNICIPALES Y COMUNALES</v>
      </c>
      <c r="W50" s="105"/>
    </row>
    <row r="51" spans="5:23">
      <c r="E51" s="104"/>
      <c r="J51" s="97"/>
      <c r="K51" s="97"/>
      <c r="L51" s="104">
        <f ca="1">IFERROR(__xludf.DUMMYFUNCTION("""COMPUTED_VALUE"""),192)</f>
        <v>192</v>
      </c>
      <c r="M51" s="20">
        <f ca="1">IFERROR(__xludf.DUMMYFUNCTION("""COMPUTED_VALUE"""),2020)</f>
        <v>2020</v>
      </c>
      <c r="N51" s="20" t="str">
        <f ca="1">IFERROR(__xludf.DUMMYFUNCTION("""COMPUTED_VALUE"""),"VIRTUAL")</f>
        <v>VIRTUAL</v>
      </c>
      <c r="O51" s="96">
        <f ca="1">IFERROR(__xludf.DUMMYFUNCTION("""COMPUTED_VALUE"""),44147)</f>
        <v>44147</v>
      </c>
      <c r="P51" s="20" t="str">
        <f ca="1">IFERROR(__xludf.DUMMYFUNCTION("""COMPUTED_VALUE"""),"NO")</f>
        <v>NO</v>
      </c>
      <c r="Q51" s="105" t="str">
        <f ca="1">IFERROR(__xludf.DUMMYFUNCTION("""COMPUTED_VALUE"""),"PREVENCIÓN, TRATAMIENTO Y CONTROL DE LAS ADICCIONES")</f>
        <v>PREVENCIÓN, TRATAMIENTO Y CONTROL DE LAS ADICCIONES</v>
      </c>
      <c r="W51" s="105"/>
    </row>
    <row r="52" spans="5:23">
      <c r="E52" s="104"/>
      <c r="J52" s="97"/>
      <c r="K52" s="97"/>
      <c r="L52" s="104">
        <f ca="1">IFERROR(__xludf.DUMMYFUNCTION("""COMPUTED_VALUE"""),198)</f>
        <v>198</v>
      </c>
      <c r="M52" s="20">
        <f ca="1">IFERROR(__xludf.DUMMYFUNCTION("""COMPUTED_VALUE"""),2020)</f>
        <v>2020</v>
      </c>
      <c r="N52" s="20" t="str">
        <f ca="1">IFERROR(__xludf.DUMMYFUNCTION("""COMPUTED_VALUE"""),"VIRTUAL")</f>
        <v>VIRTUAL</v>
      </c>
      <c r="O52" s="96">
        <f ca="1">IFERROR(__xludf.DUMMYFUNCTION("""COMPUTED_VALUE"""),44154)</f>
        <v>44154</v>
      </c>
      <c r="P52" s="20" t="str">
        <f ca="1">IFERROR(__xludf.DUMMYFUNCTION("""COMPUTED_VALUE"""),"SI")</f>
        <v>SI</v>
      </c>
      <c r="Q52" s="105"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W52" s="105"/>
    </row>
    <row r="53" spans="5:23">
      <c r="E53" s="104"/>
      <c r="J53" s="97"/>
      <c r="K53" s="97"/>
      <c r="L53" s="104">
        <f ca="1">IFERROR(__xludf.DUMMYFUNCTION("""COMPUTED_VALUE"""),211)</f>
        <v>211</v>
      </c>
      <c r="M53" s="20">
        <f ca="1">IFERROR(__xludf.DUMMYFUNCTION("""COMPUTED_VALUE"""),2020)</f>
        <v>2020</v>
      </c>
      <c r="N53" s="20" t="str">
        <f ca="1">IFERROR(__xludf.DUMMYFUNCTION("""COMPUTED_VALUE"""),"VIRTUAL")</f>
        <v>VIRTUAL</v>
      </c>
      <c r="O53" s="96">
        <f ca="1">IFERROR(__xludf.DUMMYFUNCTION("""COMPUTED_VALUE"""),44168)</f>
        <v>44168</v>
      </c>
      <c r="P53" s="20" t="str">
        <f ca="1">IFERROR(__xludf.DUMMYFUNCTION("""COMPUTED_VALUE"""),"SI")</f>
        <v>SI</v>
      </c>
      <c r="Q53" s="105" t="str">
        <f ca="1">IFERROR(__xludf.DUMMYFUNCTION("""COMPUTED_VALUE"""),"ASUNTOS CONSTITUCIONALES, JUSTICIA Y ACUERDOS;LEGISLACIÓN GENERAL")</f>
        <v>ASUNTOS CONSTITUCIONALES, JUSTICIA Y ACUERDOS;LEGISLACIÓN GENERAL</v>
      </c>
      <c r="W53" s="105"/>
    </row>
    <row r="54" spans="5:23">
      <c r="E54" s="104"/>
      <c r="J54" s="97"/>
      <c r="K54" s="97"/>
      <c r="L54" s="104">
        <f ca="1">IFERROR(__xludf.DUMMYFUNCTION("""COMPUTED_VALUE"""),213)</f>
        <v>213</v>
      </c>
      <c r="M54" s="20">
        <f ca="1">IFERROR(__xludf.DUMMYFUNCTION("""COMPUTED_VALUE"""),2020)</f>
        <v>2020</v>
      </c>
      <c r="N54" s="20" t="str">
        <f ca="1">IFERROR(__xludf.DUMMYFUNCTION("""COMPUTED_VALUE"""),"VIRTUAL")</f>
        <v>VIRTUAL</v>
      </c>
      <c r="O54" s="96">
        <f ca="1">IFERROR(__xludf.DUMMYFUNCTION("""COMPUTED_VALUE"""),44168)</f>
        <v>44168</v>
      </c>
      <c r="P54" s="20" t="str">
        <f ca="1">IFERROR(__xludf.DUMMYFUNCTION("""COMPUTED_VALUE"""),"NO")</f>
        <v>NO</v>
      </c>
      <c r="Q54" s="105" t="str">
        <f ca="1">IFERROR(__xludf.DUMMYFUNCTION("""COMPUTED_VALUE"""),"DERECHOS HUMANOS Y DESARROLLO SOCIAL")</f>
        <v>DERECHOS HUMANOS Y DESARROLLO SOCIAL</v>
      </c>
      <c r="W54" s="105"/>
    </row>
    <row r="55" spans="5:23">
      <c r="E55" s="104"/>
      <c r="J55" s="97"/>
      <c r="K55" s="97"/>
      <c r="L55" s="104">
        <f ca="1">IFERROR(__xludf.DUMMYFUNCTION("""COMPUTED_VALUE"""),214)</f>
        <v>214</v>
      </c>
      <c r="M55" s="20">
        <f ca="1">IFERROR(__xludf.DUMMYFUNCTION("""COMPUTED_VALUE"""),2020)</f>
        <v>2020</v>
      </c>
      <c r="N55" s="20" t="str">
        <f ca="1">IFERROR(__xludf.DUMMYFUNCTION("""COMPUTED_VALUE"""),"VIRTUAL")</f>
        <v>VIRTUAL</v>
      </c>
      <c r="O55" s="96">
        <f ca="1">IFERROR(__xludf.DUMMYFUNCTION("""COMPUTED_VALUE"""),44168)</f>
        <v>44168</v>
      </c>
      <c r="P55" s="20" t="str">
        <f ca="1">IFERROR(__xludf.DUMMYFUNCTION("""COMPUTED_VALUE"""),"SI")</f>
        <v>SI</v>
      </c>
      <c r="Q55" s="105" t="str">
        <f ca="1">IFERROR(__xludf.DUMMYFUNCTION("""COMPUTED_VALUE"""),"ECONOMÍA, PRESUPUESTO, GESTIÓN PÚBLICA E INNOVACIÓN;LEGISLACIÓN GENERAL;ASUNTOS CONSTITUCIONALES, JUSTICIA Y ACUERDOS")</f>
        <v>ECONOMÍA, PRESUPUESTO, GESTIÓN PÚBLICA E INNOVACIÓN;LEGISLACIÓN GENERAL;ASUNTOS CONSTITUCIONALES, JUSTICIA Y ACUERDOS</v>
      </c>
      <c r="W55" s="105"/>
    </row>
    <row r="56" spans="5:23">
      <c r="E56" s="104"/>
      <c r="J56" s="97"/>
      <c r="K56" s="97"/>
      <c r="L56" s="104">
        <f ca="1">IFERROR(__xludf.DUMMYFUNCTION("""COMPUTED_VALUE"""),218)</f>
        <v>218</v>
      </c>
      <c r="M56" s="20">
        <f ca="1">IFERROR(__xludf.DUMMYFUNCTION("""COMPUTED_VALUE"""),2020)</f>
        <v>2020</v>
      </c>
      <c r="N56" s="20" t="str">
        <f ca="1">IFERROR(__xludf.DUMMYFUNCTION("""COMPUTED_VALUE"""),"VIRTUAL")</f>
        <v>VIRTUAL</v>
      </c>
      <c r="O56" s="96">
        <f ca="1">IFERROR(__xludf.DUMMYFUNCTION("""COMPUTED_VALUE"""),44175)</f>
        <v>44175</v>
      </c>
      <c r="P56" s="20" t="str">
        <f ca="1">IFERROR(__xludf.DUMMYFUNCTION("""COMPUTED_VALUE"""),"SI")</f>
        <v>SI</v>
      </c>
      <c r="Q56" s="105" t="str">
        <f ca="1">IFERROR(__xludf.DUMMYFUNCTION("""COMPUTED_VALUE"""),"ASUNTOS CONSTITUCIONALES, JUSTICIA Y ACUERDOS;LEGISLACIÓN GENERAL")</f>
        <v>ASUNTOS CONSTITUCIONALES, JUSTICIA Y ACUERDOS;LEGISLACIÓN GENERAL</v>
      </c>
      <c r="W56" s="105"/>
    </row>
    <row r="57" spans="5:23">
      <c r="E57" s="104"/>
      <c r="J57" s="97"/>
      <c r="K57" s="97"/>
      <c r="L57" s="104">
        <f ca="1">IFERROR(__xludf.DUMMYFUNCTION("""COMPUTED_VALUE"""),221)</f>
        <v>221</v>
      </c>
      <c r="M57" s="20">
        <f ca="1">IFERROR(__xludf.DUMMYFUNCTION("""COMPUTED_VALUE"""),2020)</f>
        <v>2020</v>
      </c>
      <c r="N57" s="20" t="str">
        <f ca="1">IFERROR(__xludf.DUMMYFUNCTION("""COMPUTED_VALUE"""),"VIRTUAL")</f>
        <v>VIRTUAL</v>
      </c>
      <c r="O57" s="96">
        <f ca="1">IFERROR(__xludf.DUMMYFUNCTION("""COMPUTED_VALUE"""),44180)</f>
        <v>44180</v>
      </c>
      <c r="P57" s="20" t="str">
        <f ca="1">IFERROR(__xludf.DUMMYFUNCTION("""COMPUTED_VALUE"""),"NO")</f>
        <v>NO</v>
      </c>
      <c r="Q57" s="105" t="str">
        <f ca="1">IFERROR(__xludf.DUMMYFUNCTION("""COMPUTED_VALUE"""),"DEPORTES Y RECREACIÓN")</f>
        <v>DEPORTES Y RECREACIÓN</v>
      </c>
      <c r="W57" s="105"/>
    </row>
    <row r="58" spans="5:23">
      <c r="E58" s="104"/>
      <c r="J58" s="97"/>
      <c r="K58" s="97"/>
      <c r="L58" s="104">
        <f ca="1">IFERROR(__xludf.DUMMYFUNCTION("""COMPUTED_VALUE"""),223)</f>
        <v>223</v>
      </c>
      <c r="M58" s="20">
        <f ca="1">IFERROR(__xludf.DUMMYFUNCTION("""COMPUTED_VALUE"""),2020)</f>
        <v>2020</v>
      </c>
      <c r="N58" s="20" t="str">
        <f ca="1">IFERROR(__xludf.DUMMYFUNCTION("""COMPUTED_VALUE"""),"VIRTUAL")</f>
        <v>VIRTUAL</v>
      </c>
      <c r="O58" s="96">
        <f ca="1">IFERROR(__xludf.DUMMYFUNCTION("""COMPUTED_VALUE"""),44181)</f>
        <v>44181</v>
      </c>
      <c r="P58" s="20" t="str">
        <f ca="1">IFERROR(__xludf.DUMMYFUNCTION("""COMPUTED_VALUE"""),"NO")</f>
        <v>NO</v>
      </c>
      <c r="Q58" s="105" t="str">
        <f ca="1">IFERROR(__xludf.DUMMYFUNCTION("""COMPUTED_VALUE"""),"DERECHOS HUMANOS Y DESARROLLO SOCIAL")</f>
        <v>DERECHOS HUMANOS Y DESARROLLO SOCIAL</v>
      </c>
      <c r="W58" s="105"/>
    </row>
    <row r="59" spans="5:23">
      <c r="E59" s="104"/>
      <c r="J59" s="97"/>
      <c r="K59" s="97"/>
      <c r="L59" s="104">
        <f ca="1">IFERROR(__xludf.DUMMYFUNCTION("""COMPUTED_VALUE"""),225)</f>
        <v>225</v>
      </c>
      <c r="M59" s="20">
        <f ca="1">IFERROR(__xludf.DUMMYFUNCTION("""COMPUTED_VALUE"""),2020)</f>
        <v>2020</v>
      </c>
      <c r="N59" s="20" t="str">
        <f ca="1">IFERROR(__xludf.DUMMYFUNCTION("""COMPUTED_VALUE"""),"VIRTUAL")</f>
        <v>VIRTUAL</v>
      </c>
      <c r="O59" s="96">
        <f ca="1">IFERROR(__xludf.DUMMYFUNCTION("""COMPUTED_VALUE"""),44182)</f>
        <v>44182</v>
      </c>
      <c r="P59" s="20" t="str">
        <f ca="1">IFERROR(__xludf.DUMMYFUNCTION("""COMPUTED_VALUE"""),"NO")</f>
        <v>NO</v>
      </c>
      <c r="Q59" s="105" t="str">
        <f ca="1">IFERROR(__xludf.DUMMYFUNCTION("""COMPUTED_VALUE"""),"OBRAS PÚBLICAS, VIVIENDA Y COMUNICACIONES")</f>
        <v>OBRAS PÚBLICAS, VIVIENDA Y COMUNICACIONES</v>
      </c>
      <c r="W59" s="105"/>
    </row>
    <row r="60" spans="5:23">
      <c r="E60" s="104"/>
      <c r="J60" s="97"/>
      <c r="K60" s="97"/>
      <c r="L60" s="104">
        <f ca="1">IFERROR(__xludf.DUMMYFUNCTION("""COMPUTED_VALUE"""),226)</f>
        <v>226</v>
      </c>
      <c r="M60" s="20">
        <f ca="1">IFERROR(__xludf.DUMMYFUNCTION("""COMPUTED_VALUE"""),2020)</f>
        <v>2020</v>
      </c>
      <c r="N60" s="20" t="str">
        <f ca="1">IFERROR(__xludf.DUMMYFUNCTION("""COMPUTED_VALUE"""),"VIRTUAL")</f>
        <v>VIRTUAL</v>
      </c>
      <c r="O60" s="96">
        <f ca="1">IFERROR(__xludf.DUMMYFUNCTION("""COMPUTED_VALUE"""),44182)</f>
        <v>44182</v>
      </c>
      <c r="P60" s="20" t="str">
        <f ca="1">IFERROR(__xludf.DUMMYFUNCTION("""COMPUTED_VALUE"""),"SI")</f>
        <v>SI</v>
      </c>
      <c r="Q60" s="105" t="str">
        <f ca="1">IFERROR(__xludf.DUMMYFUNCTION("""COMPUTED_VALUE"""),"ASUNTOS CONSTITUCIONALES, JUSTICIA Y ACUERDOS;LEGISLACIÓN GENERAL")</f>
        <v>ASUNTOS CONSTITUCIONALES, JUSTICIA Y ACUERDOS;LEGISLACIÓN GENERAL</v>
      </c>
      <c r="W60" s="105"/>
    </row>
    <row r="61" spans="5:23">
      <c r="E61" s="104"/>
      <c r="J61" s="97"/>
      <c r="K61" s="97"/>
      <c r="L61" s="104">
        <f ca="1">IFERROR(__xludf.DUMMYFUNCTION("""COMPUTED_VALUE"""),227)</f>
        <v>227</v>
      </c>
      <c r="M61" s="20">
        <f ca="1">IFERROR(__xludf.DUMMYFUNCTION("""COMPUTED_VALUE"""),2020)</f>
        <v>2020</v>
      </c>
      <c r="N61" s="20" t="str">
        <f ca="1">IFERROR(__xludf.DUMMYFUNCTION("""COMPUTED_VALUE"""),"VIRTUAL")</f>
        <v>VIRTUAL</v>
      </c>
      <c r="O61" s="96">
        <f ca="1">IFERROR(__xludf.DUMMYFUNCTION("""COMPUTED_VALUE"""),44182)</f>
        <v>44182</v>
      </c>
      <c r="P61" s="20" t="str">
        <f ca="1">IFERROR(__xludf.DUMMYFUNCTION("""COMPUTED_VALUE"""),"NO")</f>
        <v>NO</v>
      </c>
      <c r="Q61" s="105" t="str">
        <f ca="1">IFERROR(__xludf.DUMMYFUNCTION("""COMPUTED_VALUE"""),"EQUIDAD Y LUCHA CONTRA LA VIOLENCIA DE GÉNERO")</f>
        <v>EQUIDAD Y LUCHA CONTRA LA VIOLENCIA DE GÉNERO</v>
      </c>
      <c r="W61" s="105"/>
    </row>
    <row r="62" spans="5:23">
      <c r="E62" s="104"/>
      <c r="J62" s="97"/>
      <c r="K62" s="97"/>
      <c r="L62" s="104">
        <f ca="1">IFERROR(__xludf.DUMMYFUNCTION("""COMPUTED_VALUE"""),235)</f>
        <v>235</v>
      </c>
      <c r="M62" s="20">
        <f ca="1">IFERROR(__xludf.DUMMYFUNCTION("""COMPUTED_VALUE"""),2020)</f>
        <v>2020</v>
      </c>
      <c r="N62" s="20" t="str">
        <f ca="1">IFERROR(__xludf.DUMMYFUNCTION("""COMPUTED_VALUE"""),"VIRTUAL")</f>
        <v>VIRTUAL</v>
      </c>
      <c r="O62" s="96">
        <f ca="1">IFERROR(__xludf.DUMMYFUNCTION("""COMPUTED_VALUE"""),44194)</f>
        <v>44194</v>
      </c>
      <c r="P62" s="20" t="str">
        <f ca="1">IFERROR(__xludf.DUMMYFUNCTION("""COMPUTED_VALUE"""),"NO")</f>
        <v>NO</v>
      </c>
      <c r="Q62" s="105" t="str">
        <f ca="1">IFERROR(__xludf.DUMMYFUNCTION("""COMPUTED_VALUE"""),"DEPORTES Y RECREACIÓN")</f>
        <v>DEPORTES Y RECREACIÓN</v>
      </c>
      <c r="W62" s="105"/>
    </row>
    <row r="63" spans="5:23">
      <c r="E63" s="104"/>
      <c r="J63" s="97"/>
      <c r="K63" s="97"/>
      <c r="L63" s="104">
        <f ca="1">IFERROR(__xludf.DUMMYFUNCTION("""COMPUTED_VALUE"""),236)</f>
        <v>236</v>
      </c>
      <c r="M63" s="20">
        <f ca="1">IFERROR(__xludf.DUMMYFUNCTION("""COMPUTED_VALUE"""),2020)</f>
        <v>2020</v>
      </c>
      <c r="N63" s="20" t="str">
        <f ca="1">IFERROR(__xludf.DUMMYFUNCTION("""COMPUTED_VALUE"""),"VIRTUAL")</f>
        <v>VIRTUAL</v>
      </c>
      <c r="O63" s="96">
        <f ca="1">IFERROR(__xludf.DUMMYFUNCTION("""COMPUTED_VALUE"""),44194)</f>
        <v>44194</v>
      </c>
      <c r="P63" s="20" t="str">
        <f ca="1">IFERROR(__xludf.DUMMYFUNCTION("""COMPUTED_VALUE"""),"SI")</f>
        <v>SI</v>
      </c>
      <c r="Q63" s="105" t="str">
        <f ca="1">IFERROR(__xludf.DUMMYFUNCTION("""COMPUTED_VALUE"""),"OBRAS PÚBLICAS, VIVIENDA Y COMUNICACIONES;DERECHOS HUMANOS Y DESARROLLO SOCIAL;ECONOMÍA SOCIAL, COOPERATIVAS Y MUTUALES;LEGISLACIÓN GENERAL")</f>
        <v>OBRAS PÚBLICAS, VIVIENDA Y COMUNICACIONES;DERECHOS HUMANOS Y DESARROLLO SOCIAL;ECONOMÍA SOCIAL, COOPERATIVAS Y MUTUALES;LEGISLACIÓN GENERAL</v>
      </c>
      <c r="W63" s="105"/>
    </row>
    <row r="64" spans="5:23">
      <c r="E64" s="104"/>
      <c r="J64" s="97"/>
      <c r="K64" s="97"/>
      <c r="L64" s="104">
        <f ca="1">IFERROR(__xludf.DUMMYFUNCTION("""COMPUTED_VALUE"""),7)</f>
        <v>7</v>
      </c>
      <c r="M64" s="20">
        <f ca="1">IFERROR(__xludf.DUMMYFUNCTION("""COMPUTED_VALUE"""),2021)</f>
        <v>2021</v>
      </c>
      <c r="N64" s="20" t="str">
        <f ca="1">IFERROR(__xludf.DUMMYFUNCTION("""COMPUTED_VALUE"""),"VIRTUAL")</f>
        <v>VIRTUAL</v>
      </c>
      <c r="O64" s="96">
        <f ca="1">IFERROR(__xludf.DUMMYFUNCTION("""COMPUTED_VALUE"""),44244)</f>
        <v>44244</v>
      </c>
      <c r="P64" s="20" t="str">
        <f ca="1">IFERROR(__xludf.DUMMYFUNCTION("""COMPUTED_VALUE"""),"NO")</f>
        <v>NO</v>
      </c>
      <c r="Q64" s="105" t="str">
        <f ca="1">IFERROR(__xludf.DUMMYFUNCTION("""COMPUTED_VALUE"""),"LEGISLACIÓN GENERAL")</f>
        <v>LEGISLACIÓN GENERAL</v>
      </c>
      <c r="W64" s="105"/>
    </row>
    <row r="65" spans="5:23">
      <c r="E65" s="104"/>
      <c r="J65" s="97"/>
      <c r="K65" s="97"/>
      <c r="L65" s="104">
        <f ca="1">IFERROR(__xludf.DUMMYFUNCTION("""COMPUTED_VALUE"""),25)</f>
        <v>25</v>
      </c>
      <c r="M65" s="20">
        <f ca="1">IFERROR(__xludf.DUMMYFUNCTION("""COMPUTED_VALUE"""),2021)</f>
        <v>2021</v>
      </c>
      <c r="N65" s="20" t="str">
        <f ca="1">IFERROR(__xludf.DUMMYFUNCTION("""COMPUTED_VALUE"""),"VIRTUAL")</f>
        <v>VIRTUAL</v>
      </c>
      <c r="O65" s="96">
        <f ca="1">IFERROR(__xludf.DUMMYFUNCTION("""COMPUTED_VALUE"""),44259)</f>
        <v>44259</v>
      </c>
      <c r="P65" s="20" t="str">
        <f ca="1">IFERROR(__xludf.DUMMYFUNCTION("""COMPUTED_VALUE"""),"NO")</f>
        <v>NO</v>
      </c>
      <c r="Q65" s="105" t="str">
        <f ca="1">IFERROR(__xludf.DUMMYFUNCTION("""COMPUTED_VALUE"""),"EQUIDAD Y LUCHA CONTRA LA VIOLENCIA DE GÉNERO")</f>
        <v>EQUIDAD Y LUCHA CONTRA LA VIOLENCIA DE GÉNERO</v>
      </c>
      <c r="W65" s="105"/>
    </row>
    <row r="66" spans="5:23">
      <c r="E66" s="104"/>
      <c r="J66" s="97"/>
      <c r="K66" s="97"/>
      <c r="L66" s="104">
        <f ca="1">IFERROR(__xludf.DUMMYFUNCTION("""COMPUTED_VALUE"""),35)</f>
        <v>35</v>
      </c>
      <c r="M66" s="20">
        <f ca="1">IFERROR(__xludf.DUMMYFUNCTION("""COMPUTED_VALUE"""),2021)</f>
        <v>2021</v>
      </c>
      <c r="N66" s="20" t="str">
        <f ca="1">IFERROR(__xludf.DUMMYFUNCTION("""COMPUTED_VALUE"""),"VIRTUAL")</f>
        <v>VIRTUAL</v>
      </c>
      <c r="O66" s="96">
        <f ca="1">IFERROR(__xludf.DUMMYFUNCTION("""COMPUTED_VALUE"""),44266)</f>
        <v>44266</v>
      </c>
      <c r="P66" s="20" t="str">
        <f ca="1">IFERROR(__xludf.DUMMYFUNCTION("""COMPUTED_VALUE"""),"NO")</f>
        <v>NO</v>
      </c>
      <c r="Q66" s="105" t="str">
        <f ca="1">IFERROR(__xludf.DUMMYFUNCTION("""COMPUTED_VALUE"""),"AMBIENTE")</f>
        <v>AMBIENTE</v>
      </c>
      <c r="W66" s="105"/>
    </row>
    <row r="67" spans="5:23">
      <c r="E67" s="104"/>
      <c r="J67" s="97"/>
      <c r="K67" s="97"/>
      <c r="L67" s="104">
        <f ca="1">IFERROR(__xludf.DUMMYFUNCTION("""COMPUTED_VALUE"""),125)</f>
        <v>125</v>
      </c>
      <c r="M67" s="20">
        <f ca="1">IFERROR(__xludf.DUMMYFUNCTION("""COMPUTED_VALUE"""),2021)</f>
        <v>2021</v>
      </c>
      <c r="N67" s="20" t="str">
        <f ca="1">IFERROR(__xludf.DUMMYFUNCTION("""COMPUTED_VALUE"""),"VIRTUAL")</f>
        <v>VIRTUAL</v>
      </c>
      <c r="O67" s="96">
        <f ca="1">IFERROR(__xludf.DUMMYFUNCTION("""COMPUTED_VALUE"""),44364)</f>
        <v>44364</v>
      </c>
      <c r="P67" s="20" t="str">
        <f ca="1">IFERROR(__xludf.DUMMYFUNCTION("""COMPUTED_VALUE"""),"NO")</f>
        <v>NO</v>
      </c>
      <c r="Q67" s="105" t="str">
        <f ca="1">IFERROR(__xludf.DUMMYFUNCTION("""COMPUTED_VALUE"""),"ASUNTOS INSTITUCIONALES, MUNICIPALES Y COMUNALES")</f>
        <v>ASUNTOS INSTITUCIONALES, MUNICIPALES Y COMUNALES</v>
      </c>
      <c r="W67" s="105"/>
    </row>
    <row r="68" spans="5:23">
      <c r="E68" s="104"/>
      <c r="J68" s="97"/>
      <c r="K68" s="97"/>
      <c r="L68" s="104">
        <f ca="1">IFERROR(__xludf.DUMMYFUNCTION("""COMPUTED_VALUE"""),132)</f>
        <v>132</v>
      </c>
      <c r="M68" s="20">
        <f ca="1">IFERROR(__xludf.DUMMYFUNCTION("""COMPUTED_VALUE"""),2021)</f>
        <v>2021</v>
      </c>
      <c r="N68" s="20" t="str">
        <f ca="1">IFERROR(__xludf.DUMMYFUNCTION("""COMPUTED_VALUE"""),"VIRTUAL")</f>
        <v>VIRTUAL</v>
      </c>
      <c r="O68" s="96">
        <f ca="1">IFERROR(__xludf.DUMMYFUNCTION("""COMPUTED_VALUE"""),44371)</f>
        <v>44371</v>
      </c>
      <c r="P68" s="20" t="str">
        <f ca="1">IFERROR(__xludf.DUMMYFUNCTION("""COMPUTED_VALUE"""),"NO")</f>
        <v>NO</v>
      </c>
      <c r="Q68" s="105" t="str">
        <f ca="1">IFERROR(__xludf.DUMMYFUNCTION("""COMPUTED_VALUE"""),"SALUD HUMANA")</f>
        <v>SALUD HUMANA</v>
      </c>
      <c r="W68" s="105"/>
    </row>
    <row r="69" spans="5:23">
      <c r="E69" s="104"/>
      <c r="J69" s="97"/>
      <c r="K69" s="97"/>
      <c r="L69" s="104">
        <f ca="1">IFERROR(__xludf.DUMMYFUNCTION("""COMPUTED_VALUE"""),142)</f>
        <v>142</v>
      </c>
      <c r="M69" s="20">
        <f ca="1">IFERROR(__xludf.DUMMYFUNCTION("""COMPUTED_VALUE"""),2021)</f>
        <v>2021</v>
      </c>
      <c r="N69" s="20" t="str">
        <f ca="1">IFERROR(__xludf.DUMMYFUNCTION("""COMPUTED_VALUE"""),"VIRTUAL")</f>
        <v>VIRTUAL</v>
      </c>
      <c r="O69" s="96">
        <f ca="1">IFERROR(__xludf.DUMMYFUNCTION("""COMPUTED_VALUE"""),44378)</f>
        <v>44378</v>
      </c>
      <c r="P69" s="20" t="str">
        <f ca="1">IFERROR(__xludf.DUMMYFUNCTION("""COMPUTED_VALUE"""),"NO")</f>
        <v>NO</v>
      </c>
      <c r="Q69" s="105" t="str">
        <f ca="1">IFERROR(__xludf.DUMMYFUNCTION("""COMPUTED_VALUE"""),"EQUIDAD Y LUCHA CONTRA LA VIOLENCIA DE GÉNERO")</f>
        <v>EQUIDAD Y LUCHA CONTRA LA VIOLENCIA DE GÉNERO</v>
      </c>
      <c r="W69" s="105"/>
    </row>
    <row r="70" spans="5:23">
      <c r="E70" s="104"/>
      <c r="J70" s="97"/>
      <c r="K70" s="97"/>
      <c r="L70" s="104">
        <f ca="1">IFERROR(__xludf.DUMMYFUNCTION("""COMPUTED_VALUE"""),148)</f>
        <v>148</v>
      </c>
      <c r="M70" s="20">
        <f ca="1">IFERROR(__xludf.DUMMYFUNCTION("""COMPUTED_VALUE"""),2021)</f>
        <v>2021</v>
      </c>
      <c r="N70" s="20" t="str">
        <f ca="1">IFERROR(__xludf.DUMMYFUNCTION("""COMPUTED_VALUE"""),"VIRTUAL")</f>
        <v>VIRTUAL</v>
      </c>
      <c r="O70" s="96">
        <f ca="1">IFERROR(__xludf.DUMMYFUNCTION("""COMPUTED_VALUE"""),44406)</f>
        <v>44406</v>
      </c>
      <c r="P70" s="20" t="str">
        <f ca="1">IFERROR(__xludf.DUMMYFUNCTION("""COMPUTED_VALUE"""),"NO")</f>
        <v>NO</v>
      </c>
      <c r="Q70" s="105" t="str">
        <f ca="1">IFERROR(__xludf.DUMMYFUNCTION("""COMPUTED_VALUE"""),"ASUNTOS CONSTITUCIONALES, JUSTICIA Y ACUERDOS")</f>
        <v>ASUNTOS CONSTITUCIONALES, JUSTICIA Y ACUERDOS</v>
      </c>
      <c r="W70" s="105"/>
    </row>
    <row r="71" spans="5:23">
      <c r="E71" s="104"/>
      <c r="J71" s="97"/>
      <c r="K71" s="97"/>
      <c r="L71" s="104">
        <f ca="1">IFERROR(__xludf.DUMMYFUNCTION("""COMPUTED_VALUE"""),152)</f>
        <v>152</v>
      </c>
      <c r="M71" s="20">
        <f ca="1">IFERROR(__xludf.DUMMYFUNCTION("""COMPUTED_VALUE"""),2021)</f>
        <v>2021</v>
      </c>
      <c r="N71" s="20" t="str">
        <f ca="1">IFERROR(__xludf.DUMMYFUNCTION("""COMPUTED_VALUE"""),"VIRTUAL")</f>
        <v>VIRTUAL</v>
      </c>
      <c r="O71" s="96">
        <f ca="1">IFERROR(__xludf.DUMMYFUNCTION("""COMPUTED_VALUE"""),44413)</f>
        <v>44413</v>
      </c>
      <c r="P71" s="20" t="str">
        <f ca="1">IFERROR(__xludf.DUMMYFUNCTION("""COMPUTED_VALUE"""),"NO")</f>
        <v>NO</v>
      </c>
      <c r="Q71" s="105" t="str">
        <f ca="1">IFERROR(__xludf.DUMMYFUNCTION("""COMPUTED_VALUE"""),"EQUIDAD Y LUCHA CONTRA LA VIOLENCIA DE GÉNERO")</f>
        <v>EQUIDAD Y LUCHA CONTRA LA VIOLENCIA DE GÉNERO</v>
      </c>
      <c r="W71" s="105"/>
    </row>
    <row r="72" spans="5:23">
      <c r="E72" s="104"/>
      <c r="J72" s="97"/>
      <c r="K72" s="97"/>
      <c r="L72" s="104">
        <f ca="1">IFERROR(__xludf.DUMMYFUNCTION("""COMPUTED_VALUE"""),154)</f>
        <v>154</v>
      </c>
      <c r="M72" s="20">
        <f ca="1">IFERROR(__xludf.DUMMYFUNCTION("""COMPUTED_VALUE"""),2021)</f>
        <v>2021</v>
      </c>
      <c r="N72" s="20" t="str">
        <f ca="1">IFERROR(__xludf.DUMMYFUNCTION("""COMPUTED_VALUE"""),"VIRTUAL")</f>
        <v>VIRTUAL</v>
      </c>
      <c r="O72" s="96">
        <f ca="1">IFERROR(__xludf.DUMMYFUNCTION("""COMPUTED_VALUE"""),44418)</f>
        <v>44418</v>
      </c>
      <c r="P72" s="20" t="str">
        <f ca="1">IFERROR(__xludf.DUMMYFUNCTION("""COMPUTED_VALUE"""),"NO")</f>
        <v>NO</v>
      </c>
      <c r="Q72" s="105" t="str">
        <f ca="1">IFERROR(__xludf.DUMMYFUNCTION("""COMPUTED_VALUE"""),"OBRAS PÚBLICAS, VIVIENDA Y COMUNICACIONES")</f>
        <v>OBRAS PÚBLICAS, VIVIENDA Y COMUNICACIONES</v>
      </c>
      <c r="W72" s="105"/>
    </row>
    <row r="73" spans="5:23">
      <c r="E73" s="104"/>
      <c r="J73" s="97"/>
      <c r="K73" s="97"/>
      <c r="L73" s="104">
        <f ca="1">IFERROR(__xludf.DUMMYFUNCTION("""COMPUTED_VALUE"""),159)</f>
        <v>159</v>
      </c>
      <c r="M73" s="20">
        <f ca="1">IFERROR(__xludf.DUMMYFUNCTION("""COMPUTED_VALUE"""),2021)</f>
        <v>2021</v>
      </c>
      <c r="N73" s="20" t="str">
        <f ca="1">IFERROR(__xludf.DUMMYFUNCTION("""COMPUTED_VALUE"""),"VIRTUAL")</f>
        <v>VIRTUAL</v>
      </c>
      <c r="O73" s="96">
        <f ca="1">IFERROR(__xludf.DUMMYFUNCTION("""COMPUTED_VALUE"""),44420)</f>
        <v>44420</v>
      </c>
      <c r="P73" s="20" t="str">
        <f ca="1">IFERROR(__xludf.DUMMYFUNCTION("""COMPUTED_VALUE"""),"NO")</f>
        <v>NO</v>
      </c>
      <c r="Q73" s="105" t="str">
        <f ca="1">IFERROR(__xludf.DUMMYFUNCTION("""COMPUTED_VALUE"""),"PROMOCIÓN Y DEFENSA DE LOS DERECHOS DE LA NIÑEZ, ADOLESCENCIA Y FAMILIA")</f>
        <v>PROMOCIÓN Y DEFENSA DE LOS DERECHOS DE LA NIÑEZ, ADOLESCENCIA Y FAMILIA</v>
      </c>
      <c r="W73" s="105"/>
    </row>
    <row r="74" spans="5:23">
      <c r="E74" s="104"/>
      <c r="J74" s="97"/>
      <c r="K74" s="97"/>
      <c r="L74" s="104">
        <f ca="1">IFERROR(__xludf.DUMMYFUNCTION("""COMPUTED_VALUE"""),160)</f>
        <v>160</v>
      </c>
      <c r="M74" s="20">
        <f ca="1">IFERROR(__xludf.DUMMYFUNCTION("""COMPUTED_VALUE"""),2021)</f>
        <v>2021</v>
      </c>
      <c r="N74" s="20" t="str">
        <f ca="1">IFERROR(__xludf.DUMMYFUNCTION("""COMPUTED_VALUE"""),"VIRTUAL")</f>
        <v>VIRTUAL</v>
      </c>
      <c r="O74" s="96">
        <f ca="1">IFERROR(__xludf.DUMMYFUNCTION("""COMPUTED_VALUE"""),44425)</f>
        <v>44425</v>
      </c>
      <c r="P74" s="20" t="str">
        <f ca="1">IFERROR(__xludf.DUMMYFUNCTION("""COMPUTED_VALUE"""),"NO")</f>
        <v>NO</v>
      </c>
      <c r="Q74" s="105" t="str">
        <f ca="1">IFERROR(__xludf.DUMMYFUNCTION("""COMPUTED_VALUE"""),"EDUCACIÓN, CULTURA, CIENCIA, TECNOLOGÍA E INFORMÁTICA")</f>
        <v>EDUCACIÓN, CULTURA, CIENCIA, TECNOLOGÍA E INFORMÁTICA</v>
      </c>
      <c r="W74" s="105"/>
    </row>
    <row r="75" spans="5:23">
      <c r="E75" s="104"/>
      <c r="J75" s="97"/>
      <c r="K75" s="97"/>
      <c r="L75" s="104">
        <f ca="1">IFERROR(__xludf.DUMMYFUNCTION("""COMPUTED_VALUE"""),168)</f>
        <v>168</v>
      </c>
      <c r="M75" s="20">
        <f ca="1">IFERROR(__xludf.DUMMYFUNCTION("""COMPUTED_VALUE"""),2021)</f>
        <v>2021</v>
      </c>
      <c r="N75" s="20" t="str">
        <f ca="1">IFERROR(__xludf.DUMMYFUNCTION("""COMPUTED_VALUE"""),"VIRTUAL")</f>
        <v>VIRTUAL</v>
      </c>
      <c r="O75" s="96">
        <f ca="1">IFERROR(__xludf.DUMMYFUNCTION("""COMPUTED_VALUE"""),44432)</f>
        <v>44432</v>
      </c>
      <c r="P75" s="20" t="str">
        <f ca="1">IFERROR(__xludf.DUMMYFUNCTION("""COMPUTED_VALUE"""),"NO")</f>
        <v>NO</v>
      </c>
      <c r="Q75" s="105" t="str">
        <f ca="1">IFERROR(__xludf.DUMMYFUNCTION("""COMPUTED_VALUE"""),"PROMOCIÓN Y DEFENSA DE LOS DERECHOS DE LA NIÑEZ, ADOLESCENCIA Y FAMILIA")</f>
        <v>PROMOCIÓN Y DEFENSA DE LOS DERECHOS DE LA NIÑEZ, ADOLESCENCIA Y FAMILIA</v>
      </c>
      <c r="W75" s="105"/>
    </row>
    <row r="76" spans="5:23">
      <c r="E76" s="104"/>
      <c r="J76" s="97"/>
      <c r="K76" s="97"/>
      <c r="L76" s="104">
        <f ca="1">IFERROR(__xludf.DUMMYFUNCTION("""COMPUTED_VALUE"""),169)</f>
        <v>169</v>
      </c>
      <c r="M76" s="20">
        <f ca="1">IFERROR(__xludf.DUMMYFUNCTION("""COMPUTED_VALUE"""),2021)</f>
        <v>2021</v>
      </c>
      <c r="N76" s="20" t="str">
        <f ca="1">IFERROR(__xludf.DUMMYFUNCTION("""COMPUTED_VALUE"""),"VIRTUAL")</f>
        <v>VIRTUAL</v>
      </c>
      <c r="O76" s="96">
        <f ca="1">IFERROR(__xludf.DUMMYFUNCTION("""COMPUTED_VALUE"""),44432)</f>
        <v>44432</v>
      </c>
      <c r="P76" s="20" t="str">
        <f ca="1">IFERROR(__xludf.DUMMYFUNCTION("""COMPUTED_VALUE"""),"SI")</f>
        <v>SI</v>
      </c>
      <c r="Q76" s="105" t="str">
        <f ca="1">IFERROR(__xludf.DUMMYFUNCTION("""COMPUTED_VALUE"""),"AMBIENTE;ASUNTOS INSTITUCIONALES, MUNICIPALES Y COMUNALES;LEGISLACIÓN GENERAL;PROMOCIÓN Y DESARROLLO DE LAS COMUNIDADES REGIONALES;TURISMO Y SU RELACIÓN CON EL DESARROLLO REGIONAL")</f>
        <v>AMBIENTE;ASUNTOS INSTITUCIONALES, MUNICIPALES Y COMUNALES;LEGISLACIÓN GENERAL;PROMOCIÓN Y DESARROLLO DE LAS COMUNIDADES REGIONALES;TURISMO Y SU RELACIÓN CON EL DESARROLLO REGIONAL</v>
      </c>
      <c r="W76" s="105"/>
    </row>
    <row r="77" spans="5:23">
      <c r="E77" s="104"/>
      <c r="J77" s="97"/>
      <c r="K77" s="97"/>
      <c r="L77" s="104">
        <f ca="1">IFERROR(__xludf.DUMMYFUNCTION("""COMPUTED_VALUE"""),184)</f>
        <v>184</v>
      </c>
      <c r="M77" s="20">
        <f ca="1">IFERROR(__xludf.DUMMYFUNCTION("""COMPUTED_VALUE"""),2021)</f>
        <v>2021</v>
      </c>
      <c r="N77" s="20" t="str">
        <f ca="1">IFERROR(__xludf.DUMMYFUNCTION("""COMPUTED_VALUE"""),"VIRTUAL")</f>
        <v>VIRTUAL</v>
      </c>
      <c r="O77" s="96">
        <f ca="1">IFERROR(__xludf.DUMMYFUNCTION("""COMPUTED_VALUE"""),44455)</f>
        <v>44455</v>
      </c>
      <c r="P77" s="20" t="str">
        <f ca="1">IFERROR(__xludf.DUMMYFUNCTION("""COMPUTED_VALUE"""),"NO")</f>
        <v>NO</v>
      </c>
      <c r="Q77" s="105" t="str">
        <f ca="1">IFERROR(__xludf.DUMMYFUNCTION("""COMPUTED_VALUE"""),"ASUNTOS INSTITUCIONALES, MUNICIPALES Y COMUNALES")</f>
        <v>ASUNTOS INSTITUCIONALES, MUNICIPALES Y COMUNALES</v>
      </c>
      <c r="W77" s="105"/>
    </row>
    <row r="78" spans="5:23">
      <c r="E78" s="104"/>
      <c r="J78" s="97"/>
      <c r="K78" s="97"/>
      <c r="L78" s="104">
        <f ca="1">IFERROR(__xludf.DUMMYFUNCTION("""COMPUTED_VALUE"""),199)</f>
        <v>199</v>
      </c>
      <c r="M78" s="20">
        <f ca="1">IFERROR(__xludf.DUMMYFUNCTION("""COMPUTED_VALUE"""),2021)</f>
        <v>2021</v>
      </c>
      <c r="N78" s="20" t="str">
        <f ca="1">IFERROR(__xludf.DUMMYFUNCTION("""COMPUTED_VALUE"""),"VIRTUAL")</f>
        <v>VIRTUAL</v>
      </c>
      <c r="O78" s="96">
        <f ca="1">IFERROR(__xludf.DUMMYFUNCTION("""COMPUTED_VALUE"""),44476)</f>
        <v>44476</v>
      </c>
      <c r="P78" s="20" t="str">
        <f ca="1">IFERROR(__xludf.DUMMYFUNCTION("""COMPUTED_VALUE"""),"NO")</f>
        <v>NO</v>
      </c>
      <c r="Q78" s="105" t="str">
        <f ca="1">IFERROR(__xludf.DUMMYFUNCTION("""COMPUTED_VALUE"""),"EQUIDAD Y LUCHA CONTRA LA VIOLENCIA DE GÉNERO")</f>
        <v>EQUIDAD Y LUCHA CONTRA LA VIOLENCIA DE GÉNERO</v>
      </c>
      <c r="W78" s="105"/>
    </row>
    <row r="79" spans="5:23">
      <c r="E79" s="104"/>
      <c r="J79" s="97"/>
      <c r="K79" s="97"/>
      <c r="L79" s="104">
        <f ca="1">IFERROR(__xludf.DUMMYFUNCTION("""COMPUTED_VALUE"""),229)</f>
        <v>229</v>
      </c>
      <c r="M79" s="20">
        <f ca="1">IFERROR(__xludf.DUMMYFUNCTION("""COMPUTED_VALUE"""),2021)</f>
        <v>2021</v>
      </c>
      <c r="N79" s="20" t="str">
        <f ca="1">IFERROR(__xludf.DUMMYFUNCTION("""COMPUTED_VALUE"""),"VIRTUAL")</f>
        <v>VIRTUAL</v>
      </c>
      <c r="O79" s="96">
        <f ca="1">IFERROR(__xludf.DUMMYFUNCTION("""COMPUTED_VALUE"""),44524)</f>
        <v>44524</v>
      </c>
      <c r="P79" s="20" t="str">
        <f ca="1">IFERROR(__xludf.DUMMYFUNCTION("""COMPUTED_VALUE"""),"SI")</f>
        <v>SI</v>
      </c>
      <c r="Q79" s="105" t="str">
        <f ca="1">IFERROR(__xludf.DUMMYFUNCTION("""COMPUTED_VALUE"""),"INDUSTRIA Y MINERÍA;LEGISLACIÓN GENERAL;PROMOCIÓN Y DESARROLLO DE LAS COMUNIDADES REGIONALES;PROMOCIÓN Y DESARROLLO DE ECONOMÍAS REGIONALES Y PYMES")</f>
        <v>INDUSTRIA Y MINERÍA;LEGISLACIÓN GENERAL;PROMOCIÓN Y DESARROLLO DE LAS COMUNIDADES REGIONALES;PROMOCIÓN Y DESARROLLO DE ECONOMÍAS REGIONALES Y PYMES</v>
      </c>
      <c r="W79" s="105"/>
    </row>
    <row r="80" spans="5:23">
      <c r="E80" s="104"/>
      <c r="J80" s="97"/>
      <c r="K80" s="97"/>
      <c r="L80" s="104">
        <f ca="1">IFERROR(__xludf.DUMMYFUNCTION("""COMPUTED_VALUE"""),249)</f>
        <v>249</v>
      </c>
      <c r="M80" s="20">
        <f ca="1">IFERROR(__xludf.DUMMYFUNCTION("""COMPUTED_VALUE"""),2021)</f>
        <v>2021</v>
      </c>
      <c r="N80" s="20" t="str">
        <f ca="1">IFERROR(__xludf.DUMMYFUNCTION("""COMPUTED_VALUE"""),"VIRTUAL")</f>
        <v>VIRTUAL</v>
      </c>
      <c r="O80" s="96">
        <f ca="1">IFERROR(__xludf.DUMMYFUNCTION("""COMPUTED_VALUE"""),44551)</f>
        <v>44551</v>
      </c>
      <c r="P80" s="20" t="str">
        <f ca="1">IFERROR(__xludf.DUMMYFUNCTION("""COMPUTED_VALUE"""),"SI")</f>
        <v>SI</v>
      </c>
      <c r="Q80" s="105"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W80" s="105"/>
    </row>
    <row r="81" spans="5:23">
      <c r="E81" s="104"/>
      <c r="J81" s="97"/>
      <c r="K81" s="97"/>
      <c r="L81" s="104">
        <f ca="1">IFERROR(__xludf.DUMMYFUNCTION("""COMPUTED_VALUE"""),250)</f>
        <v>250</v>
      </c>
      <c r="M81" s="20">
        <f ca="1">IFERROR(__xludf.DUMMYFUNCTION("""COMPUTED_VALUE"""),2021)</f>
        <v>2021</v>
      </c>
      <c r="N81" s="20" t="str">
        <f ca="1">IFERROR(__xludf.DUMMYFUNCTION("""COMPUTED_VALUE"""),"VIRTUAL")</f>
        <v>VIRTUAL</v>
      </c>
      <c r="O81" s="96">
        <f ca="1">IFERROR(__xludf.DUMMYFUNCTION("""COMPUTED_VALUE"""),44551)</f>
        <v>44551</v>
      </c>
      <c r="P81" s="20" t="str">
        <f ca="1">IFERROR(__xludf.DUMMYFUNCTION("""COMPUTED_VALUE"""),"SI")</f>
        <v>SI</v>
      </c>
      <c r="Q81" s="105" t="str">
        <f ca="1">IFERROR(__xludf.DUMMYFUNCTION("""COMPUTED_VALUE"""),"EDUCACIÓN, CULTURA, CIENCIA, TECNOLOGÍA E INFORMÁTICA;LEGISLACIÓN DEL TRABAJO, PREVISIÓN Y SEGURIDAD SOCIAL")</f>
        <v>EDUCACIÓN, CULTURA, CIENCIA, TECNOLOGÍA E INFORMÁTICA;LEGISLACIÓN DEL TRABAJO, PREVISIÓN Y SEGURIDAD SOCIAL</v>
      </c>
      <c r="W81" s="105"/>
    </row>
    <row r="82" spans="5:23">
      <c r="E82" s="104"/>
      <c r="J82" s="97"/>
      <c r="K82" s="97"/>
      <c r="L82" s="104">
        <f ca="1">IFERROR(__xludf.DUMMYFUNCTION("""COMPUTED_VALUE"""),253)</f>
        <v>253</v>
      </c>
      <c r="M82" s="20">
        <f ca="1">IFERROR(__xludf.DUMMYFUNCTION("""COMPUTED_VALUE"""),2021)</f>
        <v>2021</v>
      </c>
      <c r="N82" s="20" t="str">
        <f ca="1">IFERROR(__xludf.DUMMYFUNCTION("""COMPUTED_VALUE"""),"VIRTUAL")</f>
        <v>VIRTUAL</v>
      </c>
      <c r="O82" s="96">
        <f ca="1">IFERROR(__xludf.DUMMYFUNCTION("""COMPUTED_VALUE"""),44553)</f>
        <v>44553</v>
      </c>
      <c r="P82" s="20" t="str">
        <f ca="1">IFERROR(__xludf.DUMMYFUNCTION("""COMPUTED_VALUE"""),"SI")</f>
        <v>SI</v>
      </c>
      <c r="Q82" s="105" t="str">
        <f ca="1">IFERROR(__xludf.DUMMYFUNCTION("""COMPUTED_VALUE"""),"LEGISLACIÓN GENERAL;TURISMO Y SU RELACIÓN CON EL DESARROLLO REGIONAL")</f>
        <v>LEGISLACIÓN GENERAL;TURISMO Y SU RELACIÓN CON EL DESARROLLO REGIONAL</v>
      </c>
      <c r="W82" s="105"/>
    </row>
    <row r="83" spans="5:23">
      <c r="E83" s="104"/>
      <c r="J83" s="97"/>
      <c r="K83" s="97"/>
      <c r="L83" s="104">
        <f ca="1">IFERROR(__xludf.DUMMYFUNCTION("""COMPUTED_VALUE"""),41)</f>
        <v>41</v>
      </c>
      <c r="M83" s="20">
        <f ca="1">IFERROR(__xludf.DUMMYFUNCTION("""COMPUTED_VALUE"""),2022)</f>
        <v>2022</v>
      </c>
      <c r="N83" s="20" t="str">
        <f ca="1">IFERROR(__xludf.DUMMYFUNCTION("""COMPUTED_VALUE"""),"VIRTUAL")</f>
        <v>VIRTUAL</v>
      </c>
      <c r="O83" s="106">
        <f ca="1">IFERROR(__xludf.DUMMYFUNCTION("""COMPUTED_VALUE"""),44656)</f>
        <v>44656</v>
      </c>
      <c r="P83" s="20" t="str">
        <f ca="1">IFERROR(__xludf.DUMMYFUNCTION("""COMPUTED_VALUE"""),"SI")</f>
        <v>SI</v>
      </c>
      <c r="Q83" s="105" t="str">
        <f ca="1">IFERROR(__xludf.DUMMYFUNCTION("""COMPUTED_VALUE"""),"ECONOMÍA, PRESUPUESTO, GESTIÓN PÚBLICA E INNOVACIÓN;DERECHOS HUMANOS Y DESARROLLO SOCIAL")</f>
        <v>ECONOMÍA, PRESUPUESTO, GESTIÓN PÚBLICA E INNOVACIÓN;DERECHOS HUMANOS Y DESARROLLO SOCIAL</v>
      </c>
      <c r="W83" s="105"/>
    </row>
    <row r="84" spans="5:23">
      <c r="E84" s="104"/>
      <c r="J84" s="97"/>
      <c r="K84" s="97"/>
      <c r="L84" s="104">
        <f ca="1">IFERROR(__xludf.DUMMYFUNCTION("""COMPUTED_VALUE"""),55)</f>
        <v>55</v>
      </c>
      <c r="M84" s="20">
        <f ca="1">IFERROR(__xludf.DUMMYFUNCTION("""COMPUTED_VALUE"""),2022)</f>
        <v>2022</v>
      </c>
      <c r="N84" s="20" t="str">
        <f ca="1">IFERROR(__xludf.DUMMYFUNCTION("""COMPUTED_VALUE"""),"VIRTUAL")</f>
        <v>VIRTUAL</v>
      </c>
      <c r="O84" s="106">
        <f ca="1">IFERROR(__xludf.DUMMYFUNCTION("""COMPUTED_VALUE"""),44678)</f>
        <v>44678</v>
      </c>
      <c r="P84" s="20" t="str">
        <f ca="1">IFERROR(__xludf.DUMMYFUNCTION("""COMPUTED_VALUE"""),"NO")</f>
        <v>NO</v>
      </c>
      <c r="Q84" s="105" t="str">
        <f ca="1">IFERROR(__xludf.DUMMYFUNCTION("""COMPUTED_VALUE"""),"LEGISLACIÓN GENERAL")</f>
        <v>LEGISLACIÓN GENERAL</v>
      </c>
      <c r="W84" s="105"/>
    </row>
    <row r="85" spans="5:23">
      <c r="E85" s="104"/>
      <c r="J85" s="97"/>
      <c r="K85" s="97"/>
      <c r="L85" s="104">
        <f ca="1">IFERROR(__xludf.DUMMYFUNCTION("""COMPUTED_VALUE"""),79)</f>
        <v>79</v>
      </c>
      <c r="M85" s="20">
        <f ca="1">IFERROR(__xludf.DUMMYFUNCTION("""COMPUTED_VALUE"""),2022)</f>
        <v>2022</v>
      </c>
      <c r="N85" s="20" t="str">
        <f ca="1">IFERROR(__xludf.DUMMYFUNCTION("""COMPUTED_VALUE"""),"VIRTUAL")</f>
        <v>VIRTUAL</v>
      </c>
      <c r="O85" s="106">
        <f ca="1">IFERROR(__xludf.DUMMYFUNCTION("""COMPUTED_VALUE"""),44713)</f>
        <v>44713</v>
      </c>
      <c r="P85" s="20" t="str">
        <f ca="1">IFERROR(__xludf.DUMMYFUNCTION("""COMPUTED_VALUE"""),"NO")</f>
        <v>NO</v>
      </c>
      <c r="Q85" s="105" t="str">
        <f ca="1">IFERROR(__xludf.DUMMYFUNCTION("""COMPUTED_VALUE"""),"LEGISLACIÓN GENERAL")</f>
        <v>LEGISLACIÓN GENERAL</v>
      </c>
      <c r="W85" s="105"/>
    </row>
    <row r="86" spans="5:23">
      <c r="E86" s="104"/>
      <c r="J86" s="97"/>
      <c r="K86" s="97"/>
      <c r="L86" s="104">
        <f ca="1">IFERROR(__xludf.DUMMYFUNCTION("""COMPUTED_VALUE"""),96)</f>
        <v>96</v>
      </c>
      <c r="M86" s="20">
        <f ca="1">IFERROR(__xludf.DUMMYFUNCTION("""COMPUTED_VALUE"""),2022)</f>
        <v>2022</v>
      </c>
      <c r="N86" s="20" t="str">
        <f ca="1">IFERROR(__xludf.DUMMYFUNCTION("""COMPUTED_VALUE"""),"VIRTUAL")</f>
        <v>VIRTUAL</v>
      </c>
      <c r="O86" s="106">
        <f ca="1">IFERROR(__xludf.DUMMYFUNCTION("""COMPUTED_VALUE"""),44735)</f>
        <v>44735</v>
      </c>
      <c r="P86" s="20" t="str">
        <f ca="1">IFERROR(__xludf.DUMMYFUNCTION("""COMPUTED_VALUE"""),"NO")</f>
        <v>NO</v>
      </c>
      <c r="Q86" s="105" t="str">
        <f ca="1">IFERROR(__xludf.DUMMYFUNCTION("""COMPUTED_VALUE"""),"DERECHOS HUMANOS Y DESARROLLO SOCIAL")</f>
        <v>DERECHOS HUMANOS Y DESARROLLO SOCIAL</v>
      </c>
      <c r="W86" s="105"/>
    </row>
    <row r="87" spans="5:23">
      <c r="E87" s="104"/>
      <c r="J87" s="97"/>
      <c r="K87" s="97"/>
      <c r="L87" s="104">
        <f ca="1">IFERROR(__xludf.DUMMYFUNCTION("""COMPUTED_VALUE"""),105)</f>
        <v>105</v>
      </c>
      <c r="M87" s="20">
        <f ca="1">IFERROR(__xludf.DUMMYFUNCTION("""COMPUTED_VALUE"""),2022)</f>
        <v>2022</v>
      </c>
      <c r="N87" s="20" t="str">
        <f ca="1">IFERROR(__xludf.DUMMYFUNCTION("""COMPUTED_VALUE"""),"VIRTUAL")</f>
        <v>VIRTUAL</v>
      </c>
      <c r="O87" s="106">
        <f ca="1">IFERROR(__xludf.DUMMYFUNCTION("""COMPUTED_VALUE"""),44770)</f>
        <v>44770</v>
      </c>
      <c r="P87" s="20" t="str">
        <f ca="1">IFERROR(__xludf.DUMMYFUNCTION("""COMPUTED_VALUE"""),"NO")</f>
        <v>NO</v>
      </c>
      <c r="Q87" s="105" t="str">
        <f ca="1">IFERROR(__xludf.DUMMYFUNCTION("""COMPUTED_VALUE"""),"ECONOMÍA, PRESUPUESTO, GESTIÓN PÚBLICA E INNOVACIÓN")</f>
        <v>ECONOMÍA, PRESUPUESTO, GESTIÓN PÚBLICA E INNOVACIÓN</v>
      </c>
      <c r="W87" s="105"/>
    </row>
    <row r="88" spans="5:23">
      <c r="E88" s="104"/>
      <c r="J88" s="97"/>
      <c r="K88" s="97"/>
      <c r="L88" s="104">
        <f ca="1">IFERROR(__xludf.DUMMYFUNCTION("""COMPUTED_VALUE"""),137)</f>
        <v>137</v>
      </c>
      <c r="M88" s="20">
        <f ca="1">IFERROR(__xludf.DUMMYFUNCTION("""COMPUTED_VALUE"""),2022)</f>
        <v>2022</v>
      </c>
      <c r="N88" s="20" t="str">
        <f ca="1">IFERROR(__xludf.DUMMYFUNCTION("""COMPUTED_VALUE"""),"VIRTUAL")</f>
        <v>VIRTUAL</v>
      </c>
      <c r="O88" s="106">
        <f ca="1">IFERROR(__xludf.DUMMYFUNCTION("""COMPUTED_VALUE"""),44810)</f>
        <v>44810</v>
      </c>
      <c r="P88" s="20" t="str">
        <f ca="1">IFERROR(__xludf.DUMMYFUNCTION("""COMPUTED_VALUE"""),"NO")</f>
        <v>NO</v>
      </c>
      <c r="Q88" s="105" t="str">
        <f ca="1">IFERROR(__xludf.DUMMYFUNCTION("""COMPUTED_VALUE"""),"SALUD HUMANA")</f>
        <v>SALUD HUMANA</v>
      </c>
      <c r="W88" s="105"/>
    </row>
    <row r="89" spans="5:23">
      <c r="E89" s="104"/>
      <c r="J89" s="97"/>
      <c r="K89" s="97"/>
      <c r="L89" s="104">
        <f ca="1">IFERROR(__xludf.DUMMYFUNCTION("""COMPUTED_VALUE"""),143)</f>
        <v>143</v>
      </c>
      <c r="M89" s="20">
        <f ca="1">IFERROR(__xludf.DUMMYFUNCTION("""COMPUTED_VALUE"""),2022)</f>
        <v>2022</v>
      </c>
      <c r="N89" s="20" t="str">
        <f ca="1">IFERROR(__xludf.DUMMYFUNCTION("""COMPUTED_VALUE"""),"VIRTUAL")</f>
        <v>VIRTUAL</v>
      </c>
      <c r="O89" s="106">
        <f ca="1">IFERROR(__xludf.DUMMYFUNCTION("""COMPUTED_VALUE"""),44817)</f>
        <v>44817</v>
      </c>
      <c r="P89" s="20" t="str">
        <f ca="1">IFERROR(__xludf.DUMMYFUNCTION("""COMPUTED_VALUE"""),"NO")</f>
        <v>NO</v>
      </c>
      <c r="Q89" s="105" t="str">
        <f ca="1">IFERROR(__xludf.DUMMYFUNCTION("""COMPUTED_VALUE"""),"LEGISLACIÓN GENERAL")</f>
        <v>LEGISLACIÓN GENERAL</v>
      </c>
      <c r="W89" s="105"/>
    </row>
    <row r="90" spans="5:23">
      <c r="E90" s="104"/>
      <c r="J90" s="97"/>
      <c r="K90" s="97"/>
      <c r="L90" s="104">
        <f ca="1">IFERROR(__xludf.DUMMYFUNCTION("""COMPUTED_VALUE"""),149)</f>
        <v>149</v>
      </c>
      <c r="M90" s="20">
        <f ca="1">IFERROR(__xludf.DUMMYFUNCTION("""COMPUTED_VALUE"""),2022)</f>
        <v>2022</v>
      </c>
      <c r="N90" s="20" t="str">
        <f ca="1">IFERROR(__xludf.DUMMYFUNCTION("""COMPUTED_VALUE"""),"VIRTUAL")</f>
        <v>VIRTUAL</v>
      </c>
      <c r="O90" s="106">
        <f ca="1">IFERROR(__xludf.DUMMYFUNCTION("""COMPUTED_VALUE"""),44825)</f>
        <v>44825</v>
      </c>
      <c r="P90" s="20" t="str">
        <f ca="1">IFERROR(__xludf.DUMMYFUNCTION("""COMPUTED_VALUE"""),"NO")</f>
        <v>NO</v>
      </c>
      <c r="Q90" s="105" t="str">
        <f ca="1">IFERROR(__xludf.DUMMYFUNCTION("""COMPUTED_VALUE"""),"ASUNTOS CONSTITUCIONALES, JUSTICIA Y ACUERDOS")</f>
        <v>ASUNTOS CONSTITUCIONALES, JUSTICIA Y ACUERDOS</v>
      </c>
      <c r="W90" s="105"/>
    </row>
    <row r="91" spans="5:23">
      <c r="E91" s="104"/>
      <c r="J91" s="97"/>
      <c r="K91" s="97"/>
      <c r="L91" s="104">
        <f ca="1">IFERROR(__xludf.DUMMYFUNCTION("""COMPUTED_VALUE"""),156)</f>
        <v>156</v>
      </c>
      <c r="M91" s="20">
        <f ca="1">IFERROR(__xludf.DUMMYFUNCTION("""COMPUTED_VALUE"""),2022)</f>
        <v>2022</v>
      </c>
      <c r="N91" s="20" t="str">
        <f ca="1">IFERROR(__xludf.DUMMYFUNCTION("""COMPUTED_VALUE"""),"VIRTUAL")</f>
        <v>VIRTUAL</v>
      </c>
      <c r="O91" s="106">
        <f ca="1">IFERROR(__xludf.DUMMYFUNCTION("""COMPUTED_VALUE"""),44838)</f>
        <v>44838</v>
      </c>
      <c r="P91" s="20" t="str">
        <f ca="1">IFERROR(__xludf.DUMMYFUNCTION("""COMPUTED_VALUE"""),"NO")</f>
        <v>NO</v>
      </c>
      <c r="Q91" s="105" t="str">
        <f ca="1">IFERROR(__xludf.DUMMYFUNCTION("""COMPUTED_VALUE"""),"SALUD HUMANA")</f>
        <v>SALUD HUMANA</v>
      </c>
      <c r="W91" s="105"/>
    </row>
    <row r="92" spans="5:23">
      <c r="E92" s="104"/>
      <c r="J92" s="97"/>
      <c r="K92" s="97"/>
      <c r="L92" s="104">
        <f ca="1">IFERROR(__xludf.DUMMYFUNCTION("""COMPUTED_VALUE"""),159)</f>
        <v>159</v>
      </c>
      <c r="M92" s="20">
        <f ca="1">IFERROR(__xludf.DUMMYFUNCTION("""COMPUTED_VALUE"""),2022)</f>
        <v>2022</v>
      </c>
      <c r="N92" s="20" t="str">
        <f ca="1">IFERROR(__xludf.DUMMYFUNCTION("""COMPUTED_VALUE"""),"SEMIPRESENCIAL")</f>
        <v>SEMIPRESENCIAL</v>
      </c>
      <c r="O92" s="106">
        <f ca="1">IFERROR(__xludf.DUMMYFUNCTION("""COMPUTED_VALUE"""),44840)</f>
        <v>44840</v>
      </c>
      <c r="P92" s="20" t="str">
        <f ca="1">IFERROR(__xludf.DUMMYFUNCTION("""COMPUTED_VALUE"""),"NO")</f>
        <v>NO</v>
      </c>
      <c r="Q92" s="105" t="str">
        <f ca="1">IFERROR(__xludf.DUMMYFUNCTION("""COMPUTED_VALUE"""),"SERVICIOS PÚBLICOS")</f>
        <v>SERVICIOS PÚBLICOS</v>
      </c>
      <c r="W92" s="105"/>
    </row>
    <row r="93" spans="5:23">
      <c r="E93" s="104"/>
      <c r="J93" s="97"/>
      <c r="K93" s="97"/>
      <c r="L93" s="104">
        <f ca="1">IFERROR(__xludf.DUMMYFUNCTION("""COMPUTED_VALUE"""),189)</f>
        <v>189</v>
      </c>
      <c r="M93" s="20">
        <f ca="1">IFERROR(__xludf.DUMMYFUNCTION("""COMPUTED_VALUE"""),2022)</f>
        <v>2022</v>
      </c>
      <c r="N93" s="20" t="str">
        <f ca="1">IFERROR(__xludf.DUMMYFUNCTION("""COMPUTED_VALUE"""),"SEMIPRESENCIAL")</f>
        <v>SEMIPRESENCIAL</v>
      </c>
      <c r="O93" s="108">
        <f ca="1">IFERROR(__xludf.DUMMYFUNCTION("""COMPUTED_VALUE"""),44880)</f>
        <v>44880</v>
      </c>
      <c r="P93" s="20" t="str">
        <f ca="1">IFERROR(__xludf.DUMMYFUNCTION("""COMPUTED_VALUE"""),"NO")</f>
        <v>NO</v>
      </c>
      <c r="Q93" s="105" t="str">
        <f ca="1">IFERROR(__xludf.DUMMYFUNCTION("""COMPUTED_VALUE"""),"SALUD HUMANA")</f>
        <v>SALUD HUMANA</v>
      </c>
      <c r="W93" s="105"/>
    </row>
    <row r="94" spans="5:23">
      <c r="E94" s="104"/>
      <c r="J94" s="97"/>
      <c r="K94" s="97"/>
      <c r="L94" s="104">
        <f ca="1">IFERROR(__xludf.DUMMYFUNCTION("""COMPUTED_VALUE"""),190)</f>
        <v>190</v>
      </c>
      <c r="M94" s="20">
        <f ca="1">IFERROR(__xludf.DUMMYFUNCTION("""COMPUTED_VALUE"""),2022)</f>
        <v>2022</v>
      </c>
      <c r="N94" s="20" t="str">
        <f ca="1">IFERROR(__xludf.DUMMYFUNCTION("""COMPUTED_VALUE"""),"SEMIPRESENCIAL")</f>
        <v>SEMIPRESENCIAL</v>
      </c>
      <c r="O94" s="108">
        <f ca="1">IFERROR(__xludf.DUMMYFUNCTION("""COMPUTED_VALUE"""),44881)</f>
        <v>44881</v>
      </c>
      <c r="P94" s="20" t="str">
        <f ca="1">IFERROR(__xludf.DUMMYFUNCTION("""COMPUTED_VALUE"""),"SI")</f>
        <v>SI</v>
      </c>
      <c r="Q94" s="105" t="str">
        <f ca="1">IFERROR(__xludf.DUMMYFUNCTION("""COMPUTED_VALUE"""),"LEGISLACIÓN GENERAL;ASUNTOS CONSTITUCIONALES, JUSTICIA Y ACUERDOS")</f>
        <v>LEGISLACIÓN GENERAL;ASUNTOS CONSTITUCIONALES, JUSTICIA Y ACUERDOS</v>
      </c>
      <c r="W94" s="105"/>
    </row>
    <row r="95" spans="5:23">
      <c r="E95" s="104"/>
      <c r="J95" s="97"/>
      <c r="K95" s="97"/>
      <c r="L95" s="104">
        <f ca="1">IFERROR(__xludf.DUMMYFUNCTION("""COMPUTED_VALUE"""),194)</f>
        <v>194</v>
      </c>
      <c r="M95" s="20">
        <f ca="1">IFERROR(__xludf.DUMMYFUNCTION("""COMPUTED_VALUE"""),2022)</f>
        <v>2022</v>
      </c>
      <c r="N95" s="20" t="str">
        <f ca="1">IFERROR(__xludf.DUMMYFUNCTION("""COMPUTED_VALUE"""),"VIRTUAL")</f>
        <v>VIRTUAL</v>
      </c>
      <c r="O95" s="108">
        <f ca="1">IFERROR(__xludf.DUMMYFUNCTION("""COMPUTED_VALUE"""),44887)</f>
        <v>44887</v>
      </c>
      <c r="P95" s="20" t="str">
        <f ca="1">IFERROR(__xludf.DUMMYFUNCTION("""COMPUTED_VALUE"""),"SI")</f>
        <v>SI</v>
      </c>
      <c r="Q95" s="105" t="str">
        <f ca="1">IFERROR(__xludf.DUMMYFUNCTION("""COMPUTED_VALUE"""),"EDUCACIÓN, CULTURA, CIENCIA, TECNOLOGÍA E INFORMÁTICA;ECONOMÍA, PRESUPUESTO, GESTIÓN PÚBLICA E INNOVACIÓN")</f>
        <v>EDUCACIÓN, CULTURA, CIENCIA, TECNOLOGÍA E INFORMÁTICA;ECONOMÍA, PRESUPUESTO, GESTIÓN PÚBLICA E INNOVACIÓN</v>
      </c>
      <c r="W95" s="105"/>
    </row>
    <row r="96" spans="5:23">
      <c r="E96" s="104"/>
      <c r="J96" s="97"/>
      <c r="K96" s="97"/>
      <c r="L96" s="104">
        <f ca="1">IFERROR(__xludf.DUMMYFUNCTION("""COMPUTED_VALUE"""),200)</f>
        <v>200</v>
      </c>
      <c r="M96" s="20">
        <f ca="1">IFERROR(__xludf.DUMMYFUNCTION("""COMPUTED_VALUE"""),2022)</f>
        <v>2022</v>
      </c>
      <c r="N96" s="20" t="str">
        <f ca="1">IFERROR(__xludf.DUMMYFUNCTION("""COMPUTED_VALUE"""),"VIRTUAL")</f>
        <v>VIRTUAL</v>
      </c>
      <c r="O96" s="106">
        <f ca="1">IFERROR(__xludf.DUMMYFUNCTION("""COMPUTED_VALUE"""),44896)</f>
        <v>44896</v>
      </c>
      <c r="P96" s="20" t="str">
        <f ca="1">IFERROR(__xludf.DUMMYFUNCTION("""COMPUTED_VALUE"""),"NO")</f>
        <v>NO</v>
      </c>
      <c r="Q96" s="105" t="str">
        <f ca="1">IFERROR(__xludf.DUMMYFUNCTION("""COMPUTED_VALUE"""),"ASUNTOS CONSTITUCIONALES, JUSTICIA Y ACUERDOS")</f>
        <v>ASUNTOS CONSTITUCIONALES, JUSTICIA Y ACUERDOS</v>
      </c>
      <c r="W96" s="105"/>
    </row>
    <row r="97" spans="5:23">
      <c r="E97" s="104"/>
      <c r="J97" s="97"/>
      <c r="K97" s="97"/>
      <c r="L97" s="104">
        <f ca="1">IFERROR(__xludf.DUMMYFUNCTION("""COMPUTED_VALUE"""),206)</f>
        <v>206</v>
      </c>
      <c r="M97" s="20">
        <f ca="1">IFERROR(__xludf.DUMMYFUNCTION("""COMPUTED_VALUE"""),2022)</f>
        <v>2022</v>
      </c>
      <c r="N97" s="20" t="str">
        <f ca="1">IFERROR(__xludf.DUMMYFUNCTION("""COMPUTED_VALUE"""),"SEMIPRESENCIAL")</f>
        <v>SEMIPRESENCIAL</v>
      </c>
      <c r="O97" s="108">
        <f ca="1">IFERROR(__xludf.DUMMYFUNCTION("""COMPUTED_VALUE"""),44909)</f>
        <v>44909</v>
      </c>
      <c r="P97" s="20" t="str">
        <f ca="1">IFERROR(__xludf.DUMMYFUNCTION("""COMPUTED_VALUE"""),"SI")</f>
        <v>SI</v>
      </c>
      <c r="Q97" s="105" t="str">
        <f ca="1">IFERROR(__xludf.DUMMYFUNCTION("""COMPUTED_VALUE"""),"LEGISLACIÓN GENERAL;ASUNTOS CONSTITUCIONALES, JUSTICIA Y ACUERDOS")</f>
        <v>LEGISLACIÓN GENERAL;ASUNTOS CONSTITUCIONALES, JUSTICIA Y ACUERDOS</v>
      </c>
      <c r="W97" s="105"/>
    </row>
    <row r="98" spans="5:23">
      <c r="E98" s="104"/>
      <c r="J98" s="97"/>
      <c r="K98" s="97"/>
      <c r="L98" s="104">
        <f ca="1">IFERROR(__xludf.DUMMYFUNCTION("""COMPUTED_VALUE"""),209)</f>
        <v>209</v>
      </c>
      <c r="M98" s="20">
        <f ca="1">IFERROR(__xludf.DUMMYFUNCTION("""COMPUTED_VALUE"""),2022)</f>
        <v>2022</v>
      </c>
      <c r="N98" s="20" t="str">
        <f ca="1">IFERROR(__xludf.DUMMYFUNCTION("""COMPUTED_VALUE"""),"VIRTUAL")</f>
        <v>VIRTUAL</v>
      </c>
      <c r="O98" s="108">
        <f ca="1">IFERROR(__xludf.DUMMYFUNCTION("""COMPUTED_VALUE"""),44922)</f>
        <v>44922</v>
      </c>
      <c r="P98" s="20" t="str">
        <f ca="1">IFERROR(__xludf.DUMMYFUNCTION("""COMPUTED_VALUE"""),"NO")</f>
        <v>NO</v>
      </c>
      <c r="Q98" s="105" t="str">
        <f ca="1">IFERROR(__xludf.DUMMYFUNCTION("""COMPUTED_VALUE"""),"ASUNTOS INSTITUCIONALES, MUNICIPALES Y COMUNALES")</f>
        <v>ASUNTOS INSTITUCIONALES, MUNICIPALES Y COMUNALES</v>
      </c>
      <c r="W98" s="105"/>
    </row>
    <row r="99" spans="5:23">
      <c r="E99" s="104"/>
      <c r="J99" s="97"/>
      <c r="K99" s="97"/>
      <c r="L99" s="104">
        <f ca="1">IFERROR(__xludf.DUMMYFUNCTION("""COMPUTED_VALUE"""),8)</f>
        <v>8</v>
      </c>
      <c r="M99" s="20">
        <f ca="1">IFERROR(__xludf.DUMMYFUNCTION("""COMPUTED_VALUE"""),2023)</f>
        <v>2023</v>
      </c>
      <c r="N99" s="20" t="str">
        <f ca="1">IFERROR(__xludf.DUMMYFUNCTION("""COMPUTED_VALUE"""),"VIRTUAL")</f>
        <v>VIRTUAL</v>
      </c>
      <c r="O99" s="106">
        <f ca="1">IFERROR(__xludf.DUMMYFUNCTION("""COMPUTED_VALUE"""),44973)</f>
        <v>44973</v>
      </c>
      <c r="P99" s="20" t="str">
        <f ca="1">IFERROR(__xludf.DUMMYFUNCTION("""COMPUTED_VALUE"""),"NO")</f>
        <v>NO</v>
      </c>
      <c r="Q99" s="105" t="str">
        <f ca="1">IFERROR(__xludf.DUMMYFUNCTION("""COMPUTED_VALUE"""),"ASUNTOS INSTITUCIONALES, MUNICIPALES Y COMUNALES")</f>
        <v>ASUNTOS INSTITUCIONALES, MUNICIPALES Y COMUNALES</v>
      </c>
      <c r="W99" s="105"/>
    </row>
    <row r="100" spans="5:23">
      <c r="E100" s="104"/>
      <c r="J100" s="97"/>
      <c r="K100" s="97"/>
      <c r="L100" s="104">
        <f ca="1">IFERROR(__xludf.DUMMYFUNCTION("""COMPUTED_VALUE"""),11)</f>
        <v>11</v>
      </c>
      <c r="M100" s="20">
        <f ca="1">IFERROR(__xludf.DUMMYFUNCTION("""COMPUTED_VALUE"""),2023)</f>
        <v>2023</v>
      </c>
      <c r="N100" s="20" t="str">
        <f ca="1">IFERROR(__xludf.DUMMYFUNCTION("""COMPUTED_VALUE"""),"VIRTUAL")</f>
        <v>VIRTUAL</v>
      </c>
      <c r="O100" s="106">
        <f ca="1">IFERROR(__xludf.DUMMYFUNCTION("""COMPUTED_VALUE"""),44985)</f>
        <v>44985</v>
      </c>
      <c r="P100" s="20" t="str">
        <f ca="1">IFERROR(__xludf.DUMMYFUNCTION("""COMPUTED_VALUE"""),"NO")</f>
        <v>NO</v>
      </c>
      <c r="Q100" s="105" t="str">
        <f ca="1">IFERROR(__xludf.DUMMYFUNCTION("""COMPUTED_VALUE"""),"ASUNTOS INSTITUCIONALES, MUNICIPALES Y COMUNALES")</f>
        <v>ASUNTOS INSTITUCIONALES, MUNICIPALES Y COMUNALES</v>
      </c>
      <c r="W100" s="105"/>
    </row>
    <row r="101" spans="5:23">
      <c r="E101" s="104"/>
      <c r="J101" s="97"/>
      <c r="K101" s="97"/>
      <c r="L101" s="104">
        <f ca="1">IFERROR(__xludf.DUMMYFUNCTION("""COMPUTED_VALUE"""),17)</f>
        <v>17</v>
      </c>
      <c r="M101" s="20">
        <f ca="1">IFERROR(__xludf.DUMMYFUNCTION("""COMPUTED_VALUE"""),2023)</f>
        <v>2023</v>
      </c>
      <c r="N101" s="20" t="str">
        <f ca="1">IFERROR(__xludf.DUMMYFUNCTION("""COMPUTED_VALUE"""),"VIRTUAL")</f>
        <v>VIRTUAL</v>
      </c>
      <c r="O101" s="106">
        <f ca="1">IFERROR(__xludf.DUMMYFUNCTION("""COMPUTED_VALUE"""),44992)</f>
        <v>44992</v>
      </c>
      <c r="P101" s="20" t="str">
        <f ca="1">IFERROR(__xludf.DUMMYFUNCTION("""COMPUTED_VALUE"""),"NO")</f>
        <v>NO</v>
      </c>
      <c r="Q101" s="105" t="str">
        <f ca="1">IFERROR(__xludf.DUMMYFUNCTION("""COMPUTED_VALUE"""),"TURISMO Y SU RELACIÓN CON EL DESARROLLO REGIONAL")</f>
        <v>TURISMO Y SU RELACIÓN CON EL DESARROLLO REGIONAL</v>
      </c>
      <c r="W101" s="105"/>
    </row>
    <row r="102" spans="5:23">
      <c r="E102" s="104"/>
      <c r="J102" s="97"/>
      <c r="K102" s="97"/>
      <c r="L102" s="104">
        <f ca="1">IFERROR(__xludf.DUMMYFUNCTION("""COMPUTED_VALUE"""),75)</f>
        <v>75</v>
      </c>
      <c r="M102" s="20">
        <f ca="1">IFERROR(__xludf.DUMMYFUNCTION("""COMPUTED_VALUE"""),2023)</f>
        <v>2023</v>
      </c>
      <c r="N102" s="20" t="str">
        <f ca="1">IFERROR(__xludf.DUMMYFUNCTION("""COMPUTED_VALUE"""),"VIRTUAL")</f>
        <v>VIRTUAL</v>
      </c>
      <c r="O102" s="106">
        <f ca="1">IFERROR(__xludf.DUMMYFUNCTION("""COMPUTED_VALUE"""),45132)</f>
        <v>45132</v>
      </c>
      <c r="P102" s="20" t="str">
        <f ca="1">IFERROR(__xludf.DUMMYFUNCTION("""COMPUTED_VALUE"""),"NO")</f>
        <v>NO</v>
      </c>
      <c r="Q102" s="105" t="str">
        <f ca="1">IFERROR(__xludf.DUMMYFUNCTION("""COMPUTED_VALUE"""),"EQUIDAD Y LUCHA CONTRA LA VIOLENCIA DE GÉNERO")</f>
        <v>EQUIDAD Y LUCHA CONTRA LA VIOLENCIA DE GÉNERO</v>
      </c>
      <c r="W102" s="105"/>
    </row>
    <row r="103" spans="5:23">
      <c r="E103" s="104"/>
      <c r="J103" s="97"/>
      <c r="K103" s="97"/>
      <c r="L103" s="104"/>
      <c r="Q103" s="105"/>
      <c r="W103" s="105"/>
    </row>
    <row r="104" spans="5:23">
      <c r="E104" s="104"/>
      <c r="J104" s="97"/>
      <c r="K104" s="97"/>
      <c r="L104" s="104"/>
      <c r="Q104" s="105"/>
      <c r="W104" s="105"/>
    </row>
    <row r="105" spans="5:23">
      <c r="E105" s="104"/>
      <c r="J105" s="97"/>
      <c r="K105" s="97"/>
      <c r="L105" s="104"/>
      <c r="Q105" s="105"/>
      <c r="W105" s="105"/>
    </row>
    <row r="106" spans="5:23">
      <c r="E106" s="104"/>
      <c r="J106" s="97"/>
      <c r="K106" s="97"/>
      <c r="L106" s="104"/>
      <c r="Q106" s="105"/>
      <c r="W106" s="105"/>
    </row>
    <row r="107" spans="5:23">
      <c r="E107" s="104"/>
      <c r="J107" s="97"/>
      <c r="K107" s="97"/>
      <c r="L107" s="104"/>
      <c r="Q107" s="105"/>
      <c r="W107" s="105"/>
    </row>
    <row r="108" spans="5:23">
      <c r="E108" s="104"/>
      <c r="J108" s="97"/>
      <c r="K108" s="97"/>
      <c r="L108" s="104"/>
      <c r="Q108" s="105"/>
      <c r="W108" s="105"/>
    </row>
    <row r="109" spans="5:23">
      <c r="E109" s="104"/>
      <c r="J109" s="97"/>
      <c r="K109" s="97"/>
      <c r="L109" s="104"/>
      <c r="Q109" s="105"/>
      <c r="W109" s="105"/>
    </row>
    <row r="110" spans="5:23">
      <c r="E110" s="104"/>
      <c r="J110" s="97"/>
      <c r="K110" s="97"/>
      <c r="L110" s="104"/>
      <c r="Q110" s="105"/>
      <c r="W110" s="105"/>
    </row>
    <row r="111" spans="5:23">
      <c r="E111" s="104"/>
      <c r="J111" s="97"/>
      <c r="K111" s="97"/>
      <c r="L111" s="104"/>
      <c r="Q111" s="105"/>
      <c r="W111" s="105"/>
    </row>
    <row r="112" spans="5:23">
      <c r="E112" s="104"/>
      <c r="J112" s="97"/>
      <c r="K112" s="97"/>
      <c r="L112" s="104"/>
      <c r="Q112" s="105"/>
      <c r="W112" s="105"/>
    </row>
    <row r="113" spans="5:23">
      <c r="E113" s="104"/>
      <c r="J113" s="97"/>
      <c r="K113" s="97"/>
      <c r="L113" s="104"/>
      <c r="Q113" s="105"/>
      <c r="W113" s="105"/>
    </row>
    <row r="114" spans="5:23">
      <c r="E114" s="104"/>
      <c r="J114" s="97"/>
      <c r="K114" s="97"/>
      <c r="L114" s="104"/>
      <c r="Q114" s="105"/>
      <c r="W114" s="105"/>
    </row>
    <row r="115" spans="5:23">
      <c r="E115" s="104"/>
      <c r="J115" s="97"/>
      <c r="K115" s="97"/>
      <c r="L115" s="104"/>
      <c r="Q115" s="105"/>
      <c r="W115" s="105"/>
    </row>
    <row r="116" spans="5:23">
      <c r="E116" s="104"/>
      <c r="J116" s="97"/>
      <c r="K116" s="97"/>
      <c r="L116" s="104"/>
      <c r="Q116" s="105"/>
      <c r="W116" s="105"/>
    </row>
    <row r="117" spans="5:23">
      <c r="E117" s="104"/>
      <c r="J117" s="97"/>
      <c r="K117" s="97"/>
      <c r="L117" s="104"/>
      <c r="Q117" s="105"/>
      <c r="W117" s="105"/>
    </row>
    <row r="118" spans="5:23">
      <c r="E118" s="104"/>
      <c r="J118" s="97"/>
      <c r="K118" s="97"/>
      <c r="L118" s="104"/>
      <c r="Q118" s="105"/>
      <c r="W118" s="105"/>
    </row>
    <row r="119" spans="5:23">
      <c r="E119" s="104"/>
      <c r="J119" s="97"/>
      <c r="K119" s="97"/>
      <c r="L119" s="104"/>
      <c r="Q119" s="105"/>
      <c r="W119" s="105"/>
    </row>
    <row r="120" spans="5:23">
      <c r="E120" s="104"/>
      <c r="J120" s="97"/>
      <c r="K120" s="97"/>
      <c r="L120" s="104"/>
      <c r="Q120" s="105"/>
      <c r="W120" s="105"/>
    </row>
    <row r="121" spans="5:23">
      <c r="E121" s="104"/>
      <c r="J121" s="97"/>
      <c r="K121" s="97"/>
      <c r="L121" s="104"/>
      <c r="Q121" s="105"/>
      <c r="W121" s="105"/>
    </row>
    <row r="122" spans="5:23">
      <c r="E122" s="104"/>
      <c r="J122" s="97"/>
      <c r="K122" s="97"/>
      <c r="L122" s="104"/>
      <c r="Q122" s="105"/>
      <c r="W122" s="105"/>
    </row>
    <row r="123" spans="5:23">
      <c r="E123" s="104"/>
      <c r="J123" s="97"/>
      <c r="K123" s="97"/>
      <c r="L123" s="104"/>
      <c r="Q123" s="105"/>
      <c r="W123" s="105"/>
    </row>
    <row r="124" spans="5:23">
      <c r="E124" s="104"/>
      <c r="J124" s="97"/>
      <c r="K124" s="97"/>
      <c r="L124" s="104"/>
      <c r="Q124" s="105"/>
      <c r="W124" s="105"/>
    </row>
    <row r="125" spans="5:23">
      <c r="E125" s="104"/>
      <c r="J125" s="97"/>
      <c r="K125" s="97"/>
      <c r="L125" s="104"/>
      <c r="Q125" s="105"/>
      <c r="W125" s="105"/>
    </row>
    <row r="126" spans="5:23">
      <c r="E126" s="104"/>
      <c r="J126" s="97"/>
      <c r="K126" s="97"/>
      <c r="L126" s="104"/>
      <c r="Q126" s="105"/>
      <c r="W126" s="105"/>
    </row>
    <row r="127" spans="5:23">
      <c r="E127" s="104"/>
      <c r="J127" s="97"/>
      <c r="K127" s="97"/>
      <c r="L127" s="104"/>
      <c r="Q127" s="105"/>
      <c r="W127" s="105"/>
    </row>
    <row r="128" spans="5:23">
      <c r="E128" s="104"/>
      <c r="J128" s="97"/>
      <c r="K128" s="97"/>
      <c r="L128" s="104"/>
      <c r="Q128" s="105"/>
      <c r="W128" s="105"/>
    </row>
    <row r="129" spans="5:23">
      <c r="E129" s="104"/>
      <c r="J129" s="97"/>
      <c r="K129" s="97"/>
      <c r="L129" s="104"/>
      <c r="Q129" s="105"/>
      <c r="W129" s="105"/>
    </row>
    <row r="130" spans="5:23">
      <c r="E130" s="104"/>
      <c r="J130" s="97"/>
      <c r="K130" s="97"/>
      <c r="L130" s="104"/>
      <c r="Q130" s="105"/>
      <c r="W130" s="105"/>
    </row>
    <row r="131" spans="5:23">
      <c r="E131" s="104"/>
      <c r="J131" s="97"/>
      <c r="K131" s="97"/>
      <c r="L131" s="104"/>
      <c r="Q131" s="105"/>
      <c r="W131" s="105"/>
    </row>
    <row r="132" spans="5:23">
      <c r="E132" s="104"/>
      <c r="J132" s="97"/>
      <c r="K132" s="97"/>
      <c r="L132" s="104"/>
      <c r="Q132" s="105"/>
      <c r="W132" s="105"/>
    </row>
    <row r="133" spans="5:23">
      <c r="E133" s="104"/>
      <c r="J133" s="97"/>
      <c r="K133" s="97"/>
      <c r="L133" s="104"/>
      <c r="Q133" s="105"/>
      <c r="W133" s="105"/>
    </row>
    <row r="134" spans="5:23">
      <c r="E134" s="104"/>
      <c r="J134" s="97"/>
      <c r="K134" s="97"/>
      <c r="L134" s="104"/>
      <c r="Q134" s="105"/>
      <c r="W134" s="105"/>
    </row>
    <row r="135" spans="5:23">
      <c r="E135" s="104"/>
      <c r="J135" s="97"/>
      <c r="K135" s="97"/>
      <c r="L135" s="104"/>
      <c r="Q135" s="105"/>
      <c r="W135" s="105"/>
    </row>
    <row r="136" spans="5:23">
      <c r="E136" s="104"/>
      <c r="J136" s="97"/>
      <c r="K136" s="97"/>
      <c r="L136" s="104"/>
      <c r="Q136" s="105"/>
      <c r="W136" s="105"/>
    </row>
    <row r="137" spans="5:23">
      <c r="E137" s="104"/>
      <c r="J137" s="97"/>
      <c r="K137" s="97"/>
      <c r="L137" s="104"/>
      <c r="Q137" s="105"/>
      <c r="W137" s="105"/>
    </row>
    <row r="138" spans="5:23">
      <c r="E138" s="104"/>
      <c r="J138" s="97"/>
      <c r="K138" s="97"/>
      <c r="L138" s="104"/>
      <c r="Q138" s="105"/>
      <c r="W138" s="105"/>
    </row>
    <row r="139" spans="5:23">
      <c r="E139" s="104"/>
      <c r="J139" s="97"/>
      <c r="K139" s="97"/>
      <c r="L139" s="104"/>
      <c r="Q139" s="105"/>
      <c r="W139" s="105"/>
    </row>
    <row r="140" spans="5:23">
      <c r="E140" s="104"/>
      <c r="J140" s="97"/>
      <c r="K140" s="97"/>
      <c r="L140" s="104"/>
      <c r="Q140" s="105"/>
      <c r="W140" s="105"/>
    </row>
    <row r="141" spans="5:23">
      <c r="E141" s="104"/>
      <c r="J141" s="97"/>
      <c r="K141" s="97"/>
      <c r="L141" s="104"/>
      <c r="Q141" s="105"/>
      <c r="W141" s="105"/>
    </row>
    <row r="142" spans="5:23">
      <c r="E142" s="104"/>
      <c r="J142" s="97"/>
      <c r="K142" s="97"/>
      <c r="L142" s="104"/>
      <c r="Q142" s="105"/>
      <c r="W142" s="105"/>
    </row>
    <row r="143" spans="5:23">
      <c r="E143" s="104"/>
      <c r="J143" s="97"/>
      <c r="K143" s="97"/>
      <c r="L143" s="104"/>
      <c r="Q143" s="105"/>
      <c r="W143" s="105"/>
    </row>
    <row r="144" spans="5:23">
      <c r="E144" s="104"/>
      <c r="J144" s="97"/>
      <c r="K144" s="97"/>
      <c r="L144" s="104"/>
      <c r="Q144" s="105"/>
      <c r="W144" s="105"/>
    </row>
    <row r="145" spans="5:23">
      <c r="E145" s="104"/>
      <c r="J145" s="97"/>
      <c r="K145" s="97"/>
      <c r="L145" s="104"/>
      <c r="Q145" s="105"/>
      <c r="W145" s="105"/>
    </row>
    <row r="146" spans="5:23">
      <c r="E146" s="104"/>
      <c r="J146" s="97"/>
      <c r="K146" s="97"/>
      <c r="L146" s="104"/>
      <c r="Q146" s="105"/>
      <c r="W146" s="105"/>
    </row>
    <row r="147" spans="5:23">
      <c r="E147" s="104"/>
      <c r="J147" s="97"/>
      <c r="K147" s="97"/>
      <c r="L147" s="104"/>
      <c r="Q147" s="105"/>
      <c r="W147" s="105"/>
    </row>
    <row r="148" spans="5:23">
      <c r="E148" s="104"/>
      <c r="J148" s="97"/>
      <c r="K148" s="97"/>
      <c r="L148" s="104"/>
      <c r="Q148" s="105"/>
      <c r="W148" s="105"/>
    </row>
    <row r="149" spans="5:23">
      <c r="E149" s="104"/>
      <c r="J149" s="97"/>
      <c r="K149" s="97"/>
      <c r="L149" s="104"/>
      <c r="Q149" s="105"/>
      <c r="W149" s="105"/>
    </row>
    <row r="150" spans="5:23">
      <c r="E150" s="104"/>
      <c r="J150" s="97"/>
      <c r="K150" s="97"/>
      <c r="L150" s="104"/>
      <c r="Q150" s="105"/>
      <c r="W150" s="105"/>
    </row>
    <row r="151" spans="5:23">
      <c r="E151" s="104"/>
      <c r="J151" s="97"/>
      <c r="K151" s="97"/>
      <c r="L151" s="104"/>
      <c r="Q151" s="105"/>
      <c r="W151" s="105"/>
    </row>
    <row r="152" spans="5:23">
      <c r="E152" s="104"/>
      <c r="J152" s="97"/>
      <c r="K152" s="97"/>
      <c r="L152" s="104"/>
      <c r="Q152" s="105"/>
      <c r="W152" s="105"/>
    </row>
    <row r="153" spans="5:23">
      <c r="E153" s="104"/>
      <c r="J153" s="97"/>
      <c r="K153" s="97"/>
      <c r="L153" s="104"/>
      <c r="Q153" s="105"/>
      <c r="W153" s="105"/>
    </row>
    <row r="154" spans="5:23">
      <c r="E154" s="104"/>
      <c r="J154" s="97"/>
      <c r="K154" s="97"/>
      <c r="L154" s="104"/>
      <c r="Q154" s="105"/>
      <c r="W154" s="105"/>
    </row>
    <row r="155" spans="5:23">
      <c r="E155" s="104"/>
      <c r="J155" s="97"/>
      <c r="K155" s="97"/>
      <c r="L155" s="104"/>
      <c r="Q155" s="105"/>
      <c r="W155" s="105"/>
    </row>
    <row r="156" spans="5:23">
      <c r="E156" s="104"/>
      <c r="J156" s="97"/>
      <c r="K156" s="97"/>
      <c r="L156" s="104"/>
      <c r="Q156" s="105"/>
      <c r="W156" s="105"/>
    </row>
    <row r="157" spans="5:23">
      <c r="E157" s="104"/>
      <c r="J157" s="97"/>
      <c r="K157" s="97"/>
      <c r="L157" s="104"/>
      <c r="Q157" s="105"/>
      <c r="W157" s="105"/>
    </row>
    <row r="158" spans="5:23">
      <c r="E158" s="104"/>
      <c r="J158" s="97"/>
      <c r="K158" s="97"/>
      <c r="L158" s="104"/>
      <c r="Q158" s="105"/>
      <c r="W158" s="105"/>
    </row>
    <row r="159" spans="5:23">
      <c r="E159" s="104"/>
      <c r="J159" s="97"/>
      <c r="K159" s="97"/>
      <c r="L159" s="104"/>
      <c r="Q159" s="105"/>
      <c r="W159" s="105"/>
    </row>
    <row r="160" spans="5:23">
      <c r="E160" s="104"/>
      <c r="J160" s="97"/>
      <c r="K160" s="97"/>
      <c r="L160" s="104"/>
      <c r="Q160" s="105"/>
      <c r="W160" s="105"/>
    </row>
    <row r="161" spans="5:23">
      <c r="E161" s="104"/>
      <c r="J161" s="97"/>
      <c r="K161" s="97"/>
      <c r="L161" s="104"/>
      <c r="Q161" s="105"/>
      <c r="W161" s="105"/>
    </row>
    <row r="162" spans="5:23">
      <c r="E162" s="104"/>
      <c r="J162" s="97"/>
      <c r="K162" s="97"/>
      <c r="L162" s="104"/>
      <c r="Q162" s="105"/>
      <c r="W162" s="105"/>
    </row>
    <row r="163" spans="5:23">
      <c r="E163" s="104"/>
      <c r="J163" s="97"/>
      <c r="K163" s="97"/>
      <c r="L163" s="104"/>
      <c r="Q163" s="105"/>
      <c r="W163" s="105"/>
    </row>
    <row r="164" spans="5:23">
      <c r="E164" s="104"/>
      <c r="J164" s="97"/>
      <c r="K164" s="97"/>
      <c r="L164" s="104"/>
      <c r="Q164" s="105"/>
      <c r="W164" s="105"/>
    </row>
    <row r="165" spans="5:23">
      <c r="E165" s="104"/>
      <c r="J165" s="97"/>
      <c r="K165" s="97"/>
      <c r="L165" s="104"/>
      <c r="Q165" s="105"/>
      <c r="W165" s="105"/>
    </row>
    <row r="166" spans="5:23">
      <c r="E166" s="104"/>
      <c r="J166" s="97"/>
      <c r="K166" s="97"/>
      <c r="L166" s="104"/>
      <c r="Q166" s="105"/>
      <c r="W166" s="105"/>
    </row>
    <row r="167" spans="5:23">
      <c r="E167" s="104"/>
      <c r="J167" s="97"/>
      <c r="K167" s="97"/>
      <c r="L167" s="104"/>
      <c r="Q167" s="105"/>
      <c r="W167" s="105"/>
    </row>
    <row r="168" spans="5:23">
      <c r="E168" s="104"/>
      <c r="J168" s="97"/>
      <c r="K168" s="97"/>
      <c r="L168" s="104"/>
      <c r="Q168" s="105"/>
      <c r="W168" s="105"/>
    </row>
    <row r="169" spans="5:23">
      <c r="E169" s="104"/>
      <c r="J169" s="97"/>
      <c r="K169" s="97"/>
      <c r="L169" s="104"/>
      <c r="Q169" s="105"/>
      <c r="W169" s="105"/>
    </row>
    <row r="170" spans="5:23">
      <c r="E170" s="104"/>
      <c r="J170" s="97"/>
      <c r="K170" s="97"/>
      <c r="L170" s="104"/>
      <c r="Q170" s="105"/>
      <c r="W170" s="105"/>
    </row>
    <row r="171" spans="5:23">
      <c r="E171" s="104"/>
      <c r="J171" s="97"/>
      <c r="K171" s="97"/>
      <c r="L171" s="104"/>
      <c r="Q171" s="105"/>
      <c r="W171" s="105"/>
    </row>
    <row r="172" spans="5:23">
      <c r="E172" s="104"/>
      <c r="J172" s="97"/>
      <c r="K172" s="97"/>
      <c r="L172" s="104"/>
      <c r="Q172" s="105"/>
      <c r="W172" s="105"/>
    </row>
    <row r="173" spans="5:23">
      <c r="E173" s="104"/>
      <c r="J173" s="97"/>
      <c r="K173" s="97"/>
      <c r="L173" s="104"/>
      <c r="Q173" s="105"/>
      <c r="W173" s="105"/>
    </row>
    <row r="174" spans="5:23">
      <c r="E174" s="104"/>
      <c r="J174" s="97"/>
      <c r="K174" s="97"/>
      <c r="L174" s="104"/>
      <c r="Q174" s="105"/>
      <c r="W174" s="105"/>
    </row>
    <row r="175" spans="5:23">
      <c r="E175" s="104"/>
      <c r="J175" s="97"/>
      <c r="K175" s="97"/>
      <c r="L175" s="104"/>
      <c r="Q175" s="105"/>
      <c r="W175" s="105"/>
    </row>
    <row r="176" spans="5:23">
      <c r="E176" s="104"/>
      <c r="J176" s="97"/>
      <c r="K176" s="97"/>
      <c r="L176" s="104"/>
      <c r="Q176" s="105"/>
      <c r="W176" s="105"/>
    </row>
    <row r="177" spans="5:23">
      <c r="E177" s="104"/>
      <c r="J177" s="97"/>
      <c r="K177" s="97"/>
      <c r="L177" s="104"/>
      <c r="Q177" s="105"/>
      <c r="W177" s="105"/>
    </row>
    <row r="178" spans="5:23">
      <c r="E178" s="104"/>
      <c r="J178" s="97"/>
      <c r="K178" s="97"/>
      <c r="L178" s="104"/>
      <c r="Q178" s="105"/>
      <c r="W178" s="105"/>
    </row>
    <row r="179" spans="5:23">
      <c r="E179" s="104"/>
      <c r="J179" s="97"/>
      <c r="K179" s="97"/>
      <c r="L179" s="104"/>
      <c r="Q179" s="105"/>
      <c r="W179" s="105"/>
    </row>
    <row r="180" spans="5:23">
      <c r="E180" s="104"/>
      <c r="J180" s="97"/>
      <c r="K180" s="97"/>
      <c r="L180" s="104"/>
      <c r="Q180" s="105"/>
      <c r="W180" s="105"/>
    </row>
    <row r="181" spans="5:23">
      <c r="E181" s="104"/>
      <c r="J181" s="97"/>
      <c r="K181" s="97"/>
      <c r="L181" s="104"/>
      <c r="Q181" s="105"/>
      <c r="W181" s="105"/>
    </row>
    <row r="182" spans="5:23">
      <c r="E182" s="104"/>
      <c r="J182" s="97"/>
      <c r="K182" s="97"/>
      <c r="L182" s="104"/>
      <c r="Q182" s="105"/>
      <c r="W182" s="105"/>
    </row>
    <row r="183" spans="5:23">
      <c r="E183" s="104"/>
      <c r="J183" s="97"/>
      <c r="K183" s="97"/>
      <c r="L183" s="104"/>
      <c r="Q183" s="105"/>
      <c r="W183" s="105"/>
    </row>
    <row r="184" spans="5:23">
      <c r="E184" s="104"/>
      <c r="J184" s="97"/>
      <c r="K184" s="97"/>
      <c r="L184" s="104"/>
      <c r="Q184" s="105"/>
      <c r="W184" s="105"/>
    </row>
    <row r="185" spans="5:23">
      <c r="E185" s="104"/>
      <c r="J185" s="97"/>
      <c r="K185" s="97"/>
      <c r="L185" s="104"/>
      <c r="Q185" s="105"/>
      <c r="W185" s="105"/>
    </row>
    <row r="186" spans="5:23">
      <c r="E186" s="104"/>
      <c r="J186" s="97"/>
      <c r="K186" s="97"/>
      <c r="L186" s="104"/>
      <c r="Q186" s="105"/>
      <c r="W186" s="105"/>
    </row>
    <row r="187" spans="5:23">
      <c r="E187" s="104"/>
      <c r="J187" s="97"/>
      <c r="K187" s="97"/>
      <c r="L187" s="104"/>
      <c r="Q187" s="105"/>
      <c r="W187" s="105"/>
    </row>
    <row r="188" spans="5:23">
      <c r="E188" s="104"/>
      <c r="J188" s="97"/>
      <c r="K188" s="97"/>
      <c r="L188" s="104"/>
      <c r="Q188" s="105"/>
      <c r="W188" s="105"/>
    </row>
    <row r="189" spans="5:23">
      <c r="E189" s="104"/>
      <c r="J189" s="97"/>
      <c r="K189" s="97"/>
      <c r="L189" s="104"/>
      <c r="Q189" s="105"/>
      <c r="W189" s="105"/>
    </row>
    <row r="190" spans="5:23">
      <c r="E190" s="104"/>
      <c r="J190" s="97"/>
      <c r="K190" s="97"/>
      <c r="L190" s="104"/>
      <c r="Q190" s="105"/>
      <c r="W190" s="105"/>
    </row>
    <row r="191" spans="5:23">
      <c r="E191" s="104"/>
      <c r="J191" s="97"/>
      <c r="K191" s="97"/>
      <c r="L191" s="104"/>
      <c r="Q191" s="105"/>
      <c r="W191" s="105"/>
    </row>
    <row r="192" spans="5:23">
      <c r="E192" s="104"/>
      <c r="J192" s="97"/>
      <c r="K192" s="97"/>
      <c r="L192" s="104"/>
      <c r="Q192" s="105"/>
      <c r="W192" s="105"/>
    </row>
    <row r="193" spans="5:23">
      <c r="E193" s="104"/>
      <c r="J193" s="97"/>
      <c r="K193" s="97"/>
      <c r="L193" s="104"/>
      <c r="Q193" s="105"/>
      <c r="W193" s="105"/>
    </row>
    <row r="194" spans="5:23">
      <c r="E194" s="104"/>
      <c r="J194" s="97"/>
      <c r="K194" s="97"/>
      <c r="L194" s="104"/>
      <c r="Q194" s="105"/>
      <c r="W194" s="105"/>
    </row>
    <row r="195" spans="5:23">
      <c r="E195" s="104"/>
      <c r="J195" s="97"/>
      <c r="K195" s="97"/>
      <c r="L195" s="104"/>
      <c r="Q195" s="105"/>
      <c r="W195" s="105"/>
    </row>
    <row r="196" spans="5:23">
      <c r="E196" s="104"/>
      <c r="J196" s="97"/>
      <c r="K196" s="97"/>
      <c r="L196" s="104"/>
      <c r="Q196" s="105"/>
      <c r="W196" s="105"/>
    </row>
    <row r="197" spans="5:23">
      <c r="E197" s="104"/>
      <c r="J197" s="97"/>
      <c r="K197" s="97"/>
      <c r="L197" s="104"/>
      <c r="Q197" s="105"/>
      <c r="W197" s="105"/>
    </row>
    <row r="198" spans="5:23">
      <c r="E198" s="104"/>
      <c r="J198" s="97"/>
      <c r="K198" s="97"/>
      <c r="L198" s="104"/>
      <c r="Q198" s="105"/>
      <c r="W198" s="105"/>
    </row>
    <row r="199" spans="5:23">
      <c r="E199" s="104"/>
      <c r="J199" s="97"/>
      <c r="K199" s="97"/>
      <c r="L199" s="104"/>
      <c r="Q199" s="105"/>
      <c r="W199" s="105"/>
    </row>
    <row r="200" spans="5:23">
      <c r="E200" s="104"/>
      <c r="J200" s="97"/>
      <c r="K200" s="97"/>
      <c r="L200" s="104"/>
      <c r="Q200" s="105"/>
      <c r="W200" s="105"/>
    </row>
    <row r="201" spans="5:23">
      <c r="E201" s="104"/>
      <c r="J201" s="97"/>
      <c r="K201" s="97"/>
      <c r="L201" s="104"/>
      <c r="Q201" s="105"/>
      <c r="W201" s="105"/>
    </row>
    <row r="202" spans="5:23">
      <c r="E202" s="104"/>
      <c r="J202" s="97"/>
      <c r="K202" s="97"/>
      <c r="L202" s="104"/>
      <c r="Q202" s="105"/>
      <c r="W202" s="105"/>
    </row>
    <row r="203" spans="5:23">
      <c r="E203" s="104"/>
      <c r="J203" s="97"/>
      <c r="K203" s="97"/>
      <c r="L203" s="104"/>
      <c r="Q203" s="105"/>
      <c r="W203" s="105"/>
    </row>
    <row r="204" spans="5:23">
      <c r="E204" s="104"/>
      <c r="J204" s="97"/>
      <c r="K204" s="97"/>
      <c r="L204" s="104"/>
      <c r="Q204" s="105"/>
      <c r="W204" s="105"/>
    </row>
    <row r="205" spans="5:23">
      <c r="E205" s="104"/>
      <c r="J205" s="97"/>
      <c r="K205" s="97"/>
      <c r="L205" s="104"/>
      <c r="Q205" s="105"/>
      <c r="W205" s="105"/>
    </row>
    <row r="206" spans="5:23">
      <c r="E206" s="104"/>
      <c r="J206" s="97"/>
      <c r="K206" s="97"/>
      <c r="L206" s="104"/>
      <c r="Q206" s="105"/>
      <c r="W206" s="105"/>
    </row>
    <row r="207" spans="5:23">
      <c r="E207" s="104"/>
      <c r="J207" s="97"/>
      <c r="K207" s="97"/>
      <c r="L207" s="104"/>
      <c r="Q207" s="105"/>
      <c r="W207" s="105"/>
    </row>
    <row r="208" spans="5:23">
      <c r="E208" s="104"/>
      <c r="J208" s="97"/>
      <c r="K208" s="97"/>
      <c r="L208" s="104"/>
      <c r="Q208" s="105"/>
      <c r="W208" s="105"/>
    </row>
    <row r="209" spans="5:23">
      <c r="E209" s="104"/>
      <c r="J209" s="97"/>
      <c r="K209" s="97"/>
      <c r="L209" s="104"/>
      <c r="Q209" s="105"/>
      <c r="W209" s="105"/>
    </row>
    <row r="210" spans="5:23">
      <c r="E210" s="104"/>
      <c r="J210" s="97"/>
      <c r="K210" s="97"/>
      <c r="L210" s="104"/>
      <c r="Q210" s="105"/>
      <c r="W210" s="105"/>
    </row>
    <row r="211" spans="5:23">
      <c r="E211" s="104"/>
      <c r="J211" s="97"/>
      <c r="K211" s="97"/>
      <c r="L211" s="104"/>
      <c r="Q211" s="105"/>
      <c r="W211" s="105"/>
    </row>
    <row r="212" spans="5:23">
      <c r="E212" s="104"/>
      <c r="J212" s="97"/>
      <c r="K212" s="97"/>
      <c r="L212" s="104"/>
      <c r="Q212" s="105"/>
      <c r="W212" s="105"/>
    </row>
    <row r="213" spans="5:23">
      <c r="E213" s="104"/>
      <c r="J213" s="97"/>
      <c r="K213" s="97"/>
      <c r="L213" s="104"/>
      <c r="Q213" s="105"/>
      <c r="W213" s="105"/>
    </row>
    <row r="214" spans="5:23">
      <c r="E214" s="104"/>
      <c r="J214" s="97"/>
      <c r="K214" s="97"/>
      <c r="L214" s="104"/>
      <c r="Q214" s="105"/>
      <c r="W214" s="105"/>
    </row>
    <row r="215" spans="5:23">
      <c r="E215" s="104"/>
      <c r="J215" s="97"/>
      <c r="K215" s="97"/>
      <c r="L215" s="104"/>
      <c r="Q215" s="105"/>
      <c r="W215" s="105"/>
    </row>
    <row r="216" spans="5:23">
      <c r="E216" s="104"/>
      <c r="J216" s="97"/>
      <c r="K216" s="97"/>
      <c r="L216" s="104"/>
      <c r="Q216" s="105"/>
      <c r="W216" s="105"/>
    </row>
    <row r="217" spans="5:23">
      <c r="E217" s="104"/>
      <c r="J217" s="97"/>
      <c r="K217" s="97"/>
      <c r="L217" s="104"/>
      <c r="Q217" s="105"/>
      <c r="W217" s="105"/>
    </row>
    <row r="218" spans="5:23">
      <c r="E218" s="104"/>
      <c r="J218" s="97"/>
      <c r="K218" s="97"/>
      <c r="L218" s="104"/>
      <c r="Q218" s="105"/>
      <c r="W218" s="105"/>
    </row>
    <row r="219" spans="5:23">
      <c r="E219" s="104"/>
      <c r="J219" s="97"/>
      <c r="K219" s="97"/>
      <c r="L219" s="104"/>
      <c r="Q219" s="105"/>
      <c r="W219" s="105"/>
    </row>
    <row r="220" spans="5:23">
      <c r="E220" s="104"/>
      <c r="J220" s="97"/>
      <c r="K220" s="97"/>
      <c r="L220" s="104"/>
      <c r="Q220" s="105"/>
      <c r="W220" s="105"/>
    </row>
    <row r="221" spans="5:23">
      <c r="E221" s="104"/>
      <c r="J221" s="97"/>
      <c r="K221" s="97"/>
      <c r="L221" s="104"/>
      <c r="Q221" s="105"/>
      <c r="W221" s="105"/>
    </row>
    <row r="222" spans="5:23">
      <c r="E222" s="104"/>
      <c r="J222" s="97"/>
      <c r="K222" s="97"/>
      <c r="L222" s="104"/>
      <c r="Q222" s="105"/>
      <c r="W222" s="105"/>
    </row>
    <row r="223" spans="5:23">
      <c r="E223" s="104"/>
      <c r="J223" s="97"/>
      <c r="K223" s="97"/>
      <c r="L223" s="104"/>
      <c r="Q223" s="105"/>
      <c r="W223" s="105"/>
    </row>
    <row r="224" spans="5:23">
      <c r="E224" s="104"/>
      <c r="J224" s="97"/>
      <c r="K224" s="97"/>
      <c r="L224" s="104"/>
      <c r="Q224" s="105"/>
      <c r="W224" s="105"/>
    </row>
    <row r="225" spans="5:23">
      <c r="E225" s="104"/>
      <c r="J225" s="97"/>
      <c r="K225" s="97"/>
      <c r="L225" s="104"/>
      <c r="Q225" s="105"/>
      <c r="W225" s="105"/>
    </row>
    <row r="226" spans="5:23">
      <c r="E226" s="104"/>
      <c r="J226" s="97"/>
      <c r="K226" s="97"/>
      <c r="L226" s="104"/>
      <c r="Q226" s="105"/>
      <c r="W226" s="105"/>
    </row>
    <row r="227" spans="5:23">
      <c r="E227" s="104"/>
      <c r="J227" s="97"/>
      <c r="K227" s="97"/>
      <c r="L227" s="104"/>
      <c r="Q227" s="105"/>
      <c r="W227" s="105"/>
    </row>
    <row r="228" spans="5:23">
      <c r="E228" s="104"/>
      <c r="J228" s="97"/>
      <c r="K228" s="97"/>
      <c r="L228" s="104"/>
      <c r="Q228" s="105"/>
      <c r="W228" s="105"/>
    </row>
    <row r="229" spans="5:23">
      <c r="E229" s="104"/>
      <c r="J229" s="97"/>
      <c r="K229" s="97"/>
      <c r="L229" s="104"/>
      <c r="Q229" s="105"/>
      <c r="W229" s="105"/>
    </row>
    <row r="230" spans="5:23">
      <c r="E230" s="104"/>
      <c r="J230" s="97"/>
      <c r="K230" s="97"/>
      <c r="L230" s="104"/>
      <c r="Q230" s="105"/>
      <c r="W230" s="105"/>
    </row>
    <row r="231" spans="5:23">
      <c r="E231" s="104"/>
      <c r="J231" s="97"/>
      <c r="K231" s="97"/>
      <c r="L231" s="104"/>
      <c r="Q231" s="105"/>
      <c r="W231" s="105"/>
    </row>
    <row r="232" spans="5:23">
      <c r="E232" s="104"/>
      <c r="J232" s="97"/>
      <c r="K232" s="97"/>
      <c r="L232" s="104"/>
      <c r="Q232" s="105"/>
      <c r="W232" s="105"/>
    </row>
    <row r="233" spans="5:23">
      <c r="E233" s="104"/>
      <c r="J233" s="97"/>
      <c r="K233" s="97"/>
      <c r="L233" s="104"/>
      <c r="Q233" s="105"/>
      <c r="W233" s="105"/>
    </row>
    <row r="234" spans="5:23">
      <c r="E234" s="104"/>
      <c r="J234" s="97"/>
      <c r="K234" s="97"/>
      <c r="L234" s="104"/>
      <c r="Q234" s="105"/>
      <c r="W234" s="105"/>
    </row>
    <row r="235" spans="5:23">
      <c r="E235" s="104"/>
      <c r="J235" s="97"/>
      <c r="K235" s="97"/>
      <c r="L235" s="104"/>
      <c r="Q235" s="105"/>
      <c r="W235" s="105"/>
    </row>
    <row r="236" spans="5:23">
      <c r="E236" s="104"/>
      <c r="J236" s="97"/>
      <c r="K236" s="97"/>
      <c r="L236" s="104"/>
      <c r="Q236" s="105"/>
      <c r="W236" s="105"/>
    </row>
    <row r="237" spans="5:23">
      <c r="E237" s="104"/>
      <c r="J237" s="97"/>
      <c r="K237" s="97"/>
      <c r="L237" s="104"/>
      <c r="Q237" s="105"/>
      <c r="W237" s="105"/>
    </row>
    <row r="238" spans="5:23">
      <c r="E238" s="104"/>
      <c r="J238" s="97"/>
      <c r="K238" s="97"/>
      <c r="L238" s="104"/>
      <c r="Q238" s="105"/>
      <c r="W238" s="105"/>
    </row>
    <row r="239" spans="5:23">
      <c r="E239" s="104"/>
      <c r="J239" s="97"/>
      <c r="K239" s="97"/>
      <c r="L239" s="104"/>
      <c r="Q239" s="105"/>
      <c r="W239" s="105"/>
    </row>
    <row r="240" spans="5:23">
      <c r="E240" s="104"/>
      <c r="J240" s="97"/>
      <c r="K240" s="97"/>
      <c r="L240" s="104"/>
      <c r="Q240" s="105"/>
      <c r="W240" s="105"/>
    </row>
    <row r="241" spans="5:23">
      <c r="E241" s="104"/>
      <c r="J241" s="97"/>
      <c r="K241" s="97"/>
      <c r="L241" s="104"/>
      <c r="Q241" s="105"/>
      <c r="W241" s="105"/>
    </row>
    <row r="242" spans="5:23">
      <c r="E242" s="104"/>
      <c r="J242" s="97"/>
      <c r="K242" s="97"/>
      <c r="L242" s="104"/>
      <c r="Q242" s="105"/>
      <c r="W242" s="105"/>
    </row>
    <row r="243" spans="5:23">
      <c r="E243" s="104"/>
      <c r="J243" s="97"/>
      <c r="K243" s="97"/>
      <c r="L243" s="104"/>
      <c r="Q243" s="105"/>
      <c r="W243" s="105"/>
    </row>
    <row r="244" spans="5:23">
      <c r="E244" s="104"/>
      <c r="J244" s="97"/>
      <c r="K244" s="97"/>
      <c r="L244" s="104"/>
      <c r="Q244" s="105"/>
      <c r="W244" s="105"/>
    </row>
    <row r="245" spans="5:23">
      <c r="E245" s="104"/>
      <c r="J245" s="97"/>
      <c r="K245" s="97"/>
      <c r="L245" s="104"/>
      <c r="Q245" s="105"/>
      <c r="W245" s="105"/>
    </row>
    <row r="246" spans="5:23">
      <c r="E246" s="104"/>
      <c r="J246" s="97"/>
      <c r="K246" s="97"/>
      <c r="L246" s="104"/>
      <c r="Q246" s="105"/>
      <c r="W246" s="105"/>
    </row>
    <row r="247" spans="5:23">
      <c r="E247" s="104"/>
      <c r="J247" s="97"/>
      <c r="K247" s="97"/>
      <c r="L247" s="104"/>
      <c r="Q247" s="105"/>
      <c r="W247" s="105"/>
    </row>
    <row r="248" spans="5:23">
      <c r="E248" s="104"/>
      <c r="J248" s="97"/>
      <c r="K248" s="97"/>
      <c r="L248" s="104"/>
      <c r="Q248" s="105"/>
      <c r="W248" s="105"/>
    </row>
    <row r="249" spans="5:23">
      <c r="E249" s="104"/>
      <c r="J249" s="97"/>
      <c r="K249" s="97"/>
      <c r="L249" s="104"/>
      <c r="Q249" s="105"/>
      <c r="W249" s="105"/>
    </row>
    <row r="250" spans="5:23">
      <c r="E250" s="104"/>
      <c r="J250" s="97"/>
      <c r="K250" s="97"/>
      <c r="L250" s="104"/>
      <c r="Q250" s="105"/>
      <c r="W250" s="105"/>
    </row>
    <row r="251" spans="5:23">
      <c r="E251" s="104"/>
      <c r="J251" s="97"/>
      <c r="K251" s="97"/>
      <c r="L251" s="104"/>
      <c r="Q251" s="105"/>
      <c r="W251" s="105"/>
    </row>
    <row r="252" spans="5:23">
      <c r="E252" s="104"/>
      <c r="J252" s="97"/>
      <c r="K252" s="97"/>
      <c r="L252" s="104"/>
      <c r="Q252" s="105"/>
      <c r="W252" s="105"/>
    </row>
    <row r="253" spans="5:23">
      <c r="E253" s="104"/>
      <c r="J253" s="97"/>
      <c r="K253" s="97"/>
      <c r="L253" s="104"/>
      <c r="Q253" s="105"/>
      <c r="W253" s="105"/>
    </row>
    <row r="254" spans="5:23">
      <c r="E254" s="104"/>
      <c r="J254" s="97"/>
      <c r="K254" s="97"/>
      <c r="L254" s="104"/>
      <c r="Q254" s="105"/>
      <c r="W254" s="105"/>
    </row>
    <row r="255" spans="5:23">
      <c r="E255" s="104"/>
      <c r="J255" s="97"/>
      <c r="K255" s="97"/>
      <c r="L255" s="104"/>
      <c r="Q255" s="105"/>
      <c r="W255" s="105"/>
    </row>
    <row r="256" spans="5:23">
      <c r="E256" s="104"/>
      <c r="J256" s="97"/>
      <c r="K256" s="97"/>
      <c r="L256" s="104"/>
      <c r="Q256" s="105"/>
      <c r="W256" s="105"/>
    </row>
    <row r="257" spans="5:23">
      <c r="E257" s="104"/>
      <c r="J257" s="97"/>
      <c r="K257" s="97"/>
      <c r="L257" s="104"/>
      <c r="Q257" s="105"/>
      <c r="W257" s="105"/>
    </row>
    <row r="258" spans="5:23">
      <c r="E258" s="104"/>
      <c r="J258" s="97"/>
      <c r="K258" s="97"/>
      <c r="L258" s="104"/>
      <c r="Q258" s="105"/>
      <c r="W258" s="105"/>
    </row>
    <row r="259" spans="5:23">
      <c r="E259" s="104"/>
      <c r="J259" s="97"/>
      <c r="K259" s="97"/>
      <c r="L259" s="104"/>
      <c r="Q259" s="105"/>
      <c r="W259" s="105"/>
    </row>
    <row r="260" spans="5:23">
      <c r="E260" s="104"/>
      <c r="J260" s="97"/>
      <c r="K260" s="97"/>
      <c r="L260" s="104"/>
      <c r="Q260" s="105"/>
      <c r="W260" s="105"/>
    </row>
    <row r="261" spans="5:23">
      <c r="E261" s="104"/>
      <c r="J261" s="97"/>
      <c r="K261" s="97"/>
      <c r="L261" s="104"/>
      <c r="Q261" s="105"/>
      <c r="W261" s="105"/>
    </row>
    <row r="262" spans="5:23">
      <c r="E262" s="104"/>
      <c r="J262" s="97"/>
      <c r="K262" s="97"/>
      <c r="L262" s="104"/>
      <c r="Q262" s="105"/>
      <c r="W262" s="105"/>
    </row>
    <row r="263" spans="5:23">
      <c r="E263" s="104"/>
      <c r="J263" s="97"/>
      <c r="K263" s="97"/>
      <c r="L263" s="104"/>
      <c r="Q263" s="105"/>
      <c r="W263" s="105"/>
    </row>
    <row r="264" spans="5:23">
      <c r="E264" s="104"/>
      <c r="J264" s="97"/>
      <c r="K264" s="97"/>
      <c r="L264" s="104"/>
      <c r="Q264" s="105"/>
      <c r="W264" s="105"/>
    </row>
    <row r="265" spans="5:23">
      <c r="E265" s="104"/>
      <c r="J265" s="97"/>
      <c r="K265" s="97"/>
      <c r="L265" s="104"/>
      <c r="Q265" s="105"/>
      <c r="W265" s="105"/>
    </row>
    <row r="266" spans="5:23">
      <c r="E266" s="104"/>
      <c r="J266" s="97"/>
      <c r="K266" s="97"/>
      <c r="L266" s="104"/>
      <c r="Q266" s="105"/>
      <c r="W266" s="105"/>
    </row>
    <row r="267" spans="5:23">
      <c r="E267" s="104"/>
      <c r="J267" s="97"/>
      <c r="K267" s="97"/>
      <c r="L267" s="104"/>
      <c r="Q267" s="105"/>
      <c r="W267" s="105"/>
    </row>
    <row r="268" spans="5:23">
      <c r="E268" s="104"/>
      <c r="J268" s="97"/>
      <c r="K268" s="97"/>
      <c r="L268" s="104"/>
      <c r="Q268" s="105"/>
      <c r="W268" s="105"/>
    </row>
    <row r="269" spans="5:23">
      <c r="E269" s="104"/>
      <c r="J269" s="97"/>
      <c r="K269" s="97"/>
      <c r="L269" s="104"/>
      <c r="Q269" s="105"/>
      <c r="W269" s="105"/>
    </row>
    <row r="270" spans="5:23">
      <c r="E270" s="104"/>
      <c r="J270" s="97"/>
      <c r="K270" s="97"/>
      <c r="L270" s="104"/>
      <c r="Q270" s="105"/>
      <c r="W270" s="105"/>
    </row>
    <row r="271" spans="5:23">
      <c r="E271" s="104"/>
      <c r="J271" s="97"/>
      <c r="K271" s="97"/>
      <c r="L271" s="104"/>
      <c r="Q271" s="105"/>
      <c r="W271" s="105"/>
    </row>
    <row r="272" spans="5:23">
      <c r="E272" s="104"/>
      <c r="J272" s="97"/>
      <c r="K272" s="97"/>
      <c r="L272" s="104"/>
      <c r="Q272" s="105"/>
      <c r="W272" s="105"/>
    </row>
    <row r="273" spans="5:23">
      <c r="E273" s="104"/>
      <c r="J273" s="97"/>
      <c r="K273" s="97"/>
      <c r="L273" s="104"/>
      <c r="Q273" s="105"/>
      <c r="W273" s="105"/>
    </row>
    <row r="274" spans="5:23">
      <c r="E274" s="104"/>
      <c r="J274" s="97"/>
      <c r="K274" s="97"/>
      <c r="L274" s="104"/>
      <c r="Q274" s="105"/>
      <c r="W274" s="105"/>
    </row>
    <row r="275" spans="5:23">
      <c r="E275" s="104"/>
      <c r="J275" s="97"/>
      <c r="K275" s="97"/>
      <c r="L275" s="104"/>
      <c r="Q275" s="105"/>
      <c r="W275" s="105"/>
    </row>
    <row r="276" spans="5:23">
      <c r="E276" s="104"/>
      <c r="J276" s="97"/>
      <c r="K276" s="97"/>
      <c r="L276" s="104"/>
      <c r="Q276" s="105"/>
      <c r="W276" s="105"/>
    </row>
    <row r="277" spans="5:23">
      <c r="E277" s="104"/>
      <c r="J277" s="97"/>
      <c r="K277" s="97"/>
      <c r="L277" s="104"/>
      <c r="Q277" s="105"/>
      <c r="W277" s="105"/>
    </row>
    <row r="278" spans="5:23">
      <c r="E278" s="104"/>
      <c r="J278" s="97"/>
      <c r="K278" s="97"/>
      <c r="L278" s="104"/>
      <c r="Q278" s="105"/>
      <c r="W278" s="105"/>
    </row>
    <row r="279" spans="5:23">
      <c r="E279" s="104"/>
      <c r="J279" s="97"/>
      <c r="K279" s="97"/>
      <c r="L279" s="104"/>
      <c r="Q279" s="105"/>
      <c r="W279" s="105"/>
    </row>
    <row r="280" spans="5:23">
      <c r="E280" s="104"/>
      <c r="J280" s="97"/>
      <c r="K280" s="97"/>
      <c r="L280" s="104"/>
      <c r="Q280" s="105"/>
      <c r="W280" s="105"/>
    </row>
    <row r="281" spans="5:23">
      <c r="E281" s="104"/>
      <c r="J281" s="97"/>
      <c r="K281" s="97"/>
      <c r="L281" s="104"/>
      <c r="Q281" s="105"/>
      <c r="W281" s="105"/>
    </row>
    <row r="282" spans="5:23">
      <c r="E282" s="104"/>
      <c r="J282" s="97"/>
      <c r="K282" s="97"/>
      <c r="L282" s="104"/>
      <c r="Q282" s="105"/>
      <c r="W282" s="105"/>
    </row>
    <row r="283" spans="5:23">
      <c r="E283" s="104"/>
      <c r="J283" s="97"/>
      <c r="K283" s="97"/>
      <c r="L283" s="104"/>
      <c r="Q283" s="105"/>
      <c r="W283" s="105"/>
    </row>
    <row r="284" spans="5:23">
      <c r="E284" s="104"/>
      <c r="J284" s="97"/>
      <c r="K284" s="97"/>
      <c r="L284" s="104"/>
      <c r="Q284" s="105"/>
      <c r="W284" s="105"/>
    </row>
    <row r="285" spans="5:23">
      <c r="E285" s="104"/>
      <c r="J285" s="97"/>
      <c r="K285" s="97"/>
      <c r="L285" s="104"/>
      <c r="Q285" s="105"/>
      <c r="W285" s="105"/>
    </row>
    <row r="286" spans="5:23">
      <c r="E286" s="104"/>
      <c r="J286" s="97"/>
      <c r="K286" s="97"/>
      <c r="L286" s="104"/>
      <c r="Q286" s="105"/>
      <c r="W286" s="105"/>
    </row>
    <row r="287" spans="5:23">
      <c r="E287" s="104"/>
      <c r="J287" s="97"/>
      <c r="K287" s="97"/>
      <c r="L287" s="104"/>
      <c r="Q287" s="105"/>
      <c r="W287" s="105"/>
    </row>
    <row r="288" spans="5:23">
      <c r="E288" s="104"/>
      <c r="J288" s="97"/>
      <c r="K288" s="97"/>
      <c r="L288" s="104"/>
      <c r="Q288" s="105"/>
      <c r="W288" s="105"/>
    </row>
    <row r="289" spans="5:23">
      <c r="E289" s="104"/>
      <c r="J289" s="97"/>
      <c r="K289" s="97"/>
      <c r="L289" s="104"/>
      <c r="Q289" s="105"/>
      <c r="W289" s="105"/>
    </row>
    <row r="290" spans="5:23">
      <c r="E290" s="104"/>
      <c r="J290" s="97"/>
      <c r="K290" s="97"/>
      <c r="L290" s="104"/>
      <c r="Q290" s="105"/>
      <c r="W290" s="105"/>
    </row>
    <row r="291" spans="5:23">
      <c r="E291" s="104"/>
      <c r="J291" s="97"/>
      <c r="K291" s="97"/>
      <c r="L291" s="104"/>
      <c r="Q291" s="105"/>
      <c r="W291" s="105"/>
    </row>
    <row r="292" spans="5:23">
      <c r="E292" s="104"/>
      <c r="J292" s="97"/>
      <c r="K292" s="97"/>
      <c r="L292" s="104"/>
      <c r="Q292" s="105"/>
      <c r="W292" s="105"/>
    </row>
    <row r="293" spans="5:23">
      <c r="E293" s="104"/>
      <c r="J293" s="97"/>
      <c r="K293" s="97"/>
      <c r="L293" s="104"/>
      <c r="Q293" s="105"/>
      <c r="W293" s="105"/>
    </row>
    <row r="294" spans="5:23">
      <c r="E294" s="104"/>
      <c r="J294" s="97"/>
      <c r="K294" s="97"/>
      <c r="L294" s="104"/>
      <c r="Q294" s="105"/>
      <c r="W294" s="105"/>
    </row>
    <row r="295" spans="5:23">
      <c r="E295" s="104"/>
      <c r="J295" s="97"/>
      <c r="K295" s="97"/>
      <c r="L295" s="104"/>
      <c r="Q295" s="105"/>
      <c r="W295" s="105"/>
    </row>
    <row r="296" spans="5:23">
      <c r="E296" s="104"/>
      <c r="J296" s="97"/>
      <c r="K296" s="97"/>
      <c r="L296" s="104"/>
      <c r="Q296" s="105"/>
      <c r="W296" s="105"/>
    </row>
    <row r="297" spans="5:23">
      <c r="E297" s="104"/>
      <c r="J297" s="97"/>
      <c r="K297" s="97"/>
      <c r="L297" s="104"/>
      <c r="Q297" s="105"/>
      <c r="W297" s="105"/>
    </row>
    <row r="298" spans="5:23">
      <c r="E298" s="104"/>
      <c r="J298" s="97"/>
      <c r="K298" s="97"/>
      <c r="L298" s="104"/>
      <c r="Q298" s="105"/>
      <c r="W298" s="105"/>
    </row>
    <row r="299" spans="5:23">
      <c r="E299" s="104"/>
      <c r="J299" s="97"/>
      <c r="K299" s="97"/>
      <c r="L299" s="104"/>
      <c r="Q299" s="105"/>
      <c r="W299" s="105"/>
    </row>
    <row r="300" spans="5:23">
      <c r="E300" s="104"/>
      <c r="J300" s="97"/>
      <c r="K300" s="97"/>
      <c r="L300" s="104"/>
      <c r="Q300" s="105"/>
      <c r="W300" s="105"/>
    </row>
    <row r="301" spans="5:23">
      <c r="E301" s="104"/>
      <c r="J301" s="97"/>
      <c r="K301" s="97"/>
      <c r="L301" s="104"/>
      <c r="Q301" s="105"/>
      <c r="W301" s="105"/>
    </row>
    <row r="302" spans="5:23">
      <c r="E302" s="104"/>
      <c r="J302" s="97"/>
      <c r="K302" s="97"/>
      <c r="L302" s="104"/>
      <c r="Q302" s="105"/>
      <c r="W302" s="105"/>
    </row>
    <row r="303" spans="5:23">
      <c r="E303" s="104"/>
      <c r="J303" s="97"/>
      <c r="K303" s="97"/>
      <c r="L303" s="104"/>
      <c r="Q303" s="105"/>
      <c r="W303" s="105"/>
    </row>
    <row r="304" spans="5:23">
      <c r="E304" s="104"/>
      <c r="J304" s="97"/>
      <c r="K304" s="97"/>
      <c r="L304" s="104"/>
      <c r="Q304" s="105"/>
      <c r="W304" s="105"/>
    </row>
    <row r="305" spans="5:23">
      <c r="E305" s="104"/>
      <c r="J305" s="97"/>
      <c r="K305" s="97"/>
      <c r="L305" s="104"/>
      <c r="Q305" s="105"/>
      <c r="W305" s="105"/>
    </row>
    <row r="306" spans="5:23">
      <c r="E306" s="104"/>
      <c r="J306" s="97"/>
      <c r="K306" s="97"/>
      <c r="L306" s="104"/>
      <c r="Q306" s="105"/>
      <c r="W306" s="105"/>
    </row>
    <row r="307" spans="5:23">
      <c r="E307" s="104"/>
      <c r="J307" s="97"/>
      <c r="K307" s="97"/>
      <c r="L307" s="104"/>
      <c r="Q307" s="105"/>
      <c r="W307" s="105"/>
    </row>
    <row r="308" spans="5:23">
      <c r="E308" s="104"/>
      <c r="J308" s="97"/>
      <c r="K308" s="97"/>
      <c r="L308" s="104"/>
      <c r="Q308" s="105"/>
      <c r="W308" s="105"/>
    </row>
    <row r="309" spans="5:23">
      <c r="E309" s="104"/>
      <c r="J309" s="97"/>
      <c r="K309" s="97"/>
      <c r="L309" s="104"/>
      <c r="Q309" s="105"/>
      <c r="W309" s="105"/>
    </row>
    <row r="310" spans="5:23">
      <c r="E310" s="104"/>
      <c r="J310" s="97"/>
      <c r="K310" s="97"/>
      <c r="L310" s="104"/>
      <c r="Q310" s="105"/>
      <c r="W310" s="105"/>
    </row>
    <row r="311" spans="5:23">
      <c r="E311" s="104"/>
      <c r="J311" s="97"/>
      <c r="K311" s="97"/>
      <c r="L311" s="104"/>
      <c r="Q311" s="105"/>
      <c r="W311" s="105"/>
    </row>
    <row r="312" spans="5:23">
      <c r="E312" s="104"/>
      <c r="J312" s="97"/>
      <c r="K312" s="97"/>
      <c r="L312" s="104"/>
      <c r="Q312" s="105"/>
      <c r="W312" s="105"/>
    </row>
    <row r="313" spans="5:23">
      <c r="E313" s="104"/>
      <c r="J313" s="97"/>
      <c r="K313" s="97"/>
      <c r="L313" s="104"/>
      <c r="Q313" s="105"/>
      <c r="W313" s="105"/>
    </row>
    <row r="314" spans="5:23">
      <c r="E314" s="104"/>
      <c r="J314" s="97"/>
      <c r="K314" s="97"/>
      <c r="L314" s="104"/>
      <c r="Q314" s="105"/>
      <c r="W314" s="105"/>
    </row>
    <row r="315" spans="5:23">
      <c r="E315" s="104"/>
      <c r="J315" s="97"/>
      <c r="K315" s="97"/>
      <c r="L315" s="104"/>
      <c r="Q315" s="105"/>
      <c r="W315" s="105"/>
    </row>
    <row r="316" spans="5:23">
      <c r="E316" s="104"/>
      <c r="J316" s="97"/>
      <c r="K316" s="97"/>
      <c r="L316" s="104"/>
      <c r="Q316" s="105"/>
      <c r="W316" s="105"/>
    </row>
    <row r="317" spans="5:23">
      <c r="E317" s="104"/>
      <c r="J317" s="97"/>
      <c r="K317" s="97"/>
      <c r="L317" s="104"/>
      <c r="Q317" s="105"/>
      <c r="W317" s="105"/>
    </row>
    <row r="318" spans="5:23">
      <c r="E318" s="104"/>
      <c r="J318" s="97"/>
      <c r="K318" s="97"/>
      <c r="L318" s="104"/>
      <c r="Q318" s="105"/>
      <c r="W318" s="105"/>
    </row>
    <row r="319" spans="5:23">
      <c r="E319" s="104"/>
      <c r="J319" s="97"/>
      <c r="K319" s="97"/>
      <c r="L319" s="104"/>
      <c r="Q319" s="105"/>
      <c r="W319" s="105"/>
    </row>
    <row r="320" spans="5:23">
      <c r="E320" s="104"/>
      <c r="J320" s="97"/>
      <c r="K320" s="97"/>
      <c r="L320" s="104"/>
      <c r="Q320" s="105"/>
      <c r="W320" s="105"/>
    </row>
    <row r="321" spans="5:23">
      <c r="E321" s="104"/>
      <c r="J321" s="97"/>
      <c r="K321" s="97"/>
      <c r="L321" s="104"/>
      <c r="Q321" s="105"/>
      <c r="W321" s="105"/>
    </row>
    <row r="322" spans="5:23">
      <c r="E322" s="104"/>
      <c r="J322" s="97"/>
      <c r="K322" s="97"/>
      <c r="L322" s="104"/>
      <c r="Q322" s="105"/>
      <c r="W322" s="105"/>
    </row>
    <row r="323" spans="5:23">
      <c r="E323" s="104"/>
      <c r="J323" s="97"/>
      <c r="K323" s="97"/>
      <c r="L323" s="104"/>
      <c r="Q323" s="105"/>
      <c r="W323" s="105"/>
    </row>
    <row r="324" spans="5:23">
      <c r="E324" s="104"/>
      <c r="J324" s="97"/>
      <c r="K324" s="97"/>
      <c r="L324" s="104"/>
      <c r="Q324" s="105"/>
      <c r="W324" s="105"/>
    </row>
    <row r="325" spans="5:23">
      <c r="E325" s="104"/>
      <c r="J325" s="97"/>
      <c r="K325" s="97"/>
      <c r="L325" s="104"/>
      <c r="Q325" s="105"/>
      <c r="W325" s="105"/>
    </row>
    <row r="326" spans="5:23">
      <c r="E326" s="104"/>
      <c r="J326" s="97"/>
      <c r="K326" s="97"/>
      <c r="L326" s="104"/>
      <c r="Q326" s="105"/>
      <c r="W326" s="105"/>
    </row>
    <row r="327" spans="5:23">
      <c r="E327" s="104"/>
      <c r="J327" s="97"/>
      <c r="K327" s="97"/>
      <c r="L327" s="104"/>
      <c r="Q327" s="105"/>
      <c r="W327" s="105"/>
    </row>
    <row r="328" spans="5:23">
      <c r="E328" s="104"/>
      <c r="J328" s="97"/>
      <c r="K328" s="97"/>
      <c r="L328" s="104"/>
      <c r="Q328" s="105"/>
      <c r="W328" s="105"/>
    </row>
    <row r="329" spans="5:23">
      <c r="E329" s="104"/>
      <c r="J329" s="97"/>
      <c r="K329" s="97"/>
      <c r="L329" s="104"/>
      <c r="Q329" s="105"/>
      <c r="W329" s="105"/>
    </row>
    <row r="330" spans="5:23">
      <c r="E330" s="104"/>
      <c r="J330" s="97"/>
      <c r="K330" s="97"/>
      <c r="L330" s="104"/>
      <c r="Q330" s="105"/>
      <c r="W330" s="105"/>
    </row>
    <row r="331" spans="5:23">
      <c r="E331" s="104"/>
      <c r="J331" s="97"/>
      <c r="K331" s="97"/>
      <c r="L331" s="104"/>
      <c r="Q331" s="105"/>
      <c r="W331" s="105"/>
    </row>
    <row r="332" spans="5:23">
      <c r="E332" s="104"/>
      <c r="J332" s="97"/>
      <c r="K332" s="97"/>
      <c r="L332" s="104"/>
      <c r="Q332" s="105"/>
      <c r="W332" s="105"/>
    </row>
    <row r="333" spans="5:23">
      <c r="E333" s="104"/>
      <c r="J333" s="97"/>
      <c r="K333" s="97"/>
      <c r="L333" s="104"/>
      <c r="Q333" s="105"/>
      <c r="W333" s="105"/>
    </row>
    <row r="334" spans="5:23">
      <c r="E334" s="104"/>
      <c r="J334" s="97"/>
      <c r="K334" s="97"/>
      <c r="L334" s="104"/>
      <c r="Q334" s="105"/>
      <c r="W334" s="105"/>
    </row>
    <row r="335" spans="5:23">
      <c r="E335" s="104"/>
      <c r="J335" s="97"/>
      <c r="K335" s="97"/>
      <c r="L335" s="104"/>
      <c r="Q335" s="105"/>
      <c r="W335" s="105"/>
    </row>
    <row r="336" spans="5:23">
      <c r="E336" s="104"/>
      <c r="J336" s="97"/>
      <c r="K336" s="97"/>
      <c r="L336" s="104"/>
      <c r="Q336" s="105"/>
      <c r="W336" s="105"/>
    </row>
    <row r="337" spans="5:23">
      <c r="E337" s="104"/>
      <c r="J337" s="97"/>
      <c r="K337" s="97"/>
      <c r="L337" s="104"/>
      <c r="Q337" s="105"/>
      <c r="W337" s="105"/>
    </row>
    <row r="338" spans="5:23">
      <c r="E338" s="104"/>
      <c r="J338" s="97"/>
      <c r="K338" s="97"/>
      <c r="L338" s="104"/>
      <c r="Q338" s="105"/>
      <c r="W338" s="105"/>
    </row>
    <row r="339" spans="5:23">
      <c r="E339" s="104"/>
      <c r="J339" s="97"/>
      <c r="K339" s="97"/>
      <c r="L339" s="104"/>
      <c r="Q339" s="105"/>
      <c r="W339" s="105"/>
    </row>
    <row r="340" spans="5:23">
      <c r="E340" s="104"/>
      <c r="J340" s="97"/>
      <c r="K340" s="97"/>
      <c r="L340" s="104"/>
      <c r="Q340" s="105"/>
      <c r="W340" s="105"/>
    </row>
    <row r="341" spans="5:23">
      <c r="E341" s="104"/>
      <c r="J341" s="97"/>
      <c r="K341" s="97"/>
      <c r="L341" s="104"/>
      <c r="Q341" s="105"/>
      <c r="W341" s="105"/>
    </row>
    <row r="342" spans="5:23">
      <c r="E342" s="104"/>
      <c r="J342" s="97"/>
      <c r="K342" s="97"/>
      <c r="L342" s="104"/>
      <c r="Q342" s="105"/>
      <c r="W342" s="105"/>
    </row>
    <row r="343" spans="5:23">
      <c r="E343" s="104"/>
      <c r="J343" s="97"/>
      <c r="K343" s="97"/>
      <c r="L343" s="104"/>
      <c r="Q343" s="105"/>
      <c r="W343" s="105"/>
    </row>
    <row r="344" spans="5:23">
      <c r="E344" s="104"/>
      <c r="J344" s="97"/>
      <c r="K344" s="97"/>
      <c r="L344" s="104"/>
      <c r="Q344" s="105"/>
      <c r="W344" s="105"/>
    </row>
    <row r="345" spans="5:23">
      <c r="E345" s="104"/>
      <c r="J345" s="97"/>
      <c r="K345" s="97"/>
      <c r="L345" s="104"/>
      <c r="Q345" s="105"/>
      <c r="W345" s="105"/>
    </row>
    <row r="346" spans="5:23">
      <c r="E346" s="104"/>
      <c r="J346" s="97"/>
      <c r="K346" s="97"/>
      <c r="L346" s="104"/>
      <c r="Q346" s="105"/>
      <c r="W346" s="105"/>
    </row>
    <row r="347" spans="5:23">
      <c r="E347" s="104"/>
      <c r="J347" s="97"/>
      <c r="K347" s="97"/>
      <c r="L347" s="104"/>
      <c r="Q347" s="105"/>
      <c r="W347" s="105"/>
    </row>
    <row r="348" spans="5:23">
      <c r="E348" s="104"/>
      <c r="J348" s="97"/>
      <c r="K348" s="97"/>
      <c r="L348" s="104"/>
      <c r="Q348" s="105"/>
      <c r="W348" s="105"/>
    </row>
    <row r="349" spans="5:23">
      <c r="E349" s="104"/>
      <c r="J349" s="97"/>
      <c r="K349" s="97"/>
      <c r="L349" s="104"/>
      <c r="Q349" s="105"/>
      <c r="W349" s="105"/>
    </row>
    <row r="350" spans="5:23">
      <c r="E350" s="104"/>
      <c r="J350" s="97"/>
      <c r="K350" s="97"/>
      <c r="L350" s="104"/>
      <c r="Q350" s="105"/>
      <c r="W350" s="105"/>
    </row>
    <row r="351" spans="5:23">
      <c r="E351" s="104"/>
      <c r="J351" s="97"/>
      <c r="K351" s="97"/>
      <c r="L351" s="104"/>
      <c r="Q351" s="105"/>
      <c r="W351" s="105"/>
    </row>
    <row r="352" spans="5:23">
      <c r="E352" s="104"/>
      <c r="J352" s="97"/>
      <c r="K352" s="97"/>
      <c r="L352" s="104"/>
      <c r="Q352" s="105"/>
      <c r="W352" s="105"/>
    </row>
    <row r="353" spans="5:23">
      <c r="E353" s="104"/>
      <c r="J353" s="97"/>
      <c r="K353" s="97"/>
      <c r="L353" s="104"/>
      <c r="Q353" s="105"/>
      <c r="W353" s="105"/>
    </row>
    <row r="354" spans="5:23">
      <c r="E354" s="104"/>
      <c r="J354" s="97"/>
      <c r="K354" s="97"/>
      <c r="L354" s="104"/>
      <c r="Q354" s="105"/>
      <c r="W354" s="105"/>
    </row>
    <row r="355" spans="5:23">
      <c r="E355" s="104"/>
      <c r="J355" s="97"/>
      <c r="K355" s="97"/>
      <c r="L355" s="104"/>
      <c r="Q355" s="105"/>
      <c r="W355" s="105"/>
    </row>
    <row r="356" spans="5:23">
      <c r="E356" s="104"/>
      <c r="J356" s="97"/>
      <c r="K356" s="97"/>
      <c r="L356" s="104"/>
      <c r="Q356" s="105"/>
      <c r="W356" s="105"/>
    </row>
    <row r="357" spans="5:23">
      <c r="E357" s="104"/>
      <c r="J357" s="97"/>
      <c r="K357" s="97"/>
      <c r="L357" s="104"/>
      <c r="Q357" s="105"/>
      <c r="W357" s="105"/>
    </row>
    <row r="358" spans="5:23">
      <c r="E358" s="104"/>
      <c r="J358" s="97"/>
      <c r="K358" s="97"/>
      <c r="L358" s="104"/>
      <c r="Q358" s="105"/>
      <c r="W358" s="105"/>
    </row>
    <row r="359" spans="5:23">
      <c r="E359" s="104"/>
      <c r="J359" s="97"/>
      <c r="K359" s="97"/>
      <c r="L359" s="104"/>
      <c r="Q359" s="105"/>
      <c r="W359" s="105"/>
    </row>
    <row r="360" spans="5:23">
      <c r="E360" s="104"/>
      <c r="J360" s="97"/>
      <c r="K360" s="97"/>
      <c r="L360" s="104"/>
      <c r="Q360" s="105"/>
      <c r="W360" s="105"/>
    </row>
    <row r="361" spans="5:23">
      <c r="E361" s="104"/>
      <c r="J361" s="97"/>
      <c r="K361" s="97"/>
      <c r="L361" s="104"/>
      <c r="Q361" s="105"/>
      <c r="W361" s="105"/>
    </row>
    <row r="362" spans="5:23">
      <c r="E362" s="104"/>
      <c r="J362" s="97"/>
      <c r="K362" s="97"/>
      <c r="L362" s="104"/>
      <c r="Q362" s="105"/>
      <c r="W362" s="105"/>
    </row>
    <row r="363" spans="5:23">
      <c r="E363" s="104"/>
      <c r="J363" s="97"/>
      <c r="K363" s="97"/>
      <c r="L363" s="104"/>
      <c r="Q363" s="105"/>
      <c r="W363" s="105"/>
    </row>
    <row r="364" spans="5:23">
      <c r="E364" s="104"/>
      <c r="J364" s="97"/>
      <c r="K364" s="97"/>
      <c r="L364" s="104"/>
      <c r="Q364" s="105"/>
      <c r="W364" s="105"/>
    </row>
    <row r="365" spans="5:23">
      <c r="E365" s="104"/>
      <c r="J365" s="97"/>
      <c r="K365" s="97"/>
      <c r="L365" s="104"/>
      <c r="Q365" s="105"/>
      <c r="W365" s="105"/>
    </row>
    <row r="366" spans="5:23">
      <c r="E366" s="104"/>
      <c r="J366" s="97"/>
      <c r="K366" s="97"/>
      <c r="L366" s="104"/>
      <c r="Q366" s="105"/>
      <c r="W366" s="105"/>
    </row>
    <row r="367" spans="5:23">
      <c r="E367" s="104"/>
      <c r="J367" s="97"/>
      <c r="K367" s="97"/>
      <c r="L367" s="104"/>
      <c r="Q367" s="105"/>
      <c r="W367" s="105"/>
    </row>
    <row r="368" spans="5:23">
      <c r="E368" s="104"/>
      <c r="J368" s="97"/>
      <c r="K368" s="97"/>
      <c r="L368" s="104"/>
      <c r="Q368" s="105"/>
      <c r="W368" s="105"/>
    </row>
    <row r="369" spans="5:23">
      <c r="E369" s="104"/>
      <c r="J369" s="97"/>
      <c r="K369" s="97"/>
      <c r="L369" s="104"/>
      <c r="Q369" s="105"/>
      <c r="W369" s="105"/>
    </row>
    <row r="370" spans="5:23">
      <c r="E370" s="104"/>
      <c r="J370" s="97"/>
      <c r="K370" s="97"/>
      <c r="L370" s="104"/>
      <c r="Q370" s="105"/>
      <c r="W370" s="105"/>
    </row>
    <row r="371" spans="5:23">
      <c r="E371" s="104"/>
      <c r="J371" s="97"/>
      <c r="K371" s="97"/>
      <c r="L371" s="104"/>
      <c r="Q371" s="105"/>
      <c r="W371" s="105"/>
    </row>
    <row r="372" spans="5:23">
      <c r="E372" s="104"/>
      <c r="J372" s="97"/>
      <c r="K372" s="97"/>
      <c r="L372" s="104"/>
      <c r="Q372" s="105"/>
      <c r="W372" s="105"/>
    </row>
    <row r="373" spans="5:23">
      <c r="E373" s="104"/>
      <c r="J373" s="97"/>
      <c r="K373" s="97"/>
      <c r="L373" s="104"/>
      <c r="Q373" s="105"/>
      <c r="W373" s="105"/>
    </row>
    <row r="374" spans="5:23">
      <c r="E374" s="104"/>
      <c r="J374" s="97"/>
      <c r="K374" s="97"/>
      <c r="L374" s="104"/>
      <c r="Q374" s="105"/>
      <c r="W374" s="105"/>
    </row>
    <row r="375" spans="5:23">
      <c r="E375" s="104"/>
      <c r="J375" s="97"/>
      <c r="K375" s="97"/>
      <c r="L375" s="104"/>
      <c r="Q375" s="105"/>
      <c r="W375" s="105"/>
    </row>
    <row r="376" spans="5:23">
      <c r="E376" s="104"/>
      <c r="J376" s="97"/>
      <c r="K376" s="97"/>
      <c r="L376" s="104"/>
      <c r="Q376" s="105"/>
      <c r="W376" s="105"/>
    </row>
    <row r="377" spans="5:23">
      <c r="E377" s="104"/>
      <c r="J377" s="97"/>
      <c r="K377" s="97"/>
      <c r="L377" s="104"/>
      <c r="Q377" s="105"/>
      <c r="W377" s="105"/>
    </row>
    <row r="378" spans="5:23">
      <c r="E378" s="104"/>
      <c r="J378" s="97"/>
      <c r="K378" s="97"/>
      <c r="L378" s="104"/>
      <c r="Q378" s="105"/>
      <c r="W378" s="105"/>
    </row>
    <row r="379" spans="5:23">
      <c r="E379" s="104"/>
      <c r="J379" s="97"/>
      <c r="K379" s="97"/>
      <c r="L379" s="104"/>
      <c r="Q379" s="105"/>
      <c r="W379" s="105"/>
    </row>
    <row r="380" spans="5:23">
      <c r="E380" s="104"/>
      <c r="J380" s="97"/>
      <c r="K380" s="97"/>
      <c r="L380" s="104"/>
      <c r="Q380" s="105"/>
      <c r="W380" s="105"/>
    </row>
    <row r="381" spans="5:23">
      <c r="E381" s="104"/>
      <c r="J381" s="97"/>
      <c r="K381" s="97"/>
      <c r="L381" s="104"/>
      <c r="Q381" s="105"/>
      <c r="W381" s="105"/>
    </row>
    <row r="382" spans="5:23">
      <c r="E382" s="104"/>
      <c r="J382" s="97"/>
      <c r="K382" s="97"/>
      <c r="L382" s="104"/>
      <c r="Q382" s="105"/>
      <c r="W382" s="105"/>
    </row>
    <row r="383" spans="5:23">
      <c r="E383" s="104"/>
      <c r="J383" s="97"/>
      <c r="K383" s="97"/>
      <c r="L383" s="104"/>
      <c r="Q383" s="105"/>
      <c r="W383" s="105"/>
    </row>
    <row r="384" spans="5:23">
      <c r="E384" s="104"/>
      <c r="J384" s="97"/>
      <c r="K384" s="97"/>
      <c r="L384" s="104"/>
      <c r="Q384" s="105"/>
      <c r="W384" s="105"/>
    </row>
    <row r="385" spans="5:23">
      <c r="E385" s="104"/>
      <c r="J385" s="97"/>
      <c r="K385" s="97"/>
      <c r="L385" s="104"/>
      <c r="Q385" s="105"/>
      <c r="W385" s="105"/>
    </row>
    <row r="386" spans="5:23">
      <c r="E386" s="104"/>
      <c r="J386" s="97"/>
      <c r="K386" s="97"/>
      <c r="L386" s="104"/>
      <c r="Q386" s="105"/>
      <c r="W386" s="105"/>
    </row>
    <row r="387" spans="5:23">
      <c r="E387" s="104"/>
      <c r="J387" s="97"/>
      <c r="K387" s="97"/>
      <c r="L387" s="104"/>
      <c r="Q387" s="105"/>
      <c r="W387" s="105"/>
    </row>
    <row r="388" spans="5:23">
      <c r="E388" s="104"/>
      <c r="J388" s="97"/>
      <c r="K388" s="97"/>
      <c r="L388" s="104"/>
      <c r="Q388" s="105"/>
      <c r="W388" s="105"/>
    </row>
    <row r="389" spans="5:23">
      <c r="E389" s="104"/>
      <c r="J389" s="97"/>
      <c r="K389" s="97"/>
      <c r="L389" s="104"/>
      <c r="Q389" s="105"/>
      <c r="W389" s="105"/>
    </row>
    <row r="390" spans="5:23">
      <c r="E390" s="104"/>
      <c r="J390" s="97"/>
      <c r="K390" s="97"/>
      <c r="L390" s="104"/>
      <c r="Q390" s="105"/>
      <c r="W390" s="105"/>
    </row>
    <row r="391" spans="5:23">
      <c r="E391" s="104"/>
      <c r="J391" s="97"/>
      <c r="K391" s="97"/>
      <c r="L391" s="104"/>
      <c r="Q391" s="105"/>
      <c r="W391" s="105"/>
    </row>
    <row r="392" spans="5:23">
      <c r="E392" s="104"/>
      <c r="J392" s="97"/>
      <c r="K392" s="97"/>
      <c r="L392" s="104"/>
      <c r="Q392" s="105"/>
      <c r="W392" s="105"/>
    </row>
    <row r="393" spans="5:23">
      <c r="E393" s="104"/>
      <c r="J393" s="97"/>
      <c r="K393" s="97"/>
      <c r="L393" s="104"/>
      <c r="Q393" s="105"/>
      <c r="W393" s="105"/>
    </row>
    <row r="394" spans="5:23">
      <c r="E394" s="104"/>
      <c r="J394" s="97"/>
      <c r="K394" s="97"/>
      <c r="L394" s="104"/>
      <c r="Q394" s="105"/>
      <c r="W394" s="105"/>
    </row>
    <row r="395" spans="5:23">
      <c r="E395" s="104"/>
      <c r="J395" s="97"/>
      <c r="K395" s="97"/>
      <c r="L395" s="104"/>
      <c r="Q395" s="105"/>
      <c r="W395" s="105"/>
    </row>
    <row r="396" spans="5:23">
      <c r="E396" s="104"/>
      <c r="J396" s="97"/>
      <c r="K396" s="97"/>
      <c r="L396" s="104"/>
      <c r="Q396" s="105"/>
      <c r="W396" s="105"/>
    </row>
    <row r="397" spans="5:23">
      <c r="E397" s="104"/>
      <c r="J397" s="97"/>
      <c r="K397" s="97"/>
      <c r="L397" s="104"/>
      <c r="Q397" s="105"/>
      <c r="W397" s="105"/>
    </row>
    <row r="398" spans="5:23">
      <c r="E398" s="104"/>
      <c r="J398" s="97"/>
      <c r="K398" s="97"/>
      <c r="L398" s="104"/>
      <c r="Q398" s="105"/>
      <c r="W398" s="105"/>
    </row>
    <row r="399" spans="5:23">
      <c r="E399" s="104"/>
      <c r="J399" s="97"/>
      <c r="K399" s="97"/>
      <c r="L399" s="104"/>
      <c r="Q399" s="105"/>
      <c r="W399" s="105"/>
    </row>
    <row r="400" spans="5:23">
      <c r="E400" s="104"/>
      <c r="J400" s="97"/>
      <c r="K400" s="97"/>
      <c r="L400" s="104"/>
      <c r="Q400" s="105"/>
      <c r="W400" s="105"/>
    </row>
    <row r="401" spans="5:23">
      <c r="E401" s="104"/>
      <c r="J401" s="97"/>
      <c r="K401" s="97"/>
      <c r="L401" s="104"/>
      <c r="Q401" s="105"/>
      <c r="W401" s="105"/>
    </row>
    <row r="402" spans="5:23">
      <c r="E402" s="104"/>
      <c r="J402" s="97"/>
      <c r="K402" s="97"/>
      <c r="L402" s="104"/>
      <c r="Q402" s="105"/>
      <c r="W402" s="105"/>
    </row>
    <row r="403" spans="5:23">
      <c r="E403" s="104"/>
      <c r="J403" s="97"/>
      <c r="K403" s="97"/>
      <c r="L403" s="104"/>
      <c r="Q403" s="105"/>
      <c r="W403" s="105"/>
    </row>
    <row r="404" spans="5:23">
      <c r="E404" s="104"/>
      <c r="J404" s="97"/>
      <c r="K404" s="97"/>
      <c r="L404" s="104"/>
      <c r="Q404" s="105"/>
      <c r="W404" s="105"/>
    </row>
    <row r="405" spans="5:23">
      <c r="E405" s="104"/>
      <c r="J405" s="97"/>
      <c r="K405" s="97"/>
      <c r="L405" s="104"/>
      <c r="Q405" s="105"/>
      <c r="W405" s="105"/>
    </row>
    <row r="406" spans="5:23">
      <c r="E406" s="104"/>
      <c r="J406" s="97"/>
      <c r="K406" s="97"/>
      <c r="L406" s="104"/>
      <c r="Q406" s="105"/>
      <c r="W406" s="105"/>
    </row>
    <row r="407" spans="5:23">
      <c r="E407" s="104"/>
      <c r="J407" s="97"/>
      <c r="K407" s="97"/>
      <c r="L407" s="104"/>
      <c r="Q407" s="105"/>
      <c r="W407" s="105"/>
    </row>
    <row r="408" spans="5:23">
      <c r="E408" s="104"/>
      <c r="J408" s="97"/>
      <c r="K408" s="97"/>
      <c r="L408" s="104"/>
      <c r="Q408" s="105"/>
      <c r="W408" s="105"/>
    </row>
    <row r="409" spans="5:23">
      <c r="E409" s="104"/>
      <c r="J409" s="97"/>
      <c r="K409" s="97"/>
      <c r="L409" s="104"/>
      <c r="Q409" s="105"/>
      <c r="W409" s="105"/>
    </row>
    <row r="410" spans="5:23">
      <c r="E410" s="104"/>
      <c r="J410" s="97"/>
      <c r="K410" s="97"/>
      <c r="L410" s="104"/>
      <c r="Q410" s="105"/>
      <c r="W410" s="105"/>
    </row>
    <row r="411" spans="5:23">
      <c r="E411" s="104"/>
      <c r="J411" s="97"/>
      <c r="K411" s="97"/>
      <c r="L411" s="104"/>
      <c r="Q411" s="105"/>
      <c r="W411" s="105"/>
    </row>
    <row r="412" spans="5:23">
      <c r="E412" s="104"/>
      <c r="J412" s="97"/>
      <c r="K412" s="97"/>
      <c r="L412" s="104"/>
      <c r="Q412" s="105"/>
      <c r="W412" s="105"/>
    </row>
    <row r="413" spans="5:23">
      <c r="E413" s="104"/>
      <c r="J413" s="97"/>
      <c r="K413" s="97"/>
      <c r="L413" s="104"/>
      <c r="Q413" s="105"/>
      <c r="W413" s="105"/>
    </row>
    <row r="414" spans="5:23">
      <c r="E414" s="104"/>
      <c r="J414" s="97"/>
      <c r="K414" s="97"/>
      <c r="L414" s="104"/>
      <c r="Q414" s="105"/>
      <c r="W414" s="105"/>
    </row>
    <row r="415" spans="5:23">
      <c r="E415" s="104"/>
      <c r="J415" s="97"/>
      <c r="K415" s="97"/>
      <c r="L415" s="104"/>
      <c r="Q415" s="105"/>
      <c r="W415" s="105"/>
    </row>
    <row r="416" spans="5:23">
      <c r="E416" s="104"/>
      <c r="J416" s="97"/>
      <c r="K416" s="97"/>
      <c r="L416" s="104"/>
      <c r="Q416" s="105"/>
      <c r="W416" s="105"/>
    </row>
    <row r="417" spans="5:23">
      <c r="E417" s="104"/>
      <c r="J417" s="97"/>
      <c r="K417" s="97"/>
      <c r="L417" s="104"/>
      <c r="Q417" s="105"/>
      <c r="W417" s="105"/>
    </row>
    <row r="418" spans="5:23">
      <c r="E418" s="104"/>
      <c r="J418" s="97"/>
      <c r="K418" s="97"/>
      <c r="L418" s="104"/>
      <c r="Q418" s="105"/>
      <c r="W418" s="105"/>
    </row>
    <row r="419" spans="5:23">
      <c r="E419" s="104"/>
      <c r="J419" s="97"/>
      <c r="K419" s="97"/>
      <c r="L419" s="104"/>
      <c r="Q419" s="105"/>
      <c r="W419" s="105"/>
    </row>
    <row r="420" spans="5:23">
      <c r="E420" s="104"/>
      <c r="J420" s="97"/>
      <c r="K420" s="97"/>
      <c r="L420" s="104"/>
      <c r="Q420" s="105"/>
      <c r="W420" s="105"/>
    </row>
    <row r="421" spans="5:23">
      <c r="E421" s="104"/>
      <c r="J421" s="97"/>
      <c r="K421" s="97"/>
      <c r="L421" s="104"/>
      <c r="Q421" s="105"/>
      <c r="W421" s="105"/>
    </row>
    <row r="422" spans="5:23">
      <c r="E422" s="104"/>
      <c r="J422" s="97"/>
      <c r="K422" s="97"/>
      <c r="L422" s="104"/>
      <c r="Q422" s="105"/>
      <c r="W422" s="105"/>
    </row>
    <row r="423" spans="5:23">
      <c r="E423" s="104"/>
      <c r="J423" s="97"/>
      <c r="K423" s="97"/>
      <c r="L423" s="104"/>
      <c r="Q423" s="105"/>
      <c r="W423" s="105"/>
    </row>
    <row r="424" spans="5:23">
      <c r="E424" s="104"/>
      <c r="J424" s="97"/>
      <c r="K424" s="97"/>
      <c r="L424" s="104"/>
      <c r="Q424" s="105"/>
      <c r="W424" s="105"/>
    </row>
    <row r="425" spans="5:23">
      <c r="E425" s="104"/>
      <c r="J425" s="97"/>
      <c r="K425" s="97"/>
      <c r="L425" s="104"/>
      <c r="Q425" s="105"/>
      <c r="W425" s="105"/>
    </row>
    <row r="426" spans="5:23">
      <c r="E426" s="104"/>
      <c r="J426" s="97"/>
      <c r="K426" s="97"/>
      <c r="L426" s="104"/>
      <c r="Q426" s="105"/>
      <c r="W426" s="105"/>
    </row>
    <row r="427" spans="5:23">
      <c r="E427" s="104"/>
      <c r="J427" s="97"/>
      <c r="K427" s="97"/>
      <c r="L427" s="104"/>
      <c r="Q427" s="105"/>
      <c r="W427" s="105"/>
    </row>
    <row r="428" spans="5:23">
      <c r="E428" s="104"/>
      <c r="J428" s="97"/>
      <c r="K428" s="97"/>
      <c r="L428" s="104"/>
      <c r="Q428" s="105"/>
      <c r="W428" s="105"/>
    </row>
    <row r="429" spans="5:23">
      <c r="E429" s="104"/>
      <c r="J429" s="97"/>
      <c r="K429" s="97"/>
      <c r="L429" s="104"/>
      <c r="Q429" s="105"/>
      <c r="W429" s="105"/>
    </row>
    <row r="430" spans="5:23">
      <c r="E430" s="104"/>
      <c r="J430" s="97"/>
      <c r="K430" s="97"/>
      <c r="L430" s="104"/>
      <c r="Q430" s="105"/>
      <c r="W430" s="105"/>
    </row>
    <row r="431" spans="5:23">
      <c r="E431" s="104"/>
      <c r="J431" s="97"/>
      <c r="K431" s="97"/>
      <c r="L431" s="104"/>
      <c r="Q431" s="105"/>
      <c r="W431" s="105"/>
    </row>
    <row r="432" spans="5:23">
      <c r="E432" s="104"/>
      <c r="J432" s="97"/>
      <c r="K432" s="97"/>
      <c r="L432" s="104"/>
      <c r="Q432" s="105"/>
      <c r="W432" s="105"/>
    </row>
    <row r="433" spans="5:23">
      <c r="E433" s="104"/>
      <c r="J433" s="97"/>
      <c r="K433" s="97"/>
      <c r="L433" s="104"/>
      <c r="Q433" s="105"/>
      <c r="W433" s="105"/>
    </row>
    <row r="434" spans="5:23">
      <c r="E434" s="104"/>
      <c r="J434" s="97"/>
      <c r="K434" s="97"/>
      <c r="L434" s="104"/>
      <c r="Q434" s="105"/>
      <c r="W434" s="105"/>
    </row>
    <row r="435" spans="5:23">
      <c r="E435" s="104"/>
      <c r="J435" s="97"/>
      <c r="K435" s="97"/>
      <c r="L435" s="104"/>
      <c r="Q435" s="105"/>
      <c r="W435" s="105"/>
    </row>
    <row r="436" spans="5:23">
      <c r="E436" s="104"/>
      <c r="J436" s="97"/>
      <c r="K436" s="97"/>
      <c r="L436" s="104"/>
      <c r="Q436" s="105"/>
      <c r="W436" s="105"/>
    </row>
    <row r="437" spans="5:23">
      <c r="E437" s="104"/>
      <c r="J437" s="97"/>
      <c r="K437" s="97"/>
      <c r="L437" s="104"/>
      <c r="Q437" s="105"/>
      <c r="W437" s="105"/>
    </row>
    <row r="438" spans="5:23">
      <c r="E438" s="104"/>
      <c r="J438" s="97"/>
      <c r="K438" s="97"/>
      <c r="L438" s="104"/>
      <c r="Q438" s="105"/>
      <c r="W438" s="105"/>
    </row>
    <row r="439" spans="5:23">
      <c r="E439" s="104"/>
      <c r="J439" s="97"/>
      <c r="K439" s="97"/>
      <c r="L439" s="104"/>
      <c r="Q439" s="105"/>
      <c r="W439" s="105"/>
    </row>
    <row r="440" spans="5:23">
      <c r="E440" s="104"/>
      <c r="J440" s="97"/>
      <c r="K440" s="97"/>
      <c r="L440" s="104"/>
      <c r="Q440" s="105"/>
      <c r="W440" s="105"/>
    </row>
    <row r="441" spans="5:23">
      <c r="E441" s="104"/>
      <c r="J441" s="97"/>
      <c r="K441" s="97"/>
      <c r="L441" s="104"/>
      <c r="Q441" s="105"/>
      <c r="W441" s="105"/>
    </row>
    <row r="442" spans="5:23">
      <c r="E442" s="104"/>
      <c r="J442" s="97"/>
      <c r="K442" s="97"/>
      <c r="L442" s="104"/>
      <c r="Q442" s="105"/>
      <c r="W442" s="105"/>
    </row>
    <row r="443" spans="5:23">
      <c r="E443" s="104"/>
      <c r="J443" s="97"/>
      <c r="K443" s="97"/>
      <c r="L443" s="104"/>
      <c r="Q443" s="105"/>
      <c r="W443" s="105"/>
    </row>
    <row r="444" spans="5:23">
      <c r="E444" s="104"/>
      <c r="J444" s="97"/>
      <c r="K444" s="97"/>
      <c r="L444" s="104"/>
      <c r="Q444" s="105"/>
      <c r="W444" s="105"/>
    </row>
    <row r="445" spans="5:23">
      <c r="E445" s="104"/>
      <c r="J445" s="97"/>
      <c r="K445" s="97"/>
      <c r="L445" s="104"/>
      <c r="Q445" s="105"/>
      <c r="W445" s="105"/>
    </row>
    <row r="446" spans="5:23">
      <c r="E446" s="104"/>
      <c r="J446" s="97"/>
      <c r="K446" s="97"/>
      <c r="L446" s="104"/>
      <c r="Q446" s="105"/>
      <c r="W446" s="105"/>
    </row>
    <row r="447" spans="5:23">
      <c r="E447" s="104"/>
      <c r="J447" s="97"/>
      <c r="K447" s="97"/>
      <c r="L447" s="104"/>
      <c r="Q447" s="105"/>
      <c r="W447" s="105"/>
    </row>
    <row r="448" spans="5:23">
      <c r="E448" s="104"/>
      <c r="J448" s="97"/>
      <c r="K448" s="97"/>
      <c r="L448" s="104"/>
      <c r="Q448" s="105"/>
      <c r="W448" s="105"/>
    </row>
    <row r="449" spans="5:23">
      <c r="E449" s="104"/>
      <c r="J449" s="97"/>
      <c r="K449" s="97"/>
      <c r="L449" s="104"/>
      <c r="Q449" s="105"/>
      <c r="W449" s="105"/>
    </row>
    <row r="450" spans="5:23">
      <c r="E450" s="104"/>
      <c r="J450" s="97"/>
      <c r="K450" s="97"/>
      <c r="L450" s="104"/>
      <c r="Q450" s="105"/>
      <c r="W450" s="105"/>
    </row>
    <row r="451" spans="5:23">
      <c r="E451" s="104"/>
      <c r="J451" s="97"/>
      <c r="K451" s="97"/>
      <c r="L451" s="104"/>
      <c r="Q451" s="105"/>
      <c r="W451" s="105"/>
    </row>
    <row r="452" spans="5:23">
      <c r="E452" s="104"/>
      <c r="J452" s="97"/>
      <c r="K452" s="97"/>
      <c r="L452" s="104"/>
      <c r="Q452" s="105"/>
      <c r="W452" s="105"/>
    </row>
    <row r="453" spans="5:23">
      <c r="E453" s="104"/>
      <c r="J453" s="97"/>
      <c r="K453" s="97"/>
      <c r="L453" s="104"/>
      <c r="Q453" s="105"/>
      <c r="W453" s="105"/>
    </row>
    <row r="454" spans="5:23">
      <c r="E454" s="104"/>
      <c r="J454" s="97"/>
      <c r="K454" s="97"/>
      <c r="L454" s="104"/>
      <c r="Q454" s="105"/>
      <c r="W454" s="105"/>
    </row>
    <row r="455" spans="5:23">
      <c r="E455" s="104"/>
      <c r="J455" s="97"/>
      <c r="K455" s="97"/>
      <c r="L455" s="104"/>
      <c r="Q455" s="105"/>
      <c r="W455" s="105"/>
    </row>
    <row r="456" spans="5:23">
      <c r="E456" s="104"/>
      <c r="J456" s="97"/>
      <c r="K456" s="97"/>
      <c r="L456" s="104"/>
      <c r="Q456" s="105"/>
      <c r="W456" s="105"/>
    </row>
    <row r="457" spans="5:23">
      <c r="E457" s="104"/>
      <c r="J457" s="97"/>
      <c r="K457" s="97"/>
      <c r="L457" s="104"/>
      <c r="Q457" s="105"/>
      <c r="W457" s="105"/>
    </row>
    <row r="458" spans="5:23">
      <c r="E458" s="104"/>
      <c r="J458" s="97"/>
      <c r="K458" s="97"/>
      <c r="L458" s="104"/>
      <c r="Q458" s="105"/>
      <c r="W458" s="105"/>
    </row>
    <row r="459" spans="5:23">
      <c r="E459" s="104"/>
      <c r="J459" s="97"/>
      <c r="K459" s="97"/>
      <c r="L459" s="104"/>
      <c r="Q459" s="105"/>
      <c r="W459" s="105"/>
    </row>
    <row r="460" spans="5:23">
      <c r="E460" s="104"/>
      <c r="J460" s="97"/>
      <c r="K460" s="97"/>
      <c r="L460" s="104"/>
      <c r="Q460" s="105"/>
      <c r="W460" s="105"/>
    </row>
    <row r="461" spans="5:23">
      <c r="E461" s="104"/>
      <c r="J461" s="97"/>
      <c r="K461" s="97"/>
      <c r="L461" s="104"/>
      <c r="Q461" s="105"/>
      <c r="W461" s="105"/>
    </row>
    <row r="462" spans="5:23">
      <c r="E462" s="104"/>
      <c r="J462" s="97"/>
      <c r="K462" s="97"/>
      <c r="L462" s="104"/>
      <c r="Q462" s="105"/>
      <c r="W462" s="105"/>
    </row>
    <row r="463" spans="5:23">
      <c r="E463" s="104"/>
      <c r="J463" s="97"/>
      <c r="K463" s="97"/>
      <c r="L463" s="104"/>
      <c r="Q463" s="105"/>
      <c r="W463" s="105"/>
    </row>
    <row r="464" spans="5:23">
      <c r="E464" s="104"/>
      <c r="J464" s="97"/>
      <c r="K464" s="97"/>
      <c r="L464" s="104"/>
      <c r="Q464" s="105"/>
      <c r="W464" s="105"/>
    </row>
    <row r="465" spans="5:23">
      <c r="E465" s="104"/>
      <c r="J465" s="97"/>
      <c r="K465" s="97"/>
      <c r="L465" s="104"/>
      <c r="Q465" s="105"/>
      <c r="W465" s="105"/>
    </row>
    <row r="466" spans="5:23">
      <c r="E466" s="104"/>
      <c r="J466" s="97"/>
      <c r="K466" s="97"/>
      <c r="L466" s="104"/>
      <c r="Q466" s="105"/>
      <c r="W466" s="105"/>
    </row>
    <row r="467" spans="5:23">
      <c r="E467" s="104"/>
      <c r="J467" s="97"/>
      <c r="K467" s="97"/>
      <c r="L467" s="104"/>
      <c r="Q467" s="105"/>
      <c r="W467" s="105"/>
    </row>
    <row r="468" spans="5:23">
      <c r="E468" s="104"/>
      <c r="J468" s="97"/>
      <c r="K468" s="97"/>
      <c r="L468" s="104"/>
      <c r="Q468" s="105"/>
      <c r="W468" s="105"/>
    </row>
    <row r="469" spans="5:23">
      <c r="E469" s="104"/>
      <c r="J469" s="97"/>
      <c r="K469" s="97"/>
      <c r="L469" s="104"/>
      <c r="Q469" s="105"/>
      <c r="W469" s="105"/>
    </row>
    <row r="470" spans="5:23">
      <c r="E470" s="104"/>
      <c r="J470" s="97"/>
      <c r="K470" s="97"/>
      <c r="L470" s="104"/>
      <c r="Q470" s="105"/>
      <c r="W470" s="105"/>
    </row>
    <row r="471" spans="5:23">
      <c r="E471" s="104"/>
      <c r="J471" s="97"/>
      <c r="K471" s="97"/>
      <c r="L471" s="104"/>
      <c r="Q471" s="105"/>
      <c r="W471" s="105"/>
    </row>
    <row r="472" spans="5:23">
      <c r="E472" s="104"/>
      <c r="J472" s="97"/>
      <c r="K472" s="97"/>
      <c r="L472" s="104"/>
      <c r="Q472" s="105"/>
      <c r="W472" s="105"/>
    </row>
    <row r="473" spans="5:23">
      <c r="E473" s="104"/>
      <c r="J473" s="97"/>
      <c r="K473" s="97"/>
      <c r="L473" s="104"/>
      <c r="Q473" s="105"/>
      <c r="W473" s="105"/>
    </row>
    <row r="474" spans="5:23">
      <c r="E474" s="104"/>
      <c r="J474" s="97"/>
      <c r="K474" s="97"/>
      <c r="L474" s="104"/>
      <c r="Q474" s="105"/>
      <c r="W474" s="105"/>
    </row>
    <row r="475" spans="5:23">
      <c r="E475" s="104"/>
      <c r="J475" s="97"/>
      <c r="K475" s="97"/>
      <c r="L475" s="104"/>
      <c r="Q475" s="105"/>
      <c r="W475" s="105"/>
    </row>
    <row r="476" spans="5:23">
      <c r="E476" s="104"/>
      <c r="J476" s="97"/>
      <c r="K476" s="97"/>
      <c r="L476" s="104"/>
      <c r="Q476" s="105"/>
      <c r="W476" s="105"/>
    </row>
    <row r="477" spans="5:23">
      <c r="E477" s="104"/>
      <c r="J477" s="97"/>
      <c r="K477" s="97"/>
      <c r="L477" s="104"/>
      <c r="Q477" s="105"/>
      <c r="W477" s="105"/>
    </row>
    <row r="478" spans="5:23">
      <c r="E478" s="104"/>
      <c r="J478" s="97"/>
      <c r="K478" s="97"/>
      <c r="L478" s="104"/>
      <c r="Q478" s="105"/>
      <c r="W478" s="105"/>
    </row>
    <row r="479" spans="5:23">
      <c r="E479" s="104"/>
      <c r="J479" s="97"/>
      <c r="K479" s="97"/>
      <c r="L479" s="104"/>
      <c r="Q479" s="105"/>
      <c r="W479" s="105"/>
    </row>
    <row r="480" spans="5:23">
      <c r="E480" s="104"/>
      <c r="J480" s="97"/>
      <c r="K480" s="97"/>
      <c r="L480" s="104"/>
      <c r="Q480" s="105"/>
      <c r="W480" s="105"/>
    </row>
    <row r="481" spans="5:23">
      <c r="E481" s="104"/>
      <c r="J481" s="97"/>
      <c r="K481" s="97"/>
      <c r="L481" s="104"/>
      <c r="Q481" s="105"/>
      <c r="W481" s="105"/>
    </row>
    <row r="482" spans="5:23">
      <c r="E482" s="104"/>
      <c r="J482" s="97"/>
      <c r="K482" s="97"/>
      <c r="L482" s="104"/>
      <c r="Q482" s="105"/>
      <c r="W482" s="105"/>
    </row>
    <row r="483" spans="5:23">
      <c r="E483" s="104"/>
      <c r="J483" s="97"/>
      <c r="K483" s="97"/>
      <c r="L483" s="104"/>
      <c r="Q483" s="105"/>
      <c r="W483" s="105"/>
    </row>
    <row r="484" spans="5:23">
      <c r="E484" s="104"/>
      <c r="J484" s="97"/>
      <c r="K484" s="97"/>
      <c r="L484" s="104"/>
      <c r="Q484" s="105"/>
      <c r="W484" s="105"/>
    </row>
    <row r="485" spans="5:23">
      <c r="E485" s="104"/>
      <c r="J485" s="97"/>
      <c r="K485" s="97"/>
      <c r="L485" s="104"/>
      <c r="Q485" s="105"/>
      <c r="W485" s="105"/>
    </row>
    <row r="486" spans="5:23">
      <c r="E486" s="104"/>
      <c r="J486" s="97"/>
      <c r="K486" s="97"/>
      <c r="L486" s="104"/>
      <c r="Q486" s="105"/>
      <c r="W486" s="105"/>
    </row>
    <row r="487" spans="5:23">
      <c r="E487" s="104"/>
      <c r="J487" s="97"/>
      <c r="K487" s="97"/>
      <c r="L487" s="104"/>
      <c r="Q487" s="105"/>
      <c r="W487" s="105"/>
    </row>
    <row r="488" spans="5:23">
      <c r="E488" s="104"/>
      <c r="J488" s="97"/>
      <c r="K488" s="97"/>
      <c r="L488" s="104"/>
      <c r="Q488" s="105"/>
      <c r="W488" s="105"/>
    </row>
    <row r="489" spans="5:23">
      <c r="E489" s="104"/>
      <c r="J489" s="97"/>
      <c r="K489" s="97"/>
      <c r="L489" s="104"/>
      <c r="Q489" s="105"/>
      <c r="W489" s="105"/>
    </row>
    <row r="490" spans="5:23">
      <c r="E490" s="104"/>
      <c r="J490" s="97"/>
      <c r="K490" s="97"/>
      <c r="L490" s="104"/>
      <c r="Q490" s="105"/>
      <c r="W490" s="105"/>
    </row>
    <row r="491" spans="5:23">
      <c r="E491" s="104"/>
      <c r="J491" s="97"/>
      <c r="K491" s="97"/>
      <c r="L491" s="104"/>
      <c r="Q491" s="105"/>
      <c r="W491" s="105"/>
    </row>
    <row r="492" spans="5:23">
      <c r="E492" s="104"/>
      <c r="J492" s="97"/>
      <c r="K492" s="97"/>
      <c r="L492" s="104"/>
      <c r="Q492" s="105"/>
      <c r="W492" s="105"/>
    </row>
    <row r="493" spans="5:23">
      <c r="E493" s="104"/>
      <c r="J493" s="97"/>
      <c r="K493" s="97"/>
      <c r="L493" s="104"/>
      <c r="Q493" s="105"/>
      <c r="W493" s="105"/>
    </row>
    <row r="494" spans="5:23">
      <c r="E494" s="104"/>
      <c r="J494" s="97"/>
      <c r="K494" s="97"/>
      <c r="L494" s="104"/>
      <c r="Q494" s="105"/>
      <c r="W494" s="105"/>
    </row>
    <row r="495" spans="5:23">
      <c r="E495" s="104"/>
      <c r="J495" s="97"/>
      <c r="K495" s="97"/>
      <c r="L495" s="104"/>
      <c r="Q495" s="105"/>
      <c r="W495" s="105"/>
    </row>
    <row r="496" spans="5:23">
      <c r="E496" s="104"/>
      <c r="J496" s="97"/>
      <c r="K496" s="97"/>
      <c r="L496" s="104"/>
      <c r="Q496" s="105"/>
      <c r="W496" s="105"/>
    </row>
    <row r="497" spans="5:23">
      <c r="E497" s="104"/>
      <c r="J497" s="97"/>
      <c r="K497" s="97"/>
      <c r="L497" s="104"/>
      <c r="Q497" s="105"/>
      <c r="W497" s="105"/>
    </row>
    <row r="498" spans="5:23">
      <c r="E498" s="104"/>
      <c r="J498" s="97"/>
      <c r="K498" s="97"/>
      <c r="L498" s="104"/>
      <c r="Q498" s="105"/>
      <c r="W498" s="105"/>
    </row>
    <row r="499" spans="5:23">
      <c r="E499" s="104"/>
      <c r="J499" s="97"/>
      <c r="K499" s="97"/>
      <c r="L499" s="104"/>
      <c r="Q499" s="105"/>
      <c r="W499" s="105"/>
    </row>
    <row r="500" spans="5:23">
      <c r="E500" s="104"/>
      <c r="J500" s="97"/>
      <c r="K500" s="97"/>
      <c r="L500" s="104"/>
      <c r="Q500" s="105"/>
      <c r="W500" s="105"/>
    </row>
    <row r="501" spans="5:23">
      <c r="E501" s="104"/>
      <c r="J501" s="97"/>
      <c r="K501" s="97"/>
      <c r="L501" s="104"/>
      <c r="Q501" s="105"/>
      <c r="W501" s="105"/>
    </row>
    <row r="502" spans="5:23">
      <c r="E502" s="104"/>
      <c r="J502" s="97"/>
      <c r="K502" s="97"/>
      <c r="L502" s="104"/>
      <c r="Q502" s="105"/>
      <c r="W502" s="105"/>
    </row>
    <row r="503" spans="5:23">
      <c r="E503" s="104"/>
      <c r="J503" s="97"/>
      <c r="K503" s="97"/>
      <c r="L503" s="104"/>
      <c r="Q503" s="105"/>
      <c r="W503" s="105"/>
    </row>
    <row r="504" spans="5:23">
      <c r="E504" s="104"/>
      <c r="J504" s="97"/>
      <c r="K504" s="97"/>
      <c r="L504" s="104"/>
      <c r="Q504" s="105"/>
      <c r="W504" s="105"/>
    </row>
    <row r="505" spans="5:23">
      <c r="E505" s="104"/>
      <c r="J505" s="97"/>
      <c r="K505" s="97"/>
      <c r="L505" s="104"/>
      <c r="Q505" s="105"/>
      <c r="W505" s="105"/>
    </row>
    <row r="506" spans="5:23">
      <c r="E506" s="104"/>
      <c r="J506" s="97"/>
      <c r="K506" s="97"/>
      <c r="L506" s="104"/>
      <c r="Q506" s="105"/>
      <c r="W506" s="105"/>
    </row>
    <row r="507" spans="5:23">
      <c r="E507" s="104"/>
      <c r="J507" s="97"/>
      <c r="K507" s="97"/>
      <c r="L507" s="104"/>
      <c r="Q507" s="105"/>
      <c r="W507" s="105"/>
    </row>
    <row r="508" spans="5:23">
      <c r="E508" s="104"/>
      <c r="J508" s="97"/>
      <c r="K508" s="97"/>
      <c r="L508" s="104"/>
      <c r="Q508" s="105"/>
      <c r="W508" s="105"/>
    </row>
    <row r="509" spans="5:23">
      <c r="E509" s="104"/>
      <c r="J509" s="97"/>
      <c r="K509" s="97"/>
      <c r="L509" s="104"/>
      <c r="Q509" s="105"/>
      <c r="W509" s="105"/>
    </row>
    <row r="510" spans="5:23">
      <c r="E510" s="104"/>
      <c r="J510" s="97"/>
      <c r="K510" s="97"/>
      <c r="L510" s="104"/>
      <c r="Q510" s="105"/>
      <c r="W510" s="105"/>
    </row>
    <row r="511" spans="5:23">
      <c r="E511" s="104"/>
      <c r="J511" s="97"/>
      <c r="K511" s="97"/>
      <c r="L511" s="104"/>
      <c r="Q511" s="105"/>
      <c r="W511" s="105"/>
    </row>
    <row r="512" spans="5:23">
      <c r="E512" s="104"/>
      <c r="J512" s="97"/>
      <c r="K512" s="97"/>
      <c r="L512" s="104"/>
      <c r="Q512" s="105"/>
      <c r="W512" s="105"/>
    </row>
    <row r="513" spans="5:23">
      <c r="E513" s="104"/>
      <c r="J513" s="97"/>
      <c r="K513" s="97"/>
      <c r="L513" s="104"/>
      <c r="Q513" s="105"/>
      <c r="W513" s="105"/>
    </row>
    <row r="514" spans="5:23">
      <c r="E514" s="104"/>
      <c r="J514" s="97"/>
      <c r="K514" s="97"/>
      <c r="L514" s="104"/>
      <c r="Q514" s="105"/>
      <c r="W514" s="105"/>
    </row>
    <row r="515" spans="5:23">
      <c r="E515" s="104"/>
      <c r="J515" s="97"/>
      <c r="K515" s="97"/>
      <c r="L515" s="104"/>
      <c r="Q515" s="105"/>
      <c r="W515" s="105"/>
    </row>
    <row r="516" spans="5:23">
      <c r="E516" s="104"/>
      <c r="J516" s="97"/>
      <c r="K516" s="97"/>
      <c r="L516" s="104"/>
      <c r="Q516" s="105"/>
      <c r="W516" s="105"/>
    </row>
    <row r="517" spans="5:23">
      <c r="E517" s="104"/>
      <c r="J517" s="97"/>
      <c r="K517" s="97"/>
      <c r="L517" s="104"/>
      <c r="Q517" s="105"/>
      <c r="W517" s="105"/>
    </row>
    <row r="518" spans="5:23">
      <c r="E518" s="104"/>
      <c r="J518" s="97"/>
      <c r="K518" s="97"/>
      <c r="L518" s="104"/>
      <c r="Q518" s="105"/>
      <c r="W518" s="105"/>
    </row>
    <row r="519" spans="5:23">
      <c r="E519" s="104"/>
      <c r="J519" s="97"/>
      <c r="K519" s="97"/>
      <c r="L519" s="104"/>
      <c r="Q519" s="105"/>
      <c r="W519" s="105"/>
    </row>
    <row r="520" spans="5:23">
      <c r="E520" s="104"/>
      <c r="J520" s="97"/>
      <c r="K520" s="97"/>
      <c r="L520" s="104"/>
      <c r="Q520" s="105"/>
      <c r="W520" s="105"/>
    </row>
    <row r="521" spans="5:23">
      <c r="E521" s="104"/>
      <c r="J521" s="97"/>
      <c r="K521" s="97"/>
      <c r="L521" s="104"/>
      <c r="Q521" s="105"/>
      <c r="W521" s="105"/>
    </row>
    <row r="522" spans="5:23">
      <c r="E522" s="104"/>
      <c r="J522" s="97"/>
      <c r="K522" s="97"/>
      <c r="L522" s="104"/>
      <c r="Q522" s="105"/>
      <c r="W522" s="105"/>
    </row>
    <row r="523" spans="5:23">
      <c r="E523" s="104"/>
      <c r="J523" s="97"/>
      <c r="K523" s="97"/>
      <c r="L523" s="104"/>
      <c r="Q523" s="105"/>
      <c r="W523" s="105"/>
    </row>
    <row r="524" spans="5:23">
      <c r="E524" s="104"/>
      <c r="J524" s="97"/>
      <c r="K524" s="97"/>
      <c r="L524" s="104"/>
      <c r="Q524" s="105"/>
      <c r="W524" s="105"/>
    </row>
    <row r="525" spans="5:23">
      <c r="E525" s="104"/>
      <c r="J525" s="97"/>
      <c r="K525" s="97"/>
      <c r="L525" s="104"/>
      <c r="Q525" s="105"/>
      <c r="W525" s="105"/>
    </row>
    <row r="526" spans="5:23">
      <c r="E526" s="104"/>
      <c r="J526" s="97"/>
      <c r="K526" s="97"/>
      <c r="L526" s="104"/>
      <c r="Q526" s="105"/>
      <c r="W526" s="105"/>
    </row>
    <row r="527" spans="5:23">
      <c r="E527" s="104"/>
      <c r="J527" s="97"/>
      <c r="K527" s="97"/>
      <c r="L527" s="104"/>
      <c r="Q527" s="105"/>
      <c r="W527" s="105"/>
    </row>
    <row r="528" spans="5:23">
      <c r="E528" s="104"/>
      <c r="J528" s="97"/>
      <c r="K528" s="97"/>
      <c r="L528" s="104"/>
      <c r="Q528" s="105"/>
      <c r="W528" s="105"/>
    </row>
    <row r="529" spans="5:23">
      <c r="E529" s="104"/>
      <c r="J529" s="97"/>
      <c r="K529" s="97"/>
      <c r="L529" s="104"/>
      <c r="Q529" s="105"/>
      <c r="W529" s="105"/>
    </row>
    <row r="530" spans="5:23">
      <c r="E530" s="104"/>
      <c r="J530" s="97"/>
      <c r="K530" s="97"/>
      <c r="L530" s="104"/>
      <c r="Q530" s="105"/>
      <c r="W530" s="105"/>
    </row>
    <row r="531" spans="5:23">
      <c r="E531" s="104"/>
      <c r="J531" s="97"/>
      <c r="K531" s="97"/>
      <c r="L531" s="104"/>
      <c r="Q531" s="105"/>
      <c r="W531" s="105"/>
    </row>
    <row r="532" spans="5:23">
      <c r="E532" s="104"/>
      <c r="J532" s="97"/>
      <c r="K532" s="97"/>
      <c r="L532" s="104"/>
      <c r="Q532" s="105"/>
      <c r="W532" s="105"/>
    </row>
    <row r="533" spans="5:23">
      <c r="E533" s="104"/>
      <c r="J533" s="97"/>
      <c r="K533" s="97"/>
      <c r="L533" s="104"/>
      <c r="Q533" s="105"/>
      <c r="W533" s="105"/>
    </row>
    <row r="534" spans="5:23">
      <c r="E534" s="104"/>
      <c r="J534" s="97"/>
      <c r="K534" s="97"/>
      <c r="L534" s="104"/>
      <c r="Q534" s="105"/>
      <c r="W534" s="105"/>
    </row>
    <row r="535" spans="5:23">
      <c r="E535" s="104"/>
      <c r="J535" s="97"/>
      <c r="K535" s="97"/>
      <c r="L535" s="104"/>
      <c r="Q535" s="105"/>
      <c r="W535" s="105"/>
    </row>
    <row r="536" spans="5:23">
      <c r="E536" s="104"/>
      <c r="J536" s="97"/>
      <c r="K536" s="97"/>
      <c r="L536" s="104"/>
      <c r="Q536" s="105"/>
      <c r="W536" s="105"/>
    </row>
    <row r="537" spans="5:23">
      <c r="E537" s="104"/>
      <c r="J537" s="97"/>
      <c r="K537" s="97"/>
      <c r="L537" s="104"/>
      <c r="Q537" s="105"/>
      <c r="W537" s="105"/>
    </row>
    <row r="538" spans="5:23">
      <c r="E538" s="104"/>
      <c r="J538" s="97"/>
      <c r="K538" s="97"/>
      <c r="L538" s="104"/>
      <c r="Q538" s="105"/>
      <c r="W538" s="105"/>
    </row>
    <row r="539" spans="5:23">
      <c r="E539" s="104"/>
      <c r="J539" s="97"/>
      <c r="K539" s="97"/>
      <c r="L539" s="104"/>
      <c r="Q539" s="105"/>
      <c r="W539" s="105"/>
    </row>
    <row r="540" spans="5:23">
      <c r="E540" s="104"/>
      <c r="J540" s="97"/>
      <c r="K540" s="97"/>
      <c r="L540" s="104"/>
      <c r="Q540" s="105"/>
      <c r="W540" s="105"/>
    </row>
    <row r="541" spans="5:23">
      <c r="E541" s="104"/>
      <c r="J541" s="97"/>
      <c r="K541" s="97"/>
      <c r="L541" s="104"/>
      <c r="Q541" s="105"/>
      <c r="W541" s="105"/>
    </row>
    <row r="542" spans="5:23">
      <c r="E542" s="104"/>
      <c r="J542" s="97"/>
      <c r="K542" s="97"/>
      <c r="L542" s="104"/>
      <c r="Q542" s="105"/>
      <c r="W542" s="105"/>
    </row>
    <row r="543" spans="5:23">
      <c r="E543" s="104"/>
      <c r="J543" s="97"/>
      <c r="K543" s="97"/>
      <c r="L543" s="104"/>
      <c r="Q543" s="105"/>
      <c r="W543" s="105"/>
    </row>
    <row r="544" spans="5:23">
      <c r="E544" s="104"/>
      <c r="J544" s="97"/>
      <c r="K544" s="97"/>
      <c r="L544" s="104"/>
      <c r="Q544" s="105"/>
      <c r="W544" s="105"/>
    </row>
    <row r="545" spans="5:23">
      <c r="E545" s="104"/>
      <c r="J545" s="97"/>
      <c r="K545" s="97"/>
      <c r="L545" s="104"/>
      <c r="Q545" s="105"/>
      <c r="W545" s="105"/>
    </row>
    <row r="546" spans="5:23">
      <c r="E546" s="104"/>
      <c r="J546" s="97"/>
      <c r="K546" s="97"/>
      <c r="L546" s="104"/>
      <c r="Q546" s="105"/>
      <c r="W546" s="105"/>
    </row>
    <row r="547" spans="5:23">
      <c r="E547" s="104"/>
      <c r="J547" s="97"/>
      <c r="K547" s="97"/>
      <c r="L547" s="104"/>
      <c r="Q547" s="105"/>
      <c r="W547" s="105"/>
    </row>
    <row r="548" spans="5:23">
      <c r="E548" s="104"/>
      <c r="J548" s="97"/>
      <c r="K548" s="97"/>
      <c r="L548" s="104"/>
      <c r="Q548" s="105"/>
      <c r="W548" s="105"/>
    </row>
    <row r="549" spans="5:23">
      <c r="E549" s="104"/>
      <c r="J549" s="97"/>
      <c r="K549" s="97"/>
      <c r="L549" s="104"/>
      <c r="Q549" s="105"/>
      <c r="W549" s="105"/>
    </row>
    <row r="550" spans="5:23">
      <c r="E550" s="104"/>
      <c r="J550" s="97"/>
      <c r="K550" s="97"/>
      <c r="L550" s="104"/>
      <c r="Q550" s="105"/>
      <c r="W550" s="105"/>
    </row>
    <row r="551" spans="5:23">
      <c r="E551" s="104"/>
      <c r="J551" s="97"/>
      <c r="K551" s="97"/>
      <c r="L551" s="104"/>
      <c r="Q551" s="105"/>
      <c r="W551" s="105"/>
    </row>
    <row r="552" spans="5:23">
      <c r="E552" s="104"/>
      <c r="J552" s="97"/>
      <c r="K552" s="97"/>
      <c r="L552" s="104"/>
      <c r="Q552" s="105"/>
      <c r="W552" s="105"/>
    </row>
    <row r="553" spans="5:23">
      <c r="E553" s="104"/>
      <c r="J553" s="97"/>
      <c r="K553" s="97"/>
      <c r="L553" s="104"/>
      <c r="Q553" s="105"/>
      <c r="W553" s="105"/>
    </row>
    <row r="554" spans="5:23">
      <c r="E554" s="104"/>
      <c r="J554" s="97"/>
      <c r="K554" s="97"/>
      <c r="L554" s="104"/>
      <c r="Q554" s="105"/>
      <c r="W554" s="105"/>
    </row>
    <row r="555" spans="5:23">
      <c r="E555" s="104"/>
      <c r="J555" s="97"/>
      <c r="K555" s="97"/>
      <c r="L555" s="104"/>
      <c r="Q555" s="105"/>
      <c r="W555" s="105"/>
    </row>
    <row r="556" spans="5:23">
      <c r="E556" s="104"/>
      <c r="J556" s="97"/>
      <c r="K556" s="97"/>
      <c r="L556" s="104"/>
      <c r="Q556" s="105"/>
      <c r="W556" s="105"/>
    </row>
    <row r="557" spans="5:23">
      <c r="E557" s="104"/>
      <c r="J557" s="97"/>
      <c r="K557" s="97"/>
      <c r="L557" s="104"/>
      <c r="Q557" s="105"/>
      <c r="W557" s="105"/>
    </row>
    <row r="558" spans="5:23">
      <c r="E558" s="104"/>
      <c r="J558" s="97"/>
      <c r="K558" s="97"/>
      <c r="L558" s="104"/>
      <c r="Q558" s="105"/>
      <c r="W558" s="105"/>
    </row>
    <row r="559" spans="5:23">
      <c r="E559" s="104"/>
      <c r="J559" s="97"/>
      <c r="K559" s="97"/>
      <c r="L559" s="104"/>
      <c r="Q559" s="105"/>
      <c r="W559" s="105"/>
    </row>
    <row r="560" spans="5:23">
      <c r="E560" s="104"/>
      <c r="J560" s="97"/>
      <c r="K560" s="97"/>
      <c r="L560" s="104"/>
      <c r="Q560" s="105"/>
      <c r="W560" s="105"/>
    </row>
    <row r="561" spans="5:23">
      <c r="E561" s="104"/>
      <c r="J561" s="97"/>
      <c r="K561" s="97"/>
      <c r="L561" s="104"/>
      <c r="Q561" s="105"/>
      <c r="W561" s="105"/>
    </row>
    <row r="562" spans="5:23">
      <c r="E562" s="104"/>
      <c r="J562" s="97"/>
      <c r="K562" s="97"/>
      <c r="L562" s="104"/>
      <c r="Q562" s="105"/>
      <c r="W562" s="105"/>
    </row>
    <row r="563" spans="5:23">
      <c r="E563" s="104"/>
      <c r="J563" s="97"/>
      <c r="K563" s="97"/>
      <c r="L563" s="104"/>
      <c r="Q563" s="105"/>
      <c r="W563" s="105"/>
    </row>
    <row r="564" spans="5:23">
      <c r="E564" s="104"/>
      <c r="J564" s="97"/>
      <c r="K564" s="97"/>
      <c r="L564" s="104"/>
      <c r="Q564" s="105"/>
      <c r="W564" s="105"/>
    </row>
    <row r="565" spans="5:23">
      <c r="E565" s="104"/>
      <c r="J565" s="97"/>
      <c r="K565" s="97"/>
      <c r="L565" s="104"/>
      <c r="Q565" s="105"/>
      <c r="W565" s="105"/>
    </row>
    <row r="566" spans="5:23">
      <c r="E566" s="104"/>
      <c r="J566" s="97"/>
      <c r="K566" s="97"/>
      <c r="L566" s="104"/>
      <c r="Q566" s="105"/>
      <c r="W566" s="105"/>
    </row>
    <row r="567" spans="5:23">
      <c r="E567" s="104"/>
      <c r="J567" s="97"/>
      <c r="K567" s="97"/>
      <c r="L567" s="104"/>
      <c r="Q567" s="105"/>
      <c r="W567" s="105"/>
    </row>
    <row r="568" spans="5:23">
      <c r="E568" s="104"/>
      <c r="J568" s="97"/>
      <c r="K568" s="97"/>
      <c r="L568" s="104"/>
      <c r="Q568" s="105"/>
      <c r="W568" s="105"/>
    </row>
    <row r="569" spans="5:23">
      <c r="E569" s="104"/>
      <c r="J569" s="97"/>
      <c r="K569" s="97"/>
      <c r="L569" s="104"/>
      <c r="Q569" s="105"/>
      <c r="W569" s="105"/>
    </row>
    <row r="570" spans="5:23">
      <c r="E570" s="104"/>
      <c r="J570" s="97"/>
      <c r="K570" s="97"/>
      <c r="L570" s="104"/>
      <c r="Q570" s="105"/>
      <c r="W570" s="105"/>
    </row>
    <row r="571" spans="5:23">
      <c r="E571" s="104"/>
      <c r="J571" s="97"/>
      <c r="K571" s="97"/>
      <c r="L571" s="104"/>
      <c r="Q571" s="105"/>
      <c r="W571" s="105"/>
    </row>
    <row r="572" spans="5:23">
      <c r="E572" s="104"/>
      <c r="J572" s="97"/>
      <c r="K572" s="97"/>
      <c r="L572" s="104"/>
      <c r="Q572" s="105"/>
      <c r="W572" s="105"/>
    </row>
    <row r="573" spans="5:23">
      <c r="E573" s="104"/>
      <c r="J573" s="97"/>
      <c r="K573" s="97"/>
      <c r="L573" s="104"/>
      <c r="Q573" s="105"/>
      <c r="W573" s="105"/>
    </row>
    <row r="574" spans="5:23">
      <c r="E574" s="104"/>
      <c r="J574" s="97"/>
      <c r="K574" s="97"/>
      <c r="L574" s="104"/>
      <c r="Q574" s="105"/>
      <c r="W574" s="105"/>
    </row>
    <row r="575" spans="5:23">
      <c r="E575" s="104"/>
      <c r="J575" s="97"/>
      <c r="K575" s="97"/>
      <c r="L575" s="104"/>
      <c r="Q575" s="105"/>
      <c r="W575" s="105"/>
    </row>
    <row r="576" spans="5:23">
      <c r="E576" s="104"/>
      <c r="J576" s="97"/>
      <c r="K576" s="97"/>
      <c r="L576" s="104"/>
      <c r="Q576" s="105"/>
      <c r="W576" s="105"/>
    </row>
    <row r="577" spans="5:23">
      <c r="E577" s="104"/>
      <c r="J577" s="97"/>
      <c r="K577" s="97"/>
      <c r="L577" s="104"/>
      <c r="Q577" s="105"/>
      <c r="W577" s="105"/>
    </row>
    <row r="578" spans="5:23">
      <c r="E578" s="104"/>
      <c r="J578" s="97"/>
      <c r="K578" s="97"/>
      <c r="L578" s="104"/>
      <c r="Q578" s="105"/>
      <c r="W578" s="105"/>
    </row>
    <row r="579" spans="5:23">
      <c r="E579" s="104"/>
      <c r="J579" s="97"/>
      <c r="K579" s="97"/>
      <c r="L579" s="104"/>
      <c r="Q579" s="105"/>
      <c r="W579" s="105"/>
    </row>
    <row r="580" spans="5:23">
      <c r="E580" s="104"/>
      <c r="J580" s="97"/>
      <c r="K580" s="97"/>
      <c r="L580" s="104"/>
      <c r="Q580" s="105"/>
      <c r="W580" s="105"/>
    </row>
    <row r="581" spans="5:23">
      <c r="E581" s="104"/>
      <c r="J581" s="97"/>
      <c r="K581" s="97"/>
      <c r="L581" s="104"/>
      <c r="Q581" s="105"/>
      <c r="W581" s="105"/>
    </row>
    <row r="582" spans="5:23">
      <c r="E582" s="104"/>
      <c r="J582" s="97"/>
      <c r="K582" s="97"/>
      <c r="L582" s="104"/>
      <c r="Q582" s="105"/>
      <c r="W582" s="105"/>
    </row>
    <row r="583" spans="5:23">
      <c r="E583" s="104"/>
      <c r="J583" s="97"/>
      <c r="K583" s="97"/>
      <c r="L583" s="104"/>
      <c r="Q583" s="105"/>
      <c r="W583" s="105"/>
    </row>
    <row r="584" spans="5:23">
      <c r="E584" s="104"/>
      <c r="J584" s="97"/>
      <c r="K584" s="97"/>
      <c r="L584" s="104"/>
      <c r="Q584" s="105"/>
      <c r="W584" s="105"/>
    </row>
    <row r="585" spans="5:23">
      <c r="E585" s="104"/>
      <c r="J585" s="97"/>
      <c r="K585" s="97"/>
      <c r="L585" s="104"/>
      <c r="Q585" s="105"/>
      <c r="W585" s="105"/>
    </row>
    <row r="586" spans="5:23">
      <c r="E586" s="104"/>
      <c r="J586" s="97"/>
      <c r="K586" s="97"/>
      <c r="L586" s="104"/>
      <c r="Q586" s="105"/>
      <c r="W586" s="105"/>
    </row>
    <row r="587" spans="5:23">
      <c r="E587" s="104"/>
      <c r="J587" s="97"/>
      <c r="K587" s="97"/>
      <c r="L587" s="104"/>
      <c r="Q587" s="105"/>
      <c r="W587" s="105"/>
    </row>
    <row r="588" spans="5:23">
      <c r="E588" s="104"/>
      <c r="J588" s="97"/>
      <c r="K588" s="97"/>
      <c r="L588" s="104"/>
      <c r="Q588" s="105"/>
      <c r="W588" s="105"/>
    </row>
    <row r="589" spans="5:23">
      <c r="E589" s="104"/>
      <c r="J589" s="97"/>
      <c r="K589" s="97"/>
      <c r="L589" s="104"/>
      <c r="Q589" s="105"/>
      <c r="W589" s="105"/>
    </row>
    <row r="590" spans="5:23">
      <c r="E590" s="104"/>
      <c r="J590" s="97"/>
      <c r="K590" s="97"/>
      <c r="L590" s="104"/>
      <c r="Q590" s="105"/>
      <c r="W590" s="105"/>
    </row>
    <row r="591" spans="5:23">
      <c r="E591" s="104"/>
      <c r="J591" s="97"/>
      <c r="K591" s="97"/>
      <c r="L591" s="104"/>
      <c r="Q591" s="105"/>
      <c r="W591" s="105"/>
    </row>
    <row r="592" spans="5:23">
      <c r="E592" s="104"/>
      <c r="J592" s="97"/>
      <c r="K592" s="97"/>
      <c r="L592" s="104"/>
      <c r="Q592" s="105"/>
      <c r="W592" s="105"/>
    </row>
    <row r="593" spans="5:23">
      <c r="E593" s="104"/>
      <c r="J593" s="97"/>
      <c r="K593" s="97"/>
      <c r="L593" s="104"/>
      <c r="Q593" s="105"/>
      <c r="W593" s="105"/>
    </row>
    <row r="594" spans="5:23">
      <c r="E594" s="104"/>
      <c r="J594" s="97"/>
      <c r="K594" s="97"/>
      <c r="L594" s="104"/>
      <c r="Q594" s="105"/>
      <c r="W594" s="105"/>
    </row>
    <row r="595" spans="5:23">
      <c r="E595" s="104"/>
      <c r="J595" s="97"/>
      <c r="K595" s="97"/>
      <c r="L595" s="104"/>
      <c r="Q595" s="105"/>
      <c r="W595" s="105"/>
    </row>
    <row r="596" spans="5:23">
      <c r="E596" s="104"/>
      <c r="J596" s="97"/>
      <c r="K596" s="97"/>
      <c r="L596" s="104"/>
      <c r="Q596" s="105"/>
      <c r="W596" s="105"/>
    </row>
    <row r="597" spans="5:23">
      <c r="E597" s="104"/>
      <c r="J597" s="97"/>
      <c r="K597" s="97"/>
      <c r="L597" s="104"/>
      <c r="Q597" s="105"/>
      <c r="W597" s="105"/>
    </row>
    <row r="598" spans="5:23">
      <c r="E598" s="104"/>
      <c r="J598" s="97"/>
      <c r="K598" s="97"/>
      <c r="L598" s="104"/>
      <c r="Q598" s="105"/>
      <c r="W598" s="105"/>
    </row>
    <row r="599" spans="5:23">
      <c r="E599" s="104"/>
      <c r="J599" s="97"/>
      <c r="K599" s="97"/>
      <c r="L599" s="104"/>
      <c r="Q599" s="105"/>
      <c r="W599" s="105"/>
    </row>
    <row r="600" spans="5:23">
      <c r="E600" s="104"/>
      <c r="J600" s="97"/>
      <c r="K600" s="97"/>
      <c r="L600" s="104"/>
      <c r="Q600" s="105"/>
      <c r="W600" s="105"/>
    </row>
    <row r="601" spans="5:23">
      <c r="E601" s="104"/>
      <c r="J601" s="97"/>
      <c r="K601" s="97"/>
      <c r="L601" s="104"/>
      <c r="Q601" s="105"/>
      <c r="W601" s="105"/>
    </row>
    <row r="602" spans="5:23">
      <c r="E602" s="104"/>
      <c r="J602" s="97"/>
      <c r="K602" s="97"/>
      <c r="L602" s="104"/>
      <c r="Q602" s="105"/>
      <c r="W602" s="105"/>
    </row>
    <row r="603" spans="5:23">
      <c r="E603" s="104"/>
      <c r="J603" s="97"/>
      <c r="K603" s="97"/>
      <c r="L603" s="104"/>
      <c r="Q603" s="105"/>
      <c r="W603" s="105"/>
    </row>
    <row r="604" spans="5:23">
      <c r="E604" s="104"/>
      <c r="J604" s="97"/>
      <c r="K604" s="97"/>
      <c r="L604" s="104"/>
      <c r="Q604" s="105"/>
      <c r="W604" s="105"/>
    </row>
    <row r="605" spans="5:23">
      <c r="E605" s="104"/>
      <c r="J605" s="97"/>
      <c r="K605" s="97"/>
      <c r="L605" s="104"/>
      <c r="Q605" s="105"/>
      <c r="W605" s="105"/>
    </row>
    <row r="606" spans="5:23">
      <c r="E606" s="104"/>
      <c r="J606" s="97"/>
      <c r="K606" s="97"/>
      <c r="L606" s="104"/>
      <c r="Q606" s="105"/>
      <c r="W606" s="105"/>
    </row>
    <row r="607" spans="5:23">
      <c r="E607" s="104"/>
      <c r="J607" s="97"/>
      <c r="K607" s="97"/>
      <c r="L607" s="104"/>
      <c r="Q607" s="105"/>
      <c r="W607" s="105"/>
    </row>
    <row r="608" spans="5:23">
      <c r="E608" s="104"/>
      <c r="J608" s="97"/>
      <c r="K608" s="97"/>
      <c r="L608" s="104"/>
      <c r="Q608" s="105"/>
      <c r="W608" s="105"/>
    </row>
    <row r="609" spans="5:23">
      <c r="E609" s="104"/>
      <c r="J609" s="97"/>
      <c r="K609" s="97"/>
      <c r="L609" s="104"/>
      <c r="Q609" s="105"/>
      <c r="W609" s="105"/>
    </row>
    <row r="610" spans="5:23">
      <c r="E610" s="104"/>
      <c r="J610" s="97"/>
      <c r="K610" s="97"/>
      <c r="L610" s="104"/>
      <c r="Q610" s="105"/>
      <c r="W610" s="105"/>
    </row>
    <row r="611" spans="5:23">
      <c r="E611" s="104"/>
      <c r="J611" s="97"/>
      <c r="K611" s="97"/>
      <c r="L611" s="104"/>
      <c r="Q611" s="105"/>
      <c r="W611" s="105"/>
    </row>
    <row r="612" spans="5:23">
      <c r="E612" s="104"/>
      <c r="J612" s="97"/>
      <c r="K612" s="97"/>
      <c r="L612" s="104"/>
      <c r="Q612" s="105"/>
      <c r="W612" s="105"/>
    </row>
    <row r="613" spans="5:23">
      <c r="E613" s="104"/>
      <c r="J613" s="97"/>
      <c r="K613" s="97"/>
      <c r="L613" s="104"/>
      <c r="Q613" s="105"/>
      <c r="W613" s="105"/>
    </row>
    <row r="614" spans="5:23">
      <c r="E614" s="104"/>
      <c r="J614" s="97"/>
      <c r="K614" s="97"/>
      <c r="L614" s="104"/>
      <c r="Q614" s="105"/>
      <c r="W614" s="105"/>
    </row>
    <row r="615" spans="5:23">
      <c r="E615" s="104"/>
      <c r="J615" s="97"/>
      <c r="K615" s="97"/>
      <c r="L615" s="104"/>
      <c r="Q615" s="105"/>
      <c r="W615" s="105"/>
    </row>
    <row r="616" spans="5:23">
      <c r="E616" s="104"/>
      <c r="J616" s="97"/>
      <c r="K616" s="97"/>
      <c r="L616" s="104"/>
      <c r="Q616" s="105"/>
      <c r="W616" s="105"/>
    </row>
    <row r="617" spans="5:23">
      <c r="E617" s="104"/>
      <c r="J617" s="97"/>
      <c r="K617" s="97"/>
      <c r="L617" s="104"/>
      <c r="Q617" s="105"/>
      <c r="W617" s="105"/>
    </row>
    <row r="618" spans="5:23">
      <c r="E618" s="104"/>
      <c r="J618" s="97"/>
      <c r="K618" s="97"/>
      <c r="L618" s="104"/>
      <c r="Q618" s="105"/>
      <c r="W618" s="105"/>
    </row>
    <row r="619" spans="5:23">
      <c r="E619" s="104"/>
      <c r="J619" s="97"/>
      <c r="K619" s="97"/>
      <c r="L619" s="104"/>
      <c r="Q619" s="105"/>
      <c r="W619" s="105"/>
    </row>
    <row r="620" spans="5:23">
      <c r="E620" s="104"/>
      <c r="J620" s="97"/>
      <c r="K620" s="97"/>
      <c r="L620" s="104"/>
      <c r="Q620" s="105"/>
      <c r="W620" s="105"/>
    </row>
    <row r="621" spans="5:23">
      <c r="E621" s="104"/>
      <c r="J621" s="97"/>
      <c r="K621" s="97"/>
      <c r="L621" s="104"/>
      <c r="Q621" s="105"/>
      <c r="W621" s="105"/>
    </row>
    <row r="622" spans="5:23">
      <c r="E622" s="104"/>
      <c r="J622" s="97"/>
      <c r="K622" s="97"/>
      <c r="L622" s="104"/>
      <c r="Q622" s="105"/>
      <c r="W622" s="105"/>
    </row>
    <row r="623" spans="5:23">
      <c r="E623" s="104"/>
      <c r="J623" s="97"/>
      <c r="K623" s="97"/>
      <c r="L623" s="104"/>
      <c r="Q623" s="105"/>
      <c r="W623" s="105"/>
    </row>
    <row r="624" spans="5:23">
      <c r="E624" s="104"/>
      <c r="J624" s="97"/>
      <c r="K624" s="97"/>
      <c r="L624" s="104"/>
      <c r="Q624" s="105"/>
      <c r="W624" s="105"/>
    </row>
    <row r="625" spans="5:23">
      <c r="E625" s="104"/>
      <c r="J625" s="97"/>
      <c r="K625" s="97"/>
      <c r="L625" s="104"/>
      <c r="Q625" s="105"/>
      <c r="W625" s="105"/>
    </row>
    <row r="626" spans="5:23">
      <c r="E626" s="104"/>
      <c r="J626" s="97"/>
      <c r="K626" s="97"/>
      <c r="L626" s="104"/>
      <c r="Q626" s="105"/>
      <c r="W626" s="105"/>
    </row>
    <row r="627" spans="5:23">
      <c r="E627" s="104"/>
      <c r="J627" s="97"/>
      <c r="K627" s="97"/>
      <c r="L627" s="104"/>
      <c r="Q627" s="105"/>
      <c r="W627" s="105"/>
    </row>
    <row r="628" spans="5:23">
      <c r="E628" s="104"/>
      <c r="J628" s="97"/>
      <c r="K628" s="97"/>
      <c r="L628" s="104"/>
      <c r="Q628" s="105"/>
      <c r="W628" s="105"/>
    </row>
    <row r="629" spans="5:23">
      <c r="E629" s="104"/>
      <c r="J629" s="97"/>
      <c r="K629" s="97"/>
      <c r="L629" s="104"/>
      <c r="Q629" s="105"/>
      <c r="W629" s="105"/>
    </row>
    <row r="630" spans="5:23">
      <c r="E630" s="104"/>
      <c r="J630" s="97"/>
      <c r="K630" s="97"/>
      <c r="L630" s="104"/>
      <c r="Q630" s="105"/>
      <c r="W630" s="105"/>
    </row>
    <row r="631" spans="5:23">
      <c r="E631" s="104"/>
      <c r="J631" s="97"/>
      <c r="K631" s="97"/>
      <c r="L631" s="104"/>
      <c r="Q631" s="105"/>
      <c r="W631" s="105"/>
    </row>
    <row r="632" spans="5:23">
      <c r="E632" s="104"/>
      <c r="J632" s="97"/>
      <c r="K632" s="97"/>
      <c r="L632" s="104"/>
      <c r="Q632" s="105"/>
      <c r="W632" s="105"/>
    </row>
    <row r="633" spans="5:23">
      <c r="E633" s="104"/>
      <c r="J633" s="97"/>
      <c r="K633" s="97"/>
      <c r="L633" s="104"/>
      <c r="Q633" s="105"/>
      <c r="W633" s="105"/>
    </row>
    <row r="634" spans="5:23">
      <c r="E634" s="104"/>
      <c r="J634" s="97"/>
      <c r="K634" s="97"/>
      <c r="L634" s="104"/>
      <c r="Q634" s="105"/>
      <c r="W634" s="105"/>
    </row>
    <row r="635" spans="5:23">
      <c r="E635" s="104"/>
      <c r="J635" s="97"/>
      <c r="K635" s="97"/>
      <c r="L635" s="104"/>
      <c r="Q635" s="105"/>
      <c r="W635" s="105"/>
    </row>
    <row r="636" spans="5:23">
      <c r="E636" s="104"/>
      <c r="J636" s="97"/>
      <c r="K636" s="97"/>
      <c r="L636" s="104"/>
      <c r="Q636" s="105"/>
      <c r="W636" s="105"/>
    </row>
    <row r="637" spans="5:23">
      <c r="E637" s="104"/>
      <c r="J637" s="97"/>
      <c r="K637" s="97"/>
      <c r="L637" s="104"/>
      <c r="Q637" s="105"/>
      <c r="W637" s="105"/>
    </row>
    <row r="638" spans="5:23">
      <c r="E638" s="104"/>
      <c r="J638" s="97"/>
      <c r="K638" s="97"/>
      <c r="L638" s="104"/>
      <c r="Q638" s="105"/>
      <c r="W638" s="105"/>
    </row>
    <row r="639" spans="5:23">
      <c r="E639" s="104"/>
      <c r="J639" s="97"/>
      <c r="K639" s="97"/>
      <c r="L639" s="104"/>
      <c r="Q639" s="105"/>
      <c r="W639" s="105"/>
    </row>
    <row r="640" spans="5:23">
      <c r="E640" s="104"/>
      <c r="J640" s="97"/>
      <c r="K640" s="97"/>
      <c r="L640" s="104"/>
      <c r="Q640" s="105"/>
      <c r="W640" s="105"/>
    </row>
    <row r="641" spans="5:23">
      <c r="E641" s="104"/>
      <c r="J641" s="97"/>
      <c r="K641" s="97"/>
      <c r="L641" s="104"/>
      <c r="Q641" s="105"/>
      <c r="W641" s="105"/>
    </row>
    <row r="642" spans="5:23">
      <c r="E642" s="104"/>
      <c r="J642" s="97"/>
      <c r="K642" s="97"/>
      <c r="L642" s="104"/>
      <c r="Q642" s="105"/>
      <c r="W642" s="105"/>
    </row>
    <row r="643" spans="5:23">
      <c r="E643" s="104"/>
      <c r="J643" s="97"/>
      <c r="K643" s="97"/>
      <c r="L643" s="104"/>
      <c r="Q643" s="105"/>
      <c r="W643" s="105"/>
    </row>
    <row r="644" spans="5:23">
      <c r="E644" s="104"/>
      <c r="J644" s="97"/>
      <c r="K644" s="97"/>
      <c r="L644" s="104"/>
      <c r="Q644" s="105"/>
      <c r="W644" s="105"/>
    </row>
    <row r="645" spans="5:23">
      <c r="E645" s="104"/>
      <c r="J645" s="97"/>
      <c r="K645" s="97"/>
      <c r="L645" s="104"/>
      <c r="Q645" s="105"/>
      <c r="W645" s="105"/>
    </row>
    <row r="646" spans="5:23">
      <c r="E646" s="104"/>
      <c r="J646" s="97"/>
      <c r="K646" s="97"/>
      <c r="L646" s="104"/>
      <c r="Q646" s="105"/>
      <c r="W646" s="105"/>
    </row>
    <row r="647" spans="5:23">
      <c r="E647" s="104"/>
      <c r="J647" s="97"/>
      <c r="K647" s="97"/>
      <c r="L647" s="104"/>
      <c r="Q647" s="105"/>
      <c r="W647" s="105"/>
    </row>
    <row r="648" spans="5:23">
      <c r="E648" s="104"/>
      <c r="J648" s="97"/>
      <c r="K648" s="97"/>
      <c r="L648" s="104"/>
      <c r="Q648" s="105"/>
      <c r="W648" s="105"/>
    </row>
    <row r="649" spans="5:23">
      <c r="E649" s="104"/>
      <c r="J649" s="97"/>
      <c r="K649" s="97"/>
      <c r="L649" s="104"/>
      <c r="Q649" s="105"/>
      <c r="W649" s="105"/>
    </row>
    <row r="650" spans="5:23">
      <c r="E650" s="104"/>
      <c r="J650" s="97"/>
      <c r="K650" s="97"/>
      <c r="L650" s="104"/>
      <c r="Q650" s="105"/>
      <c r="W650" s="105"/>
    </row>
    <row r="651" spans="5:23">
      <c r="E651" s="104"/>
      <c r="J651" s="97"/>
      <c r="K651" s="97"/>
      <c r="L651" s="104"/>
      <c r="Q651" s="105"/>
      <c r="W651" s="105"/>
    </row>
    <row r="652" spans="5:23">
      <c r="E652" s="104"/>
      <c r="J652" s="97"/>
      <c r="K652" s="97"/>
      <c r="L652" s="104"/>
      <c r="Q652" s="105"/>
      <c r="W652" s="105"/>
    </row>
    <row r="653" spans="5:23">
      <c r="E653" s="104"/>
      <c r="J653" s="97"/>
      <c r="K653" s="97"/>
      <c r="L653" s="104"/>
      <c r="Q653" s="105"/>
      <c r="W653" s="105"/>
    </row>
    <row r="654" spans="5:23">
      <c r="E654" s="104"/>
      <c r="J654" s="97"/>
      <c r="K654" s="97"/>
      <c r="L654" s="104"/>
      <c r="Q654" s="105"/>
      <c r="W654" s="105"/>
    </row>
    <row r="655" spans="5:23">
      <c r="E655" s="104"/>
      <c r="J655" s="97"/>
      <c r="K655" s="97"/>
      <c r="L655" s="104"/>
      <c r="Q655" s="105"/>
      <c r="W655" s="105"/>
    </row>
    <row r="656" spans="5:23">
      <c r="E656" s="104"/>
      <c r="J656" s="97"/>
      <c r="K656" s="97"/>
      <c r="L656" s="104"/>
      <c r="Q656" s="105"/>
      <c r="W656" s="105"/>
    </row>
    <row r="657" spans="5:23">
      <c r="E657" s="104"/>
      <c r="J657" s="97"/>
      <c r="K657" s="97"/>
      <c r="L657" s="104"/>
      <c r="Q657" s="105"/>
      <c r="W657" s="105"/>
    </row>
    <row r="658" spans="5:23">
      <c r="E658" s="104"/>
      <c r="J658" s="97"/>
      <c r="K658" s="97"/>
      <c r="L658" s="104"/>
      <c r="Q658" s="105"/>
      <c r="W658" s="105"/>
    </row>
    <row r="659" spans="5:23">
      <c r="E659" s="104"/>
      <c r="J659" s="97"/>
      <c r="K659" s="97"/>
      <c r="L659" s="104"/>
      <c r="Q659" s="105"/>
      <c r="W659" s="105"/>
    </row>
    <row r="660" spans="5:23">
      <c r="E660" s="104"/>
      <c r="J660" s="97"/>
      <c r="K660" s="97"/>
      <c r="L660" s="104"/>
      <c r="Q660" s="105"/>
      <c r="W660" s="105"/>
    </row>
    <row r="661" spans="5:23">
      <c r="E661" s="104"/>
      <c r="J661" s="97"/>
      <c r="K661" s="97"/>
      <c r="L661" s="104"/>
      <c r="Q661" s="105"/>
      <c r="W661" s="105"/>
    </row>
    <row r="662" spans="5:23">
      <c r="E662" s="104"/>
      <c r="J662" s="97"/>
      <c r="K662" s="97"/>
      <c r="L662" s="104"/>
      <c r="Q662" s="105"/>
      <c r="W662" s="105"/>
    </row>
    <row r="663" spans="5:23">
      <c r="E663" s="104"/>
      <c r="J663" s="97"/>
      <c r="K663" s="97"/>
      <c r="L663" s="104"/>
      <c r="Q663" s="105"/>
      <c r="W663" s="105"/>
    </row>
    <row r="664" spans="5:23">
      <c r="E664" s="104"/>
      <c r="J664" s="97"/>
      <c r="K664" s="97"/>
      <c r="L664" s="104"/>
      <c r="Q664" s="105"/>
      <c r="W664" s="105"/>
    </row>
    <row r="665" spans="5:23">
      <c r="E665" s="104"/>
      <c r="J665" s="97"/>
      <c r="K665" s="97"/>
      <c r="L665" s="104"/>
      <c r="Q665" s="105"/>
      <c r="W665" s="105"/>
    </row>
    <row r="666" spans="5:23">
      <c r="E666" s="104"/>
      <c r="J666" s="97"/>
      <c r="K666" s="97"/>
      <c r="L666" s="104"/>
      <c r="Q666" s="105"/>
      <c r="W666" s="105"/>
    </row>
    <row r="667" spans="5:23">
      <c r="E667" s="104"/>
      <c r="J667" s="97"/>
      <c r="K667" s="97"/>
      <c r="L667" s="104"/>
      <c r="Q667" s="105"/>
      <c r="W667" s="105"/>
    </row>
    <row r="668" spans="5:23">
      <c r="E668" s="104"/>
      <c r="J668" s="97"/>
      <c r="K668" s="97"/>
      <c r="L668" s="104"/>
      <c r="Q668" s="105"/>
      <c r="W668" s="105"/>
    </row>
    <row r="669" spans="5:23">
      <c r="E669" s="104"/>
      <c r="J669" s="97"/>
      <c r="K669" s="97"/>
      <c r="L669" s="104"/>
      <c r="Q669" s="105"/>
      <c r="W669" s="105"/>
    </row>
    <row r="670" spans="5:23">
      <c r="E670" s="104"/>
      <c r="J670" s="97"/>
      <c r="K670" s="97"/>
      <c r="L670" s="104"/>
      <c r="Q670" s="105"/>
      <c r="W670" s="105"/>
    </row>
    <row r="671" spans="5:23">
      <c r="E671" s="104"/>
      <c r="J671" s="97"/>
      <c r="K671" s="97"/>
      <c r="L671" s="104"/>
      <c r="Q671" s="105"/>
      <c r="W671" s="105"/>
    </row>
    <row r="672" spans="5:23">
      <c r="E672" s="104"/>
      <c r="J672" s="97"/>
      <c r="K672" s="97"/>
      <c r="L672" s="104"/>
      <c r="Q672" s="105"/>
      <c r="W672" s="105"/>
    </row>
    <row r="673" spans="5:23">
      <c r="E673" s="104"/>
      <c r="J673" s="97"/>
      <c r="K673" s="97"/>
      <c r="L673" s="104"/>
      <c r="Q673" s="105"/>
      <c r="W673" s="105"/>
    </row>
    <row r="674" spans="5:23">
      <c r="E674" s="104"/>
      <c r="J674" s="97"/>
      <c r="K674" s="97"/>
      <c r="L674" s="104"/>
      <c r="Q674" s="105"/>
      <c r="W674" s="105"/>
    </row>
    <row r="675" spans="5:23">
      <c r="E675" s="104"/>
      <c r="J675" s="97"/>
      <c r="K675" s="97"/>
      <c r="L675" s="104"/>
      <c r="Q675" s="105"/>
      <c r="W675" s="105"/>
    </row>
    <row r="676" spans="5:23">
      <c r="E676" s="104"/>
      <c r="J676" s="97"/>
      <c r="K676" s="97"/>
      <c r="L676" s="104"/>
      <c r="Q676" s="105"/>
      <c r="W676" s="105"/>
    </row>
    <row r="677" spans="5:23">
      <c r="E677" s="104"/>
      <c r="J677" s="97"/>
      <c r="K677" s="97"/>
      <c r="L677" s="104"/>
      <c r="Q677" s="105"/>
      <c r="W677" s="105"/>
    </row>
    <row r="678" spans="5:23">
      <c r="E678" s="104"/>
      <c r="J678" s="97"/>
      <c r="K678" s="97"/>
      <c r="L678" s="104"/>
      <c r="Q678" s="105"/>
      <c r="W678" s="105"/>
    </row>
    <row r="679" spans="5:23">
      <c r="E679" s="104"/>
      <c r="J679" s="97"/>
      <c r="K679" s="97"/>
      <c r="L679" s="104"/>
      <c r="Q679" s="105"/>
      <c r="W679" s="105"/>
    </row>
    <row r="680" spans="5:23">
      <c r="E680" s="104"/>
      <c r="J680" s="97"/>
      <c r="K680" s="97"/>
      <c r="L680" s="104"/>
      <c r="Q680" s="105"/>
      <c r="W680" s="105"/>
    </row>
    <row r="681" spans="5:23">
      <c r="E681" s="104"/>
      <c r="J681" s="97"/>
      <c r="K681" s="97"/>
      <c r="L681" s="104"/>
      <c r="Q681" s="105"/>
      <c r="W681" s="105"/>
    </row>
    <row r="682" spans="5:23">
      <c r="E682" s="104"/>
      <c r="J682" s="97"/>
      <c r="K682" s="97"/>
      <c r="L682" s="104"/>
      <c r="Q682" s="105"/>
      <c r="W682" s="105"/>
    </row>
    <row r="683" spans="5:23">
      <c r="E683" s="104"/>
      <c r="J683" s="97"/>
      <c r="K683" s="97"/>
      <c r="L683" s="104"/>
      <c r="Q683" s="105"/>
      <c r="W683" s="105"/>
    </row>
    <row r="684" spans="5:23">
      <c r="E684" s="104"/>
      <c r="J684" s="97"/>
      <c r="K684" s="97"/>
      <c r="L684" s="104"/>
      <c r="Q684" s="105"/>
      <c r="W684" s="105"/>
    </row>
    <row r="685" spans="5:23">
      <c r="E685" s="104"/>
      <c r="J685" s="97"/>
      <c r="K685" s="97"/>
      <c r="L685" s="104"/>
      <c r="Q685" s="105"/>
      <c r="W685" s="105"/>
    </row>
    <row r="686" spans="5:23">
      <c r="E686" s="104"/>
      <c r="J686" s="97"/>
      <c r="K686" s="97"/>
      <c r="L686" s="104"/>
      <c r="Q686" s="105"/>
      <c r="W686" s="105"/>
    </row>
    <row r="687" spans="5:23">
      <c r="E687" s="104"/>
      <c r="J687" s="97"/>
      <c r="K687" s="97"/>
      <c r="L687" s="104"/>
      <c r="Q687" s="105"/>
      <c r="W687" s="105"/>
    </row>
    <row r="688" spans="5:23">
      <c r="E688" s="104"/>
      <c r="J688" s="97"/>
      <c r="K688" s="97"/>
      <c r="L688" s="104"/>
      <c r="Q688" s="105"/>
      <c r="W688" s="105"/>
    </row>
    <row r="689" spans="5:23">
      <c r="E689" s="104"/>
      <c r="J689" s="97"/>
      <c r="K689" s="97"/>
      <c r="L689" s="104"/>
      <c r="Q689" s="105"/>
      <c r="W689" s="105"/>
    </row>
    <row r="690" spans="5:23">
      <c r="E690" s="104"/>
      <c r="J690" s="97"/>
      <c r="K690" s="97"/>
      <c r="L690" s="104"/>
      <c r="Q690" s="105"/>
      <c r="W690" s="105"/>
    </row>
    <row r="691" spans="5:23">
      <c r="E691" s="104"/>
      <c r="J691" s="97"/>
      <c r="K691" s="97"/>
      <c r="L691" s="104"/>
      <c r="Q691" s="105"/>
      <c r="W691" s="105"/>
    </row>
    <row r="692" spans="5:23">
      <c r="E692" s="104"/>
      <c r="J692" s="97"/>
      <c r="K692" s="97"/>
      <c r="L692" s="104"/>
      <c r="Q692" s="105"/>
      <c r="W692" s="105"/>
    </row>
    <row r="693" spans="5:23">
      <c r="E693" s="104"/>
      <c r="J693" s="97"/>
      <c r="K693" s="97"/>
      <c r="L693" s="104"/>
      <c r="Q693" s="105"/>
      <c r="W693" s="105"/>
    </row>
    <row r="694" spans="5:23">
      <c r="E694" s="104"/>
      <c r="J694" s="97"/>
      <c r="K694" s="97"/>
      <c r="L694" s="104"/>
      <c r="Q694" s="105"/>
      <c r="W694" s="105"/>
    </row>
    <row r="695" spans="5:23">
      <c r="E695" s="104"/>
      <c r="J695" s="97"/>
      <c r="K695" s="97"/>
      <c r="L695" s="104"/>
      <c r="Q695" s="105"/>
      <c r="W695" s="105"/>
    </row>
    <row r="696" spans="5:23">
      <c r="E696" s="104"/>
      <c r="J696" s="97"/>
      <c r="K696" s="97"/>
      <c r="L696" s="104"/>
      <c r="Q696" s="105"/>
      <c r="W696" s="105"/>
    </row>
    <row r="697" spans="5:23">
      <c r="E697" s="104"/>
      <c r="J697" s="97"/>
      <c r="K697" s="97"/>
      <c r="L697" s="104"/>
      <c r="Q697" s="105"/>
      <c r="W697" s="105"/>
    </row>
    <row r="698" spans="5:23">
      <c r="E698" s="104"/>
      <c r="J698" s="97"/>
      <c r="K698" s="97"/>
      <c r="L698" s="104"/>
      <c r="Q698" s="105"/>
      <c r="W698" s="105"/>
    </row>
    <row r="699" spans="5:23">
      <c r="E699" s="104"/>
      <c r="J699" s="97"/>
      <c r="K699" s="97"/>
      <c r="L699" s="104"/>
      <c r="Q699" s="105"/>
      <c r="W699" s="105"/>
    </row>
    <row r="700" spans="5:23">
      <c r="E700" s="104"/>
      <c r="J700" s="97"/>
      <c r="K700" s="97"/>
      <c r="L700" s="104"/>
      <c r="Q700" s="105"/>
      <c r="W700" s="105"/>
    </row>
    <row r="701" spans="5:23">
      <c r="E701" s="104"/>
      <c r="J701" s="97"/>
      <c r="K701" s="97"/>
      <c r="L701" s="104"/>
      <c r="Q701" s="105"/>
      <c r="W701" s="105"/>
    </row>
    <row r="702" spans="5:23">
      <c r="E702" s="104"/>
      <c r="J702" s="97"/>
      <c r="K702" s="97"/>
      <c r="L702" s="104"/>
      <c r="Q702" s="105"/>
      <c r="W702" s="105"/>
    </row>
    <row r="703" spans="5:23">
      <c r="E703" s="104"/>
      <c r="J703" s="97"/>
      <c r="K703" s="97"/>
      <c r="L703" s="104"/>
      <c r="Q703" s="105"/>
      <c r="W703" s="105"/>
    </row>
    <row r="704" spans="5:23">
      <c r="E704" s="104"/>
      <c r="J704" s="97"/>
      <c r="K704" s="97"/>
      <c r="L704" s="104"/>
      <c r="Q704" s="105"/>
      <c r="W704" s="105"/>
    </row>
    <row r="705" spans="5:23">
      <c r="E705" s="104"/>
      <c r="J705" s="97"/>
      <c r="K705" s="97"/>
      <c r="L705" s="104"/>
      <c r="Q705" s="105"/>
      <c r="W705" s="105"/>
    </row>
    <row r="706" spans="5:23">
      <c r="E706" s="104"/>
      <c r="J706" s="97"/>
      <c r="K706" s="97"/>
      <c r="L706" s="104"/>
      <c r="Q706" s="105"/>
      <c r="W706" s="105"/>
    </row>
    <row r="707" spans="5:23">
      <c r="E707" s="104"/>
      <c r="J707" s="97"/>
      <c r="K707" s="97"/>
      <c r="L707" s="104"/>
      <c r="Q707" s="105"/>
      <c r="W707" s="105"/>
    </row>
    <row r="708" spans="5:23">
      <c r="E708" s="104"/>
      <c r="J708" s="97"/>
      <c r="K708" s="97"/>
      <c r="L708" s="104"/>
      <c r="Q708" s="105"/>
      <c r="W708" s="105"/>
    </row>
    <row r="709" spans="5:23">
      <c r="E709" s="104"/>
      <c r="J709" s="97"/>
      <c r="K709" s="97"/>
      <c r="L709" s="104"/>
      <c r="Q709" s="105"/>
      <c r="W709" s="105"/>
    </row>
    <row r="710" spans="5:23">
      <c r="E710" s="104"/>
      <c r="J710" s="97"/>
      <c r="K710" s="97"/>
      <c r="L710" s="104"/>
      <c r="Q710" s="105"/>
      <c r="W710" s="105"/>
    </row>
    <row r="711" spans="5:23">
      <c r="E711" s="104"/>
      <c r="J711" s="97"/>
      <c r="K711" s="97"/>
      <c r="L711" s="104"/>
      <c r="Q711" s="105"/>
      <c r="W711" s="105"/>
    </row>
    <row r="712" spans="5:23">
      <c r="E712" s="104"/>
      <c r="J712" s="97"/>
      <c r="K712" s="97"/>
      <c r="L712" s="104"/>
      <c r="Q712" s="105"/>
      <c r="W712" s="105"/>
    </row>
    <row r="713" spans="5:23">
      <c r="E713" s="104"/>
      <c r="J713" s="97"/>
      <c r="K713" s="97"/>
      <c r="L713" s="104"/>
      <c r="Q713" s="105"/>
      <c r="W713" s="105"/>
    </row>
    <row r="714" spans="5:23">
      <c r="E714" s="104"/>
      <c r="J714" s="97"/>
      <c r="K714" s="97"/>
      <c r="L714" s="104"/>
      <c r="Q714" s="105"/>
      <c r="W714" s="105"/>
    </row>
    <row r="715" spans="5:23">
      <c r="E715" s="104"/>
      <c r="J715" s="97"/>
      <c r="K715" s="97"/>
      <c r="L715" s="104"/>
      <c r="Q715" s="105"/>
      <c r="W715" s="105"/>
    </row>
    <row r="716" spans="5:23">
      <c r="E716" s="104"/>
      <c r="J716" s="97"/>
      <c r="K716" s="97"/>
      <c r="L716" s="104"/>
      <c r="Q716" s="105"/>
      <c r="W716" s="105"/>
    </row>
    <row r="717" spans="5:23">
      <c r="E717" s="104"/>
      <c r="J717" s="97"/>
      <c r="K717" s="97"/>
      <c r="L717" s="104"/>
      <c r="Q717" s="105"/>
      <c r="W717" s="105"/>
    </row>
    <row r="718" spans="5:23">
      <c r="E718" s="104"/>
      <c r="J718" s="97"/>
      <c r="K718" s="97"/>
      <c r="L718" s="104"/>
      <c r="Q718" s="105"/>
      <c r="W718" s="105"/>
    </row>
    <row r="719" spans="5:23">
      <c r="E719" s="104"/>
      <c r="J719" s="97"/>
      <c r="K719" s="97"/>
      <c r="L719" s="104"/>
      <c r="Q719" s="105"/>
      <c r="W719" s="105"/>
    </row>
    <row r="720" spans="5:23">
      <c r="E720" s="104"/>
      <c r="J720" s="97"/>
      <c r="K720" s="97"/>
      <c r="L720" s="104"/>
      <c r="Q720" s="105"/>
      <c r="W720" s="105"/>
    </row>
    <row r="721" spans="5:23">
      <c r="E721" s="104"/>
      <c r="J721" s="97"/>
      <c r="K721" s="97"/>
      <c r="L721" s="104"/>
      <c r="Q721" s="105"/>
      <c r="W721" s="105"/>
    </row>
    <row r="722" spans="5:23">
      <c r="E722" s="104"/>
      <c r="J722" s="97"/>
      <c r="K722" s="97"/>
      <c r="L722" s="104"/>
      <c r="Q722" s="105"/>
      <c r="W722" s="105"/>
    </row>
    <row r="723" spans="5:23">
      <c r="E723" s="104"/>
      <c r="J723" s="97"/>
      <c r="K723" s="97"/>
      <c r="L723" s="104"/>
      <c r="Q723" s="105"/>
      <c r="W723" s="105"/>
    </row>
    <row r="724" spans="5:23">
      <c r="E724" s="104"/>
      <c r="J724" s="97"/>
      <c r="K724" s="97"/>
      <c r="L724" s="104"/>
      <c r="Q724" s="105"/>
      <c r="W724" s="105"/>
    </row>
    <row r="725" spans="5:23">
      <c r="E725" s="104"/>
      <c r="J725" s="97"/>
      <c r="K725" s="97"/>
      <c r="L725" s="104"/>
      <c r="Q725" s="105"/>
      <c r="W725" s="105"/>
    </row>
    <row r="726" spans="5:23">
      <c r="E726" s="104"/>
      <c r="J726" s="97"/>
      <c r="K726" s="97"/>
      <c r="L726" s="104"/>
      <c r="Q726" s="105"/>
      <c r="W726" s="105"/>
    </row>
    <row r="727" spans="5:23">
      <c r="E727" s="104"/>
      <c r="J727" s="97"/>
      <c r="K727" s="97"/>
      <c r="L727" s="104"/>
      <c r="Q727" s="105"/>
      <c r="W727" s="105"/>
    </row>
    <row r="728" spans="5:23">
      <c r="E728" s="104"/>
      <c r="J728" s="97"/>
      <c r="K728" s="97"/>
      <c r="L728" s="104"/>
      <c r="Q728" s="105"/>
      <c r="W728" s="105"/>
    </row>
    <row r="729" spans="5:23">
      <c r="E729" s="104"/>
      <c r="J729" s="97"/>
      <c r="K729" s="97"/>
      <c r="L729" s="104"/>
      <c r="Q729" s="105"/>
      <c r="W729" s="105"/>
    </row>
    <row r="730" spans="5:23">
      <c r="E730" s="104"/>
      <c r="J730" s="97"/>
      <c r="K730" s="97"/>
      <c r="L730" s="104"/>
      <c r="Q730" s="105"/>
      <c r="W730" s="105"/>
    </row>
    <row r="731" spans="5:23">
      <c r="E731" s="104"/>
      <c r="J731" s="97"/>
      <c r="K731" s="97"/>
      <c r="L731" s="104"/>
      <c r="Q731" s="105"/>
      <c r="W731" s="105"/>
    </row>
    <row r="732" spans="5:23">
      <c r="E732" s="104"/>
      <c r="J732" s="97"/>
      <c r="K732" s="97"/>
      <c r="L732" s="104"/>
      <c r="Q732" s="105"/>
      <c r="W732" s="105"/>
    </row>
    <row r="733" spans="5:23">
      <c r="E733" s="104"/>
      <c r="J733" s="97"/>
      <c r="K733" s="97"/>
      <c r="L733" s="104"/>
      <c r="Q733" s="105"/>
      <c r="W733" s="105"/>
    </row>
    <row r="734" spans="5:23">
      <c r="E734" s="104"/>
      <c r="J734" s="97"/>
      <c r="K734" s="97"/>
      <c r="L734" s="104"/>
      <c r="Q734" s="105"/>
      <c r="W734" s="105"/>
    </row>
    <row r="735" spans="5:23">
      <c r="E735" s="104"/>
      <c r="J735" s="97"/>
      <c r="K735" s="97"/>
      <c r="L735" s="104"/>
      <c r="Q735" s="105"/>
      <c r="W735" s="105"/>
    </row>
    <row r="736" spans="5:23">
      <c r="E736" s="104"/>
      <c r="J736" s="97"/>
      <c r="K736" s="97"/>
      <c r="L736" s="104"/>
      <c r="Q736" s="105"/>
      <c r="W736" s="105"/>
    </row>
    <row r="737" spans="5:23">
      <c r="E737" s="104"/>
      <c r="J737" s="97"/>
      <c r="K737" s="97"/>
      <c r="L737" s="104"/>
      <c r="Q737" s="105"/>
      <c r="W737" s="105"/>
    </row>
    <row r="738" spans="5:23">
      <c r="E738" s="104"/>
      <c r="J738" s="97"/>
      <c r="K738" s="97"/>
      <c r="L738" s="104"/>
      <c r="Q738" s="105"/>
      <c r="W738" s="105"/>
    </row>
    <row r="739" spans="5:23">
      <c r="E739" s="104"/>
      <c r="J739" s="97"/>
      <c r="K739" s="97"/>
      <c r="L739" s="104"/>
      <c r="Q739" s="105"/>
      <c r="W739" s="105"/>
    </row>
    <row r="740" spans="5:23">
      <c r="E740" s="104"/>
      <c r="J740" s="97"/>
      <c r="K740" s="97"/>
      <c r="L740" s="104"/>
      <c r="Q740" s="105"/>
      <c r="W740" s="105"/>
    </row>
    <row r="741" spans="5:23">
      <c r="E741" s="104"/>
      <c r="J741" s="97"/>
      <c r="K741" s="97"/>
      <c r="L741" s="104"/>
      <c r="Q741" s="105"/>
      <c r="W741" s="105"/>
    </row>
    <row r="742" spans="5:23">
      <c r="E742" s="104"/>
      <c r="J742" s="97"/>
      <c r="K742" s="97"/>
      <c r="L742" s="104"/>
      <c r="Q742" s="105"/>
      <c r="W742" s="105"/>
    </row>
    <row r="743" spans="5:23">
      <c r="E743" s="104"/>
      <c r="J743" s="97"/>
      <c r="K743" s="97"/>
      <c r="L743" s="104"/>
      <c r="Q743" s="105"/>
      <c r="W743" s="105"/>
    </row>
    <row r="744" spans="5:23">
      <c r="E744" s="104"/>
      <c r="J744" s="97"/>
      <c r="K744" s="97"/>
      <c r="L744" s="104"/>
      <c r="Q744" s="105"/>
      <c r="W744" s="105"/>
    </row>
    <row r="745" spans="5:23">
      <c r="E745" s="104"/>
      <c r="J745" s="97"/>
      <c r="K745" s="97"/>
      <c r="L745" s="104"/>
      <c r="Q745" s="105"/>
      <c r="W745" s="105"/>
    </row>
    <row r="746" spans="5:23">
      <c r="E746" s="104"/>
      <c r="J746" s="97"/>
      <c r="K746" s="97"/>
      <c r="L746" s="104"/>
      <c r="Q746" s="105"/>
      <c r="W746" s="105"/>
    </row>
    <row r="747" spans="5:23">
      <c r="E747" s="104"/>
      <c r="J747" s="97"/>
      <c r="K747" s="97"/>
      <c r="L747" s="104"/>
      <c r="Q747" s="105"/>
      <c r="W747" s="105"/>
    </row>
    <row r="748" spans="5:23">
      <c r="E748" s="104"/>
      <c r="J748" s="97"/>
      <c r="K748" s="97"/>
      <c r="L748" s="104"/>
      <c r="Q748" s="105"/>
      <c r="W748" s="105"/>
    </row>
    <row r="749" spans="5:23">
      <c r="E749" s="104"/>
      <c r="J749" s="97"/>
      <c r="K749" s="97"/>
      <c r="L749" s="104"/>
      <c r="Q749" s="105"/>
      <c r="W749" s="105"/>
    </row>
    <row r="750" spans="5:23">
      <c r="E750" s="104"/>
      <c r="J750" s="97"/>
      <c r="K750" s="97"/>
      <c r="L750" s="104"/>
      <c r="Q750" s="105"/>
      <c r="W750" s="105"/>
    </row>
    <row r="751" spans="5:23">
      <c r="E751" s="104"/>
      <c r="J751" s="97"/>
      <c r="K751" s="97"/>
      <c r="L751" s="104"/>
      <c r="Q751" s="105"/>
      <c r="W751" s="105"/>
    </row>
    <row r="752" spans="5:23">
      <c r="E752" s="104"/>
      <c r="J752" s="97"/>
      <c r="K752" s="97"/>
      <c r="L752" s="104"/>
      <c r="Q752" s="105"/>
      <c r="W752" s="105"/>
    </row>
    <row r="753" spans="5:23">
      <c r="E753" s="104"/>
      <c r="J753" s="97"/>
      <c r="K753" s="97"/>
      <c r="L753" s="104"/>
      <c r="Q753" s="105"/>
      <c r="W753" s="105"/>
    </row>
    <row r="754" spans="5:23">
      <c r="E754" s="104"/>
      <c r="J754" s="97"/>
      <c r="K754" s="97"/>
      <c r="L754" s="104"/>
      <c r="Q754" s="105"/>
      <c r="W754" s="105"/>
    </row>
    <row r="755" spans="5:23">
      <c r="E755" s="104"/>
      <c r="J755" s="97"/>
      <c r="K755" s="97"/>
      <c r="L755" s="104"/>
      <c r="Q755" s="105"/>
      <c r="W755" s="105"/>
    </row>
    <row r="756" spans="5:23">
      <c r="E756" s="104"/>
      <c r="J756" s="97"/>
      <c r="K756" s="97"/>
      <c r="L756" s="104"/>
      <c r="Q756" s="105"/>
      <c r="W756" s="105"/>
    </row>
    <row r="757" spans="5:23">
      <c r="E757" s="104"/>
      <c r="J757" s="97"/>
      <c r="K757" s="97"/>
      <c r="L757" s="104"/>
      <c r="Q757" s="105"/>
      <c r="W757" s="105"/>
    </row>
    <row r="758" spans="5:23">
      <c r="E758" s="104"/>
      <c r="J758" s="97"/>
      <c r="K758" s="97"/>
      <c r="L758" s="104"/>
      <c r="Q758" s="105"/>
      <c r="W758" s="105"/>
    </row>
    <row r="759" spans="5:23">
      <c r="E759" s="104"/>
      <c r="J759" s="97"/>
      <c r="K759" s="97"/>
      <c r="L759" s="104"/>
      <c r="Q759" s="105"/>
      <c r="W759" s="105"/>
    </row>
    <row r="760" spans="5:23">
      <c r="E760" s="104"/>
      <c r="J760" s="97"/>
      <c r="K760" s="97"/>
      <c r="L760" s="104"/>
      <c r="Q760" s="105"/>
      <c r="W760" s="105"/>
    </row>
    <row r="761" spans="5:23">
      <c r="E761" s="104"/>
      <c r="J761" s="97"/>
      <c r="K761" s="97"/>
      <c r="L761" s="104"/>
      <c r="Q761" s="105"/>
      <c r="W761" s="105"/>
    </row>
    <row r="762" spans="5:23">
      <c r="E762" s="104"/>
      <c r="J762" s="97"/>
      <c r="K762" s="97"/>
      <c r="L762" s="104"/>
      <c r="Q762" s="105"/>
      <c r="W762" s="105"/>
    </row>
    <row r="763" spans="5:23">
      <c r="E763" s="104"/>
      <c r="J763" s="97"/>
      <c r="K763" s="97"/>
      <c r="L763" s="104"/>
      <c r="Q763" s="105"/>
      <c r="W763" s="105"/>
    </row>
    <row r="764" spans="5:23">
      <c r="E764" s="104"/>
      <c r="J764" s="97"/>
      <c r="K764" s="97"/>
      <c r="L764" s="104"/>
      <c r="Q764" s="105"/>
      <c r="W764" s="105"/>
    </row>
    <row r="765" spans="5:23">
      <c r="E765" s="104"/>
      <c r="J765" s="97"/>
      <c r="K765" s="97"/>
      <c r="L765" s="104"/>
      <c r="Q765" s="105"/>
      <c r="W765" s="105"/>
    </row>
    <row r="766" spans="5:23">
      <c r="E766" s="104"/>
      <c r="J766" s="97"/>
      <c r="K766" s="97"/>
      <c r="L766" s="104"/>
      <c r="Q766" s="105"/>
      <c r="W766" s="105"/>
    </row>
    <row r="767" spans="5:23">
      <c r="E767" s="104"/>
      <c r="J767" s="97"/>
      <c r="K767" s="97"/>
      <c r="L767" s="104"/>
      <c r="Q767" s="105"/>
      <c r="W767" s="105"/>
    </row>
    <row r="768" spans="5:23">
      <c r="E768" s="104"/>
      <c r="J768" s="97"/>
      <c r="K768" s="97"/>
      <c r="L768" s="104"/>
      <c r="Q768" s="105"/>
      <c r="W768" s="105"/>
    </row>
    <row r="769" spans="5:23">
      <c r="E769" s="104"/>
      <c r="J769" s="97"/>
      <c r="K769" s="97"/>
      <c r="L769" s="104"/>
      <c r="Q769" s="105"/>
      <c r="W769" s="105"/>
    </row>
    <row r="770" spans="5:23">
      <c r="E770" s="104"/>
      <c r="J770" s="97"/>
      <c r="K770" s="97"/>
      <c r="L770" s="104"/>
      <c r="Q770" s="105"/>
      <c r="W770" s="105"/>
    </row>
    <row r="771" spans="5:23">
      <c r="E771" s="104"/>
      <c r="J771" s="97"/>
      <c r="K771" s="97"/>
      <c r="L771" s="104"/>
      <c r="Q771" s="105"/>
      <c r="W771" s="105"/>
    </row>
    <row r="772" spans="5:23">
      <c r="E772" s="104"/>
      <c r="J772" s="97"/>
      <c r="K772" s="97"/>
      <c r="L772" s="104"/>
      <c r="Q772" s="105"/>
      <c r="W772" s="105"/>
    </row>
    <row r="773" spans="5:23">
      <c r="E773" s="104"/>
      <c r="J773" s="97"/>
      <c r="K773" s="97"/>
      <c r="L773" s="104"/>
      <c r="Q773" s="105"/>
      <c r="W773" s="105"/>
    </row>
    <row r="774" spans="5:23">
      <c r="E774" s="104"/>
      <c r="J774" s="97"/>
      <c r="K774" s="97"/>
      <c r="L774" s="104"/>
      <c r="Q774" s="105"/>
      <c r="W774" s="105"/>
    </row>
    <row r="775" spans="5:23">
      <c r="E775" s="104"/>
      <c r="J775" s="97"/>
      <c r="K775" s="97"/>
      <c r="L775" s="104"/>
      <c r="Q775" s="105"/>
      <c r="W775" s="105"/>
    </row>
    <row r="776" spans="5:23">
      <c r="E776" s="104"/>
      <c r="J776" s="97"/>
      <c r="K776" s="97"/>
      <c r="L776" s="104"/>
      <c r="Q776" s="105"/>
      <c r="W776" s="105"/>
    </row>
    <row r="777" spans="5:23">
      <c r="E777" s="104"/>
      <c r="J777" s="97"/>
      <c r="K777" s="97"/>
      <c r="L777" s="104"/>
      <c r="Q777" s="105"/>
      <c r="W777" s="105"/>
    </row>
    <row r="778" spans="5:23">
      <c r="E778" s="104"/>
      <c r="J778" s="97"/>
      <c r="K778" s="97"/>
      <c r="L778" s="104"/>
      <c r="Q778" s="105"/>
      <c r="W778" s="105"/>
    </row>
    <row r="779" spans="5:23">
      <c r="E779" s="104"/>
      <c r="J779" s="97"/>
      <c r="K779" s="97"/>
      <c r="L779" s="104"/>
      <c r="Q779" s="105"/>
      <c r="W779" s="105"/>
    </row>
    <row r="780" spans="5:23">
      <c r="E780" s="104"/>
      <c r="J780" s="97"/>
      <c r="K780" s="97"/>
      <c r="L780" s="104"/>
      <c r="Q780" s="105"/>
      <c r="W780" s="105"/>
    </row>
    <row r="781" spans="5:23">
      <c r="E781" s="104"/>
      <c r="J781" s="97"/>
      <c r="K781" s="97"/>
      <c r="L781" s="104"/>
      <c r="Q781" s="105"/>
      <c r="W781" s="105"/>
    </row>
    <row r="782" spans="5:23">
      <c r="E782" s="104"/>
      <c r="J782" s="97"/>
      <c r="K782" s="97"/>
      <c r="L782" s="104"/>
      <c r="Q782" s="105"/>
      <c r="W782" s="105"/>
    </row>
    <row r="783" spans="5:23">
      <c r="E783" s="104"/>
      <c r="J783" s="97"/>
      <c r="K783" s="97"/>
      <c r="L783" s="104"/>
      <c r="Q783" s="105"/>
      <c r="W783" s="105"/>
    </row>
    <row r="784" spans="5:23">
      <c r="E784" s="104"/>
      <c r="J784" s="97"/>
      <c r="K784" s="97"/>
      <c r="L784" s="104"/>
      <c r="Q784" s="105"/>
      <c r="W784" s="105"/>
    </row>
    <row r="785" spans="5:23">
      <c r="E785" s="104"/>
      <c r="J785" s="97"/>
      <c r="K785" s="97"/>
      <c r="L785" s="104"/>
      <c r="Q785" s="105"/>
      <c r="W785" s="105"/>
    </row>
    <row r="786" spans="5:23">
      <c r="E786" s="104"/>
      <c r="J786" s="97"/>
      <c r="K786" s="97"/>
      <c r="L786" s="104"/>
      <c r="Q786" s="105"/>
      <c r="W786" s="105"/>
    </row>
    <row r="787" spans="5:23">
      <c r="E787" s="104"/>
      <c r="J787" s="97"/>
      <c r="K787" s="97"/>
      <c r="L787" s="104"/>
      <c r="Q787" s="105"/>
      <c r="W787" s="105"/>
    </row>
    <row r="788" spans="5:23">
      <c r="E788" s="104"/>
      <c r="J788" s="97"/>
      <c r="K788" s="97"/>
      <c r="L788" s="104"/>
      <c r="Q788" s="105"/>
      <c r="W788" s="105"/>
    </row>
    <row r="789" spans="5:23">
      <c r="E789" s="104"/>
      <c r="J789" s="97"/>
      <c r="K789" s="97"/>
      <c r="L789" s="104"/>
      <c r="Q789" s="105"/>
      <c r="W789" s="105"/>
    </row>
    <row r="790" spans="5:23">
      <c r="E790" s="104"/>
      <c r="J790" s="97"/>
      <c r="K790" s="97"/>
      <c r="L790" s="104"/>
      <c r="Q790" s="105"/>
      <c r="W790" s="105"/>
    </row>
    <row r="791" spans="5:23">
      <c r="E791" s="104"/>
      <c r="J791" s="97"/>
      <c r="K791" s="97"/>
      <c r="L791" s="104"/>
      <c r="Q791" s="105"/>
      <c r="W791" s="105"/>
    </row>
    <row r="792" spans="5:23">
      <c r="E792" s="104"/>
      <c r="J792" s="97"/>
      <c r="K792" s="97"/>
      <c r="L792" s="104"/>
      <c r="Q792" s="105"/>
      <c r="W792" s="105"/>
    </row>
    <row r="793" spans="5:23">
      <c r="E793" s="104"/>
      <c r="J793" s="97"/>
      <c r="K793" s="97"/>
      <c r="L793" s="104"/>
      <c r="Q793" s="105"/>
      <c r="W793" s="105"/>
    </row>
    <row r="794" spans="5:23">
      <c r="E794" s="104"/>
      <c r="J794" s="97"/>
      <c r="K794" s="97"/>
      <c r="L794" s="104"/>
      <c r="Q794" s="105"/>
      <c r="W794" s="105"/>
    </row>
    <row r="795" spans="5:23">
      <c r="E795" s="104"/>
      <c r="J795" s="97"/>
      <c r="K795" s="97"/>
      <c r="L795" s="104"/>
      <c r="Q795" s="105"/>
      <c r="W795" s="105"/>
    </row>
    <row r="796" spans="5:23">
      <c r="E796" s="104"/>
      <c r="J796" s="97"/>
      <c r="K796" s="97"/>
      <c r="L796" s="104"/>
      <c r="Q796" s="105"/>
      <c r="W796" s="105"/>
    </row>
    <row r="797" spans="5:23">
      <c r="E797" s="104"/>
      <c r="J797" s="97"/>
      <c r="K797" s="97"/>
      <c r="L797" s="104"/>
      <c r="Q797" s="105"/>
      <c r="W797" s="105"/>
    </row>
    <row r="798" spans="5:23">
      <c r="E798" s="104"/>
      <c r="J798" s="97"/>
      <c r="K798" s="97"/>
      <c r="L798" s="104"/>
      <c r="Q798" s="105"/>
      <c r="W798" s="105"/>
    </row>
    <row r="799" spans="5:23">
      <c r="E799" s="104"/>
      <c r="J799" s="97"/>
      <c r="K799" s="97"/>
      <c r="L799" s="104"/>
      <c r="Q799" s="105"/>
      <c r="W799" s="105"/>
    </row>
    <row r="800" spans="5:23">
      <c r="E800" s="104"/>
      <c r="J800" s="97"/>
      <c r="K800" s="97"/>
      <c r="L800" s="104"/>
      <c r="Q800" s="105"/>
      <c r="W800" s="105"/>
    </row>
    <row r="801" spans="5:23">
      <c r="E801" s="104"/>
      <c r="J801" s="97"/>
      <c r="K801" s="97"/>
      <c r="L801" s="104"/>
      <c r="Q801" s="105"/>
      <c r="W801" s="105"/>
    </row>
    <row r="802" spans="5:23">
      <c r="E802" s="104"/>
      <c r="J802" s="97"/>
      <c r="K802" s="97"/>
      <c r="L802" s="104"/>
      <c r="Q802" s="105"/>
      <c r="W802" s="105"/>
    </row>
    <row r="803" spans="5:23">
      <c r="E803" s="104"/>
      <c r="J803" s="97"/>
      <c r="K803" s="97"/>
      <c r="L803" s="104"/>
      <c r="Q803" s="105"/>
      <c r="W803" s="105"/>
    </row>
    <row r="804" spans="5:23">
      <c r="E804" s="104"/>
      <c r="J804" s="97"/>
      <c r="K804" s="97"/>
      <c r="L804" s="104"/>
      <c r="Q804" s="105"/>
      <c r="W804" s="105"/>
    </row>
    <row r="805" spans="5:23">
      <c r="E805" s="104"/>
      <c r="J805" s="97"/>
      <c r="K805" s="97"/>
      <c r="L805" s="104"/>
      <c r="Q805" s="105"/>
      <c r="W805" s="105"/>
    </row>
    <row r="806" spans="5:23">
      <c r="E806" s="104"/>
      <c r="J806" s="97"/>
      <c r="K806" s="97"/>
      <c r="L806" s="104"/>
      <c r="Q806" s="105"/>
      <c r="W806" s="105"/>
    </row>
    <row r="807" spans="5:23">
      <c r="E807" s="104"/>
      <c r="J807" s="97"/>
      <c r="K807" s="97"/>
      <c r="L807" s="104"/>
      <c r="Q807" s="105"/>
      <c r="W807" s="105"/>
    </row>
    <row r="808" spans="5:23">
      <c r="E808" s="104"/>
      <c r="J808" s="97"/>
      <c r="K808" s="97"/>
      <c r="L808" s="104"/>
      <c r="Q808" s="105"/>
      <c r="W808" s="105"/>
    </row>
    <row r="809" spans="5:23">
      <c r="E809" s="104"/>
      <c r="J809" s="97"/>
      <c r="K809" s="97"/>
      <c r="L809" s="104"/>
      <c r="Q809" s="105"/>
      <c r="W809" s="105"/>
    </row>
    <row r="810" spans="5:23">
      <c r="E810" s="104"/>
      <c r="J810" s="97"/>
      <c r="K810" s="97"/>
      <c r="L810" s="104"/>
      <c r="Q810" s="105"/>
      <c r="W810" s="105"/>
    </row>
    <row r="811" spans="5:23">
      <c r="E811" s="104"/>
      <c r="J811" s="97"/>
      <c r="K811" s="97"/>
      <c r="L811" s="104"/>
      <c r="Q811" s="105"/>
      <c r="W811" s="105"/>
    </row>
    <row r="812" spans="5:23">
      <c r="E812" s="104"/>
      <c r="J812" s="97"/>
      <c r="K812" s="97"/>
      <c r="L812" s="104"/>
      <c r="Q812" s="105"/>
      <c r="W812" s="105"/>
    </row>
    <row r="813" spans="5:23">
      <c r="E813" s="104"/>
      <c r="J813" s="97"/>
      <c r="K813" s="97"/>
      <c r="L813" s="104"/>
      <c r="Q813" s="105"/>
      <c r="W813" s="105"/>
    </row>
    <row r="814" spans="5:23">
      <c r="E814" s="104"/>
      <c r="J814" s="97"/>
      <c r="K814" s="97"/>
      <c r="L814" s="104"/>
      <c r="Q814" s="105"/>
      <c r="W814" s="105"/>
    </row>
    <row r="815" spans="5:23">
      <c r="E815" s="104"/>
      <c r="J815" s="97"/>
      <c r="K815" s="97"/>
      <c r="L815" s="104"/>
      <c r="Q815" s="105"/>
      <c r="W815" s="105"/>
    </row>
    <row r="816" spans="5:23">
      <c r="E816" s="104"/>
      <c r="J816" s="97"/>
      <c r="K816" s="97"/>
      <c r="L816" s="104"/>
      <c r="Q816" s="105"/>
      <c r="W816" s="105"/>
    </row>
    <row r="817" spans="5:23">
      <c r="E817" s="104"/>
      <c r="J817" s="97"/>
      <c r="K817" s="97"/>
      <c r="L817" s="104"/>
      <c r="Q817" s="105"/>
      <c r="W817" s="105"/>
    </row>
    <row r="818" spans="5:23">
      <c r="E818" s="104"/>
      <c r="J818" s="97"/>
      <c r="K818" s="97"/>
      <c r="L818" s="104"/>
      <c r="Q818" s="105"/>
      <c r="W818" s="105"/>
    </row>
    <row r="819" spans="5:23">
      <c r="E819" s="104"/>
      <c r="J819" s="97"/>
      <c r="K819" s="97"/>
      <c r="L819" s="104"/>
      <c r="Q819" s="105"/>
      <c r="W819" s="105"/>
    </row>
    <row r="820" spans="5:23">
      <c r="E820" s="104"/>
      <c r="J820" s="97"/>
      <c r="K820" s="97"/>
      <c r="L820" s="104"/>
      <c r="Q820" s="105"/>
      <c r="W820" s="105"/>
    </row>
    <row r="821" spans="5:23">
      <c r="E821" s="104"/>
      <c r="J821" s="97"/>
      <c r="K821" s="97"/>
      <c r="L821" s="104"/>
      <c r="Q821" s="105"/>
      <c r="W821" s="105"/>
    </row>
    <row r="822" spans="5:23">
      <c r="E822" s="104"/>
      <c r="J822" s="97"/>
      <c r="K822" s="97"/>
      <c r="L822" s="104"/>
      <c r="Q822" s="105"/>
      <c r="W822" s="105"/>
    </row>
    <row r="823" spans="5:23">
      <c r="E823" s="104"/>
      <c r="J823" s="97"/>
      <c r="K823" s="97"/>
      <c r="L823" s="104"/>
      <c r="Q823" s="105"/>
      <c r="W823" s="105"/>
    </row>
    <row r="824" spans="5:23">
      <c r="E824" s="104"/>
      <c r="J824" s="97"/>
      <c r="K824" s="97"/>
      <c r="L824" s="104"/>
      <c r="Q824" s="105"/>
      <c r="W824" s="105"/>
    </row>
    <row r="825" spans="5:23">
      <c r="E825" s="104"/>
      <c r="J825" s="97"/>
      <c r="K825" s="97"/>
      <c r="L825" s="104"/>
      <c r="Q825" s="105"/>
      <c r="W825" s="105"/>
    </row>
    <row r="826" spans="5:23">
      <c r="E826" s="104"/>
      <c r="J826" s="97"/>
      <c r="K826" s="97"/>
      <c r="L826" s="104"/>
      <c r="Q826" s="105"/>
      <c r="W826" s="105"/>
    </row>
    <row r="827" spans="5:23">
      <c r="E827" s="104"/>
      <c r="J827" s="97"/>
      <c r="K827" s="97"/>
      <c r="L827" s="104"/>
      <c r="Q827" s="105"/>
      <c r="W827" s="105"/>
    </row>
    <row r="828" spans="5:23">
      <c r="E828" s="104"/>
      <c r="J828" s="97"/>
      <c r="K828" s="97"/>
      <c r="L828" s="104"/>
      <c r="Q828" s="105"/>
      <c r="W828" s="105"/>
    </row>
    <row r="829" spans="5:23">
      <c r="E829" s="104"/>
      <c r="J829" s="97"/>
      <c r="K829" s="97"/>
      <c r="L829" s="104"/>
      <c r="Q829" s="105"/>
      <c r="W829" s="105"/>
    </row>
    <row r="830" spans="5:23">
      <c r="E830" s="104"/>
      <c r="J830" s="97"/>
      <c r="K830" s="97"/>
      <c r="L830" s="104"/>
      <c r="Q830" s="105"/>
      <c r="W830" s="105"/>
    </row>
    <row r="831" spans="5:23">
      <c r="E831" s="104"/>
      <c r="J831" s="97"/>
      <c r="K831" s="97"/>
      <c r="L831" s="104"/>
      <c r="Q831" s="105"/>
      <c r="W831" s="105"/>
    </row>
    <row r="832" spans="5:23">
      <c r="E832" s="104"/>
      <c r="J832" s="97"/>
      <c r="K832" s="97"/>
      <c r="L832" s="104"/>
      <c r="Q832" s="105"/>
      <c r="W832" s="105"/>
    </row>
    <row r="833" spans="5:23">
      <c r="E833" s="104"/>
      <c r="J833" s="97"/>
      <c r="K833" s="97"/>
      <c r="L833" s="104"/>
      <c r="Q833" s="105"/>
      <c r="W833" s="105"/>
    </row>
    <row r="834" spans="5:23">
      <c r="E834" s="104"/>
      <c r="J834" s="97"/>
      <c r="K834" s="97"/>
      <c r="L834" s="104"/>
      <c r="Q834" s="105"/>
      <c r="W834" s="105"/>
    </row>
    <row r="835" spans="5:23">
      <c r="E835" s="104"/>
      <c r="J835" s="97"/>
      <c r="K835" s="97"/>
      <c r="L835" s="104"/>
      <c r="Q835" s="105"/>
      <c r="W835" s="105"/>
    </row>
    <row r="836" spans="5:23">
      <c r="E836" s="104"/>
      <c r="J836" s="97"/>
      <c r="K836" s="97"/>
      <c r="L836" s="104"/>
      <c r="Q836" s="105"/>
      <c r="W836" s="105"/>
    </row>
    <row r="837" spans="5:23">
      <c r="E837" s="104"/>
      <c r="J837" s="97"/>
      <c r="K837" s="97"/>
      <c r="L837" s="104"/>
      <c r="Q837" s="105"/>
      <c r="W837" s="105"/>
    </row>
    <row r="838" spans="5:23">
      <c r="E838" s="104"/>
      <c r="J838" s="97"/>
      <c r="K838" s="97"/>
      <c r="L838" s="104"/>
      <c r="Q838" s="105"/>
      <c r="W838" s="105"/>
    </row>
    <row r="839" spans="5:23">
      <c r="E839" s="104"/>
      <c r="J839" s="97"/>
      <c r="K839" s="97"/>
      <c r="L839" s="104"/>
      <c r="Q839" s="105"/>
      <c r="W839" s="105"/>
    </row>
    <row r="840" spans="5:23">
      <c r="E840" s="104"/>
      <c r="J840" s="97"/>
      <c r="K840" s="97"/>
      <c r="L840" s="104"/>
      <c r="Q840" s="105"/>
      <c r="W840" s="105"/>
    </row>
    <row r="841" spans="5:23">
      <c r="E841" s="104"/>
      <c r="J841" s="97"/>
      <c r="K841" s="97"/>
      <c r="L841" s="104"/>
      <c r="Q841" s="105"/>
      <c r="W841" s="105"/>
    </row>
    <row r="842" spans="5:23">
      <c r="E842" s="104"/>
      <c r="J842" s="97"/>
      <c r="K842" s="97"/>
      <c r="L842" s="104"/>
      <c r="Q842" s="105"/>
      <c r="W842" s="105"/>
    </row>
    <row r="843" spans="5:23">
      <c r="E843" s="104"/>
      <c r="J843" s="97"/>
      <c r="K843" s="97"/>
      <c r="L843" s="104"/>
      <c r="Q843" s="105"/>
      <c r="W843" s="105"/>
    </row>
    <row r="844" spans="5:23">
      <c r="E844" s="104"/>
      <c r="J844" s="97"/>
      <c r="K844" s="97"/>
      <c r="L844" s="104"/>
      <c r="Q844" s="105"/>
      <c r="W844" s="105"/>
    </row>
    <row r="845" spans="5:23">
      <c r="E845" s="104"/>
      <c r="J845" s="97"/>
      <c r="K845" s="97"/>
      <c r="L845" s="104"/>
      <c r="Q845" s="105"/>
      <c r="W845" s="105"/>
    </row>
    <row r="846" spans="5:23">
      <c r="E846" s="104"/>
      <c r="J846" s="97"/>
      <c r="K846" s="97"/>
      <c r="L846" s="104"/>
      <c r="Q846" s="105"/>
      <c r="W846" s="105"/>
    </row>
    <row r="847" spans="5:23">
      <c r="E847" s="104"/>
      <c r="J847" s="97"/>
      <c r="K847" s="97"/>
      <c r="L847" s="104"/>
      <c r="Q847" s="105"/>
      <c r="W847" s="105"/>
    </row>
    <row r="848" spans="5:23">
      <c r="E848" s="104"/>
      <c r="J848" s="97"/>
      <c r="K848" s="97"/>
      <c r="L848" s="104"/>
      <c r="Q848" s="105"/>
      <c r="W848" s="105"/>
    </row>
    <row r="849" spans="5:23">
      <c r="E849" s="104"/>
      <c r="J849" s="97"/>
      <c r="K849" s="97"/>
      <c r="L849" s="104"/>
      <c r="Q849" s="105"/>
      <c r="W849" s="105"/>
    </row>
    <row r="850" spans="5:23">
      <c r="E850" s="104"/>
      <c r="J850" s="97"/>
      <c r="K850" s="97"/>
      <c r="L850" s="104"/>
      <c r="Q850" s="105"/>
      <c r="W850" s="105"/>
    </row>
    <row r="851" spans="5:23">
      <c r="E851" s="104"/>
      <c r="J851" s="97"/>
      <c r="K851" s="97"/>
      <c r="L851" s="104"/>
      <c r="Q851" s="105"/>
      <c r="W851" s="105"/>
    </row>
    <row r="852" spans="5:23">
      <c r="E852" s="104"/>
      <c r="J852" s="97"/>
      <c r="K852" s="97"/>
      <c r="L852" s="104"/>
      <c r="Q852" s="105"/>
      <c r="W852" s="105"/>
    </row>
    <row r="853" spans="5:23">
      <c r="E853" s="104"/>
      <c r="J853" s="97"/>
      <c r="K853" s="97"/>
      <c r="L853" s="104"/>
      <c r="Q853" s="105"/>
      <c r="W853" s="105"/>
    </row>
    <row r="854" spans="5:23">
      <c r="E854" s="104"/>
      <c r="J854" s="97"/>
      <c r="K854" s="97"/>
      <c r="L854" s="104"/>
      <c r="Q854" s="105"/>
      <c r="W854" s="105"/>
    </row>
    <row r="855" spans="5:23">
      <c r="E855" s="104"/>
      <c r="J855" s="97"/>
      <c r="K855" s="97"/>
      <c r="L855" s="104"/>
      <c r="Q855" s="105"/>
      <c r="W855" s="105"/>
    </row>
    <row r="856" spans="5:23">
      <c r="E856" s="104"/>
      <c r="J856" s="97"/>
      <c r="K856" s="97"/>
      <c r="L856" s="104"/>
      <c r="Q856" s="105"/>
      <c r="W856" s="105"/>
    </row>
    <row r="857" spans="5:23">
      <c r="E857" s="104"/>
      <c r="J857" s="97"/>
      <c r="K857" s="97"/>
      <c r="L857" s="104"/>
      <c r="Q857" s="105"/>
      <c r="W857" s="105"/>
    </row>
    <row r="858" spans="5:23">
      <c r="E858" s="104"/>
      <c r="J858" s="97"/>
      <c r="K858" s="97"/>
      <c r="L858" s="104"/>
      <c r="Q858" s="105"/>
      <c r="W858" s="105"/>
    </row>
    <row r="859" spans="5:23">
      <c r="E859" s="104"/>
      <c r="J859" s="97"/>
      <c r="K859" s="97"/>
      <c r="L859" s="104"/>
      <c r="Q859" s="105"/>
      <c r="W859" s="105"/>
    </row>
    <row r="860" spans="5:23">
      <c r="E860" s="104"/>
      <c r="J860" s="97"/>
      <c r="K860" s="97"/>
      <c r="L860" s="104"/>
      <c r="Q860" s="105"/>
      <c r="W860" s="105"/>
    </row>
    <row r="861" spans="5:23">
      <c r="E861" s="104"/>
      <c r="J861" s="97"/>
      <c r="K861" s="97"/>
      <c r="L861" s="104"/>
      <c r="Q861" s="105"/>
      <c r="W861" s="105"/>
    </row>
    <row r="862" spans="5:23">
      <c r="E862" s="104"/>
      <c r="J862" s="97"/>
      <c r="K862" s="97"/>
      <c r="L862" s="104"/>
      <c r="Q862" s="105"/>
      <c r="W862" s="105"/>
    </row>
    <row r="863" spans="5:23">
      <c r="E863" s="104"/>
      <c r="J863" s="97"/>
      <c r="K863" s="97"/>
      <c r="L863" s="104"/>
      <c r="Q863" s="105"/>
      <c r="W863" s="105"/>
    </row>
    <row r="864" spans="5:23">
      <c r="E864" s="104"/>
      <c r="J864" s="97"/>
      <c r="K864" s="97"/>
      <c r="L864" s="104"/>
      <c r="Q864" s="105"/>
      <c r="W864" s="105"/>
    </row>
    <row r="865" spans="5:23">
      <c r="E865" s="104"/>
      <c r="J865" s="97"/>
      <c r="K865" s="97"/>
      <c r="L865" s="104"/>
      <c r="Q865" s="105"/>
      <c r="W865" s="105"/>
    </row>
    <row r="866" spans="5:23">
      <c r="E866" s="104"/>
      <c r="J866" s="97"/>
      <c r="K866" s="97"/>
      <c r="L866" s="104"/>
      <c r="Q866" s="105"/>
      <c r="W866" s="105"/>
    </row>
    <row r="867" spans="5:23">
      <c r="E867" s="104"/>
      <c r="J867" s="97"/>
      <c r="K867" s="97"/>
      <c r="L867" s="104"/>
      <c r="Q867" s="105"/>
      <c r="W867" s="105"/>
    </row>
    <row r="868" spans="5:23">
      <c r="E868" s="104"/>
      <c r="J868" s="97"/>
      <c r="K868" s="97"/>
      <c r="L868" s="104"/>
      <c r="Q868" s="105"/>
      <c r="W868" s="105"/>
    </row>
    <row r="869" spans="5:23">
      <c r="E869" s="104"/>
      <c r="J869" s="97"/>
      <c r="K869" s="97"/>
      <c r="L869" s="104"/>
      <c r="Q869" s="105"/>
      <c r="W869" s="105"/>
    </row>
    <row r="870" spans="5:23">
      <c r="E870" s="104"/>
      <c r="J870" s="97"/>
      <c r="K870" s="97"/>
      <c r="L870" s="104"/>
      <c r="Q870" s="105"/>
      <c r="W870" s="105"/>
    </row>
    <row r="871" spans="5:23">
      <c r="E871" s="104"/>
      <c r="J871" s="97"/>
      <c r="K871" s="97"/>
      <c r="L871" s="104"/>
      <c r="Q871" s="105"/>
      <c r="W871" s="105"/>
    </row>
    <row r="872" spans="5:23">
      <c r="E872" s="104"/>
      <c r="J872" s="97"/>
      <c r="K872" s="97"/>
      <c r="L872" s="104"/>
      <c r="Q872" s="105"/>
      <c r="W872" s="105"/>
    </row>
    <row r="873" spans="5:23">
      <c r="E873" s="104"/>
      <c r="J873" s="97"/>
      <c r="K873" s="97"/>
      <c r="L873" s="104"/>
      <c r="Q873" s="105"/>
      <c r="W873" s="105"/>
    </row>
    <row r="874" spans="5:23">
      <c r="E874" s="104"/>
      <c r="J874" s="97"/>
      <c r="K874" s="97"/>
      <c r="L874" s="104"/>
      <c r="Q874" s="105"/>
      <c r="W874" s="105"/>
    </row>
    <row r="875" spans="5:23">
      <c r="E875" s="104"/>
      <c r="J875" s="97"/>
      <c r="K875" s="97"/>
      <c r="L875" s="104"/>
      <c r="Q875" s="105"/>
      <c r="W875" s="105"/>
    </row>
    <row r="876" spans="5:23">
      <c r="E876" s="104"/>
      <c r="J876" s="97"/>
      <c r="K876" s="97"/>
      <c r="L876" s="104"/>
      <c r="Q876" s="105"/>
      <c r="W876" s="105"/>
    </row>
    <row r="877" spans="5:23">
      <c r="E877" s="104"/>
      <c r="J877" s="97"/>
      <c r="K877" s="97"/>
      <c r="L877" s="104"/>
      <c r="Q877" s="105"/>
      <c r="W877" s="105"/>
    </row>
    <row r="878" spans="5:23">
      <c r="E878" s="104"/>
      <c r="J878" s="97"/>
      <c r="K878" s="97"/>
      <c r="L878" s="104"/>
      <c r="Q878" s="105"/>
      <c r="W878" s="105"/>
    </row>
    <row r="879" spans="5:23">
      <c r="E879" s="104"/>
      <c r="J879" s="97"/>
      <c r="K879" s="97"/>
      <c r="L879" s="104"/>
      <c r="Q879" s="105"/>
      <c r="W879" s="105"/>
    </row>
    <row r="880" spans="5:23">
      <c r="E880" s="104"/>
      <c r="J880" s="97"/>
      <c r="K880" s="97"/>
      <c r="L880" s="104"/>
      <c r="Q880" s="105"/>
      <c r="W880" s="105"/>
    </row>
    <row r="881" spans="5:23">
      <c r="E881" s="104"/>
      <c r="J881" s="97"/>
      <c r="K881" s="97"/>
      <c r="L881" s="104"/>
      <c r="Q881" s="105"/>
      <c r="W881" s="105"/>
    </row>
    <row r="882" spans="5:23">
      <c r="E882" s="104"/>
      <c r="J882" s="97"/>
      <c r="K882" s="97"/>
      <c r="L882" s="104"/>
      <c r="Q882" s="105"/>
      <c r="W882" s="105"/>
    </row>
    <row r="883" spans="5:23">
      <c r="E883" s="104"/>
      <c r="J883" s="97"/>
      <c r="K883" s="97"/>
      <c r="L883" s="104"/>
      <c r="Q883" s="105"/>
      <c r="W883" s="105"/>
    </row>
    <row r="884" spans="5:23">
      <c r="E884" s="104"/>
      <c r="J884" s="97"/>
      <c r="K884" s="97"/>
      <c r="L884" s="104"/>
      <c r="Q884" s="105"/>
      <c r="W884" s="105"/>
    </row>
    <row r="885" spans="5:23">
      <c r="E885" s="104"/>
      <c r="J885" s="97"/>
      <c r="K885" s="97"/>
      <c r="L885" s="104"/>
      <c r="Q885" s="105"/>
      <c r="W885" s="105"/>
    </row>
    <row r="886" spans="5:23">
      <c r="E886" s="104"/>
      <c r="J886" s="97"/>
      <c r="K886" s="97"/>
      <c r="L886" s="104"/>
      <c r="Q886" s="105"/>
      <c r="W886" s="105"/>
    </row>
    <row r="887" spans="5:23">
      <c r="E887" s="104"/>
      <c r="J887" s="97"/>
      <c r="K887" s="97"/>
      <c r="L887" s="104"/>
      <c r="Q887" s="105"/>
      <c r="W887" s="105"/>
    </row>
    <row r="888" spans="5:23">
      <c r="E888" s="104"/>
      <c r="J888" s="97"/>
      <c r="K888" s="97"/>
      <c r="L888" s="104"/>
      <c r="Q888" s="105"/>
      <c r="W888" s="105"/>
    </row>
    <row r="889" spans="5:23">
      <c r="E889" s="104"/>
      <c r="J889" s="97"/>
      <c r="K889" s="97"/>
      <c r="L889" s="104"/>
      <c r="Q889" s="105"/>
      <c r="W889" s="105"/>
    </row>
    <row r="890" spans="5:23">
      <c r="E890" s="104"/>
      <c r="J890" s="97"/>
      <c r="K890" s="97"/>
      <c r="L890" s="104"/>
      <c r="Q890" s="105"/>
      <c r="W890" s="105"/>
    </row>
    <row r="891" spans="5:23">
      <c r="E891" s="104"/>
      <c r="J891" s="97"/>
      <c r="K891" s="97"/>
      <c r="L891" s="104"/>
      <c r="Q891" s="105"/>
      <c r="W891" s="105"/>
    </row>
    <row r="892" spans="5:23">
      <c r="E892" s="104"/>
      <c r="J892" s="97"/>
      <c r="K892" s="97"/>
      <c r="L892" s="104"/>
      <c r="Q892" s="105"/>
      <c r="W892" s="105"/>
    </row>
    <row r="893" spans="5:23">
      <c r="E893" s="104"/>
      <c r="J893" s="97"/>
      <c r="K893" s="97"/>
      <c r="L893" s="104"/>
      <c r="Q893" s="105"/>
      <c r="W893" s="105"/>
    </row>
    <row r="894" spans="5:23">
      <c r="E894" s="104"/>
      <c r="J894" s="97"/>
      <c r="K894" s="97"/>
      <c r="L894" s="104"/>
      <c r="Q894" s="105"/>
      <c r="W894" s="105"/>
    </row>
    <row r="895" spans="5:23">
      <c r="E895" s="104"/>
      <c r="J895" s="97"/>
      <c r="K895" s="97"/>
      <c r="L895" s="104"/>
      <c r="Q895" s="105"/>
      <c r="W895" s="105"/>
    </row>
    <row r="896" spans="5:23">
      <c r="E896" s="104"/>
      <c r="J896" s="97"/>
      <c r="K896" s="97"/>
      <c r="L896" s="104"/>
      <c r="Q896" s="105"/>
      <c r="W896" s="105"/>
    </row>
    <row r="897" spans="5:23">
      <c r="E897" s="104"/>
      <c r="J897" s="97"/>
      <c r="K897" s="97"/>
      <c r="L897" s="104"/>
      <c r="Q897" s="105"/>
      <c r="W897" s="105"/>
    </row>
    <row r="898" spans="5:23">
      <c r="E898" s="104"/>
      <c r="J898" s="97"/>
      <c r="K898" s="97"/>
      <c r="L898" s="104"/>
      <c r="Q898" s="105"/>
      <c r="W898" s="105"/>
    </row>
    <row r="899" spans="5:23">
      <c r="E899" s="104"/>
      <c r="J899" s="97"/>
      <c r="K899" s="97"/>
      <c r="L899" s="104"/>
      <c r="Q899" s="105"/>
      <c r="W899" s="105"/>
    </row>
    <row r="900" spans="5:23">
      <c r="E900" s="104"/>
      <c r="J900" s="97"/>
      <c r="K900" s="97"/>
      <c r="L900" s="104"/>
      <c r="Q900" s="105"/>
      <c r="W900" s="105"/>
    </row>
    <row r="901" spans="5:23">
      <c r="E901" s="104"/>
      <c r="J901" s="97"/>
      <c r="K901" s="97"/>
      <c r="L901" s="104"/>
      <c r="Q901" s="105"/>
      <c r="W901" s="105"/>
    </row>
    <row r="902" spans="5:23">
      <c r="E902" s="104"/>
      <c r="J902" s="97"/>
      <c r="K902" s="97"/>
      <c r="L902" s="104"/>
      <c r="Q902" s="105"/>
      <c r="W902" s="105"/>
    </row>
    <row r="903" spans="5:23">
      <c r="E903" s="104"/>
      <c r="J903" s="97"/>
      <c r="K903" s="97"/>
      <c r="L903" s="104"/>
      <c r="Q903" s="105"/>
      <c r="W903" s="105"/>
    </row>
    <row r="904" spans="5:23">
      <c r="E904" s="104"/>
      <c r="J904" s="97"/>
      <c r="K904" s="97"/>
      <c r="L904" s="104"/>
      <c r="Q904" s="105"/>
      <c r="W904" s="105"/>
    </row>
    <row r="905" spans="5:23">
      <c r="E905" s="104"/>
      <c r="J905" s="97"/>
      <c r="K905" s="97"/>
      <c r="L905" s="104"/>
      <c r="Q905" s="105"/>
      <c r="W905" s="105"/>
    </row>
    <row r="906" spans="5:23">
      <c r="E906" s="104"/>
      <c r="J906" s="97"/>
      <c r="K906" s="97"/>
      <c r="L906" s="104"/>
      <c r="Q906" s="105"/>
      <c r="W906" s="105"/>
    </row>
    <row r="907" spans="5:23">
      <c r="E907" s="104"/>
      <c r="J907" s="97"/>
      <c r="K907" s="97"/>
      <c r="L907" s="104"/>
      <c r="Q907" s="105"/>
      <c r="W907" s="105"/>
    </row>
    <row r="908" spans="5:23">
      <c r="E908" s="104"/>
      <c r="J908" s="97"/>
      <c r="K908" s="97"/>
      <c r="L908" s="104"/>
      <c r="Q908" s="105"/>
      <c r="W908" s="105"/>
    </row>
    <row r="909" spans="5:23">
      <c r="E909" s="104"/>
      <c r="J909" s="97"/>
      <c r="K909" s="97"/>
      <c r="L909" s="104"/>
      <c r="Q909" s="105"/>
      <c r="W909" s="105"/>
    </row>
    <row r="910" spans="5:23">
      <c r="E910" s="104"/>
      <c r="J910" s="97"/>
      <c r="K910" s="97"/>
      <c r="L910" s="104"/>
      <c r="Q910" s="105"/>
      <c r="W910" s="105"/>
    </row>
    <row r="911" spans="5:23">
      <c r="E911" s="104"/>
      <c r="J911" s="97"/>
      <c r="K911" s="97"/>
      <c r="L911" s="104"/>
      <c r="Q911" s="105"/>
      <c r="W911" s="105"/>
    </row>
    <row r="912" spans="5:23">
      <c r="E912" s="104"/>
      <c r="J912" s="97"/>
      <c r="K912" s="97"/>
      <c r="L912" s="104"/>
      <c r="Q912" s="105"/>
      <c r="W912" s="105"/>
    </row>
    <row r="913" spans="5:23">
      <c r="E913" s="104"/>
      <c r="J913" s="97"/>
      <c r="K913" s="97"/>
      <c r="L913" s="104"/>
      <c r="Q913" s="105"/>
      <c r="W913" s="105"/>
    </row>
    <row r="914" spans="5:23">
      <c r="E914" s="104"/>
      <c r="J914" s="97"/>
      <c r="K914" s="97"/>
      <c r="L914" s="104"/>
      <c r="Q914" s="105"/>
      <c r="W914" s="105"/>
    </row>
    <row r="915" spans="5:23">
      <c r="E915" s="104"/>
      <c r="J915" s="97"/>
      <c r="K915" s="97"/>
      <c r="L915" s="104"/>
      <c r="Q915" s="105"/>
      <c r="W915" s="105"/>
    </row>
    <row r="916" spans="5:23">
      <c r="E916" s="104"/>
      <c r="J916" s="97"/>
      <c r="K916" s="97"/>
      <c r="L916" s="104"/>
      <c r="Q916" s="105"/>
      <c r="W916" s="105"/>
    </row>
    <row r="917" spans="5:23">
      <c r="E917" s="104"/>
      <c r="J917" s="97"/>
      <c r="K917" s="97"/>
      <c r="L917" s="104"/>
      <c r="Q917" s="105"/>
      <c r="W917" s="105"/>
    </row>
    <row r="918" spans="5:23">
      <c r="E918" s="104"/>
      <c r="J918" s="97"/>
      <c r="K918" s="97"/>
      <c r="L918" s="104"/>
      <c r="Q918" s="105"/>
      <c r="W918" s="105"/>
    </row>
    <row r="919" spans="5:23">
      <c r="E919" s="104"/>
      <c r="J919" s="97"/>
      <c r="K919" s="97"/>
      <c r="L919" s="104"/>
      <c r="Q919" s="105"/>
      <c r="W919" s="105"/>
    </row>
    <row r="920" spans="5:23">
      <c r="E920" s="104"/>
      <c r="J920" s="97"/>
      <c r="K920" s="97"/>
      <c r="L920" s="104"/>
      <c r="Q920" s="105"/>
      <c r="W920" s="105"/>
    </row>
    <row r="921" spans="5:23">
      <c r="E921" s="104"/>
      <c r="J921" s="97"/>
      <c r="K921" s="97"/>
      <c r="L921" s="104"/>
      <c r="Q921" s="105"/>
      <c r="W921" s="105"/>
    </row>
    <row r="922" spans="5:23">
      <c r="E922" s="104"/>
      <c r="J922" s="97"/>
      <c r="K922" s="97"/>
      <c r="L922" s="104"/>
      <c r="Q922" s="105"/>
      <c r="W922" s="105"/>
    </row>
    <row r="923" spans="5:23">
      <c r="E923" s="104"/>
      <c r="J923" s="97"/>
      <c r="K923" s="97"/>
      <c r="L923" s="104"/>
      <c r="Q923" s="105"/>
      <c r="W923" s="105"/>
    </row>
    <row r="924" spans="5:23">
      <c r="E924" s="104"/>
      <c r="J924" s="97"/>
      <c r="K924" s="97"/>
      <c r="L924" s="104"/>
      <c r="Q924" s="105"/>
      <c r="W924" s="105"/>
    </row>
    <row r="925" spans="5:23">
      <c r="E925" s="104"/>
      <c r="J925" s="97"/>
      <c r="K925" s="97"/>
      <c r="L925" s="104"/>
      <c r="Q925" s="105"/>
      <c r="W925" s="105"/>
    </row>
    <row r="926" spans="5:23">
      <c r="E926" s="104"/>
      <c r="J926" s="97"/>
      <c r="K926" s="97"/>
      <c r="L926" s="104"/>
      <c r="Q926" s="105"/>
      <c r="W926" s="105"/>
    </row>
    <row r="927" spans="5:23">
      <c r="E927" s="104"/>
      <c r="J927" s="97"/>
      <c r="K927" s="97"/>
      <c r="L927" s="104"/>
      <c r="Q927" s="105"/>
      <c r="W927" s="105"/>
    </row>
    <row r="928" spans="5:23">
      <c r="E928" s="104"/>
      <c r="J928" s="97"/>
      <c r="K928" s="97"/>
      <c r="L928" s="104"/>
      <c r="Q928" s="105"/>
      <c r="W928" s="105"/>
    </row>
    <row r="929" spans="5:23">
      <c r="E929" s="104"/>
      <c r="J929" s="97"/>
      <c r="K929" s="97"/>
      <c r="L929" s="104"/>
      <c r="Q929" s="105"/>
      <c r="W929" s="105"/>
    </row>
    <row r="930" spans="5:23">
      <c r="E930" s="104"/>
      <c r="J930" s="97"/>
      <c r="K930" s="97"/>
      <c r="L930" s="104"/>
      <c r="Q930" s="105"/>
      <c r="W930" s="105"/>
    </row>
    <row r="931" spans="5:23">
      <c r="E931" s="104"/>
      <c r="J931" s="97"/>
      <c r="K931" s="97"/>
      <c r="L931" s="104"/>
      <c r="Q931" s="105"/>
      <c r="W931" s="105"/>
    </row>
    <row r="932" spans="5:23">
      <c r="E932" s="104"/>
      <c r="J932" s="97"/>
      <c r="K932" s="97"/>
      <c r="L932" s="104"/>
      <c r="Q932" s="105"/>
      <c r="W932" s="105"/>
    </row>
    <row r="933" spans="5:23">
      <c r="E933" s="104"/>
      <c r="J933" s="97"/>
      <c r="K933" s="97"/>
      <c r="L933" s="104"/>
      <c r="Q933" s="105"/>
      <c r="W933" s="105"/>
    </row>
    <row r="934" spans="5:23">
      <c r="E934" s="104"/>
      <c r="J934" s="97"/>
      <c r="K934" s="97"/>
      <c r="L934" s="104"/>
      <c r="Q934" s="105"/>
      <c r="W934" s="105"/>
    </row>
    <row r="935" spans="5:23">
      <c r="E935" s="104"/>
      <c r="J935" s="97"/>
      <c r="K935" s="97"/>
      <c r="L935" s="104"/>
      <c r="Q935" s="105"/>
      <c r="W935" s="105"/>
    </row>
    <row r="936" spans="5:23">
      <c r="E936" s="104"/>
      <c r="J936" s="97"/>
      <c r="K936" s="97"/>
      <c r="L936" s="104"/>
      <c r="Q936" s="105"/>
      <c r="W936" s="105"/>
    </row>
    <row r="937" spans="5:23">
      <c r="E937" s="104"/>
      <c r="J937" s="97"/>
      <c r="K937" s="97"/>
      <c r="L937" s="104"/>
      <c r="Q937" s="105"/>
      <c r="W937" s="105"/>
    </row>
    <row r="938" spans="5:23">
      <c r="E938" s="104"/>
      <c r="J938" s="97"/>
      <c r="K938" s="97"/>
      <c r="L938" s="104"/>
      <c r="Q938" s="105"/>
      <c r="W938" s="105"/>
    </row>
    <row r="939" spans="5:23">
      <c r="E939" s="104"/>
      <c r="J939" s="97"/>
      <c r="K939" s="97"/>
      <c r="L939" s="104"/>
      <c r="Q939" s="105"/>
      <c r="W939" s="105"/>
    </row>
    <row r="940" spans="5:23">
      <c r="E940" s="104"/>
      <c r="J940" s="97"/>
      <c r="K940" s="97"/>
      <c r="L940" s="104"/>
      <c r="Q940" s="105"/>
      <c r="W940" s="105"/>
    </row>
    <row r="941" spans="5:23">
      <c r="E941" s="104"/>
      <c r="J941" s="97"/>
      <c r="K941" s="97"/>
      <c r="L941" s="104"/>
      <c r="Q941" s="105"/>
      <c r="W941" s="105"/>
    </row>
    <row r="942" spans="5:23">
      <c r="E942" s="104"/>
      <c r="J942" s="97"/>
      <c r="K942" s="97"/>
      <c r="L942" s="104"/>
      <c r="Q942" s="105"/>
      <c r="W942" s="105"/>
    </row>
    <row r="943" spans="5:23">
      <c r="E943" s="104"/>
      <c r="J943" s="97"/>
      <c r="K943" s="97"/>
      <c r="L943" s="104"/>
      <c r="Q943" s="105"/>
      <c r="W943" s="105"/>
    </row>
    <row r="944" spans="5:23">
      <c r="E944" s="104"/>
      <c r="J944" s="97"/>
      <c r="K944" s="97"/>
      <c r="L944" s="104"/>
      <c r="Q944" s="105"/>
      <c r="W944" s="105"/>
    </row>
    <row r="945" spans="5:23">
      <c r="E945" s="104"/>
      <c r="J945" s="97"/>
      <c r="K945" s="97"/>
      <c r="L945" s="104"/>
      <c r="Q945" s="105"/>
      <c r="W945" s="105"/>
    </row>
    <row r="946" spans="5:23">
      <c r="E946" s="104"/>
      <c r="J946" s="97"/>
      <c r="K946" s="97"/>
      <c r="L946" s="104"/>
      <c r="Q946" s="105"/>
      <c r="W946" s="105"/>
    </row>
    <row r="947" spans="5:23">
      <c r="E947" s="104"/>
      <c r="J947" s="97"/>
      <c r="K947" s="97"/>
      <c r="L947" s="104"/>
      <c r="Q947" s="105"/>
      <c r="W947" s="105"/>
    </row>
    <row r="948" spans="5:23">
      <c r="E948" s="104"/>
      <c r="J948" s="97"/>
      <c r="K948" s="97"/>
      <c r="L948" s="104"/>
      <c r="Q948" s="105"/>
      <c r="W948" s="105"/>
    </row>
    <row r="949" spans="5:23">
      <c r="E949" s="104"/>
      <c r="J949" s="97"/>
      <c r="K949" s="97"/>
      <c r="L949" s="104"/>
      <c r="Q949" s="105"/>
      <c r="W949" s="105"/>
    </row>
    <row r="950" spans="5:23">
      <c r="E950" s="104"/>
      <c r="J950" s="97"/>
      <c r="K950" s="97"/>
      <c r="L950" s="104"/>
      <c r="Q950" s="105"/>
      <c r="W950" s="105"/>
    </row>
    <row r="951" spans="5:23">
      <c r="E951" s="104"/>
      <c r="J951" s="97"/>
      <c r="K951" s="97"/>
      <c r="L951" s="104"/>
      <c r="Q951" s="105"/>
      <c r="W951" s="105"/>
    </row>
    <row r="952" spans="5:23">
      <c r="E952" s="104"/>
      <c r="J952" s="97"/>
      <c r="K952" s="97"/>
      <c r="L952" s="104"/>
      <c r="Q952" s="105"/>
      <c r="W952" s="105"/>
    </row>
    <row r="953" spans="5:23">
      <c r="E953" s="104"/>
      <c r="J953" s="97"/>
      <c r="K953" s="97"/>
      <c r="L953" s="104"/>
      <c r="Q953" s="105"/>
      <c r="W953" s="105"/>
    </row>
    <row r="954" spans="5:23">
      <c r="E954" s="104"/>
      <c r="J954" s="97"/>
      <c r="K954" s="97"/>
      <c r="L954" s="104"/>
      <c r="Q954" s="105"/>
      <c r="W954" s="105"/>
    </row>
    <row r="955" spans="5:23">
      <c r="E955" s="104"/>
      <c r="J955" s="97"/>
      <c r="K955" s="97"/>
      <c r="L955" s="104"/>
      <c r="Q955" s="105"/>
      <c r="W955" s="105"/>
    </row>
    <row r="956" spans="5:23">
      <c r="E956" s="104"/>
      <c r="J956" s="97"/>
      <c r="K956" s="97"/>
      <c r="L956" s="104"/>
      <c r="Q956" s="105"/>
      <c r="W956" s="105"/>
    </row>
    <row r="957" spans="5:23">
      <c r="E957" s="104"/>
      <c r="J957" s="97"/>
      <c r="K957" s="97"/>
      <c r="L957" s="104"/>
      <c r="Q957" s="105"/>
      <c r="W957" s="105"/>
    </row>
    <row r="958" spans="5:23">
      <c r="E958" s="104"/>
      <c r="J958" s="97"/>
      <c r="K958" s="97"/>
      <c r="L958" s="104"/>
      <c r="Q958" s="105"/>
      <c r="W958" s="105"/>
    </row>
    <row r="959" spans="5:23">
      <c r="E959" s="104"/>
      <c r="J959" s="97"/>
      <c r="K959" s="97"/>
      <c r="L959" s="104"/>
      <c r="Q959" s="105"/>
      <c r="W959" s="105"/>
    </row>
    <row r="960" spans="5:23">
      <c r="E960" s="104"/>
      <c r="J960" s="97"/>
      <c r="K960" s="97"/>
      <c r="L960" s="104"/>
      <c r="Q960" s="105"/>
      <c r="W960" s="105"/>
    </row>
    <row r="961" spans="5:23">
      <c r="E961" s="104"/>
      <c r="J961" s="97"/>
      <c r="K961" s="97"/>
      <c r="L961" s="104"/>
      <c r="Q961" s="105"/>
      <c r="W961" s="105"/>
    </row>
    <row r="962" spans="5:23">
      <c r="E962" s="104"/>
      <c r="J962" s="97"/>
      <c r="K962" s="97"/>
      <c r="L962" s="104"/>
      <c r="Q962" s="105"/>
      <c r="W962" s="105"/>
    </row>
    <row r="963" spans="5:23">
      <c r="E963" s="104"/>
      <c r="J963" s="97"/>
      <c r="K963" s="97"/>
      <c r="L963" s="104"/>
      <c r="Q963" s="105"/>
      <c r="W963" s="105"/>
    </row>
    <row r="964" spans="5:23">
      <c r="E964" s="104"/>
      <c r="J964" s="97"/>
      <c r="K964" s="97"/>
      <c r="L964" s="104"/>
      <c r="Q964" s="105"/>
      <c r="W964" s="105"/>
    </row>
    <row r="965" spans="5:23">
      <c r="E965" s="104"/>
      <c r="J965" s="97"/>
      <c r="K965" s="97"/>
      <c r="L965" s="104"/>
      <c r="Q965" s="105"/>
      <c r="W965" s="105"/>
    </row>
    <row r="966" spans="5:23">
      <c r="E966" s="104"/>
      <c r="J966" s="97"/>
      <c r="K966" s="97"/>
      <c r="L966" s="104"/>
      <c r="Q966" s="105"/>
      <c r="W966" s="105"/>
    </row>
    <row r="967" spans="5:23">
      <c r="E967" s="104"/>
      <c r="J967" s="97"/>
      <c r="K967" s="97"/>
      <c r="L967" s="104"/>
      <c r="Q967" s="105"/>
      <c r="W967" s="105"/>
    </row>
    <row r="968" spans="5:23">
      <c r="E968" s="104"/>
      <c r="J968" s="97"/>
      <c r="K968" s="97"/>
      <c r="L968" s="104"/>
      <c r="Q968" s="105"/>
      <c r="W968" s="105"/>
    </row>
    <row r="969" spans="5:23">
      <c r="E969" s="104"/>
      <c r="J969" s="97"/>
      <c r="K969" s="97"/>
      <c r="L969" s="104"/>
      <c r="Q969" s="105"/>
      <c r="W969" s="105"/>
    </row>
    <row r="970" spans="5:23">
      <c r="E970" s="104"/>
      <c r="J970" s="97"/>
      <c r="K970" s="97"/>
      <c r="L970" s="104"/>
      <c r="Q970" s="105"/>
      <c r="W970" s="105"/>
    </row>
    <row r="971" spans="5:23">
      <c r="E971" s="104"/>
      <c r="J971" s="97"/>
      <c r="K971" s="97"/>
      <c r="L971" s="104"/>
      <c r="Q971" s="105"/>
      <c r="W971" s="105"/>
    </row>
    <row r="972" spans="5:23">
      <c r="E972" s="104"/>
      <c r="J972" s="97"/>
      <c r="K972" s="97"/>
      <c r="L972" s="104"/>
      <c r="Q972" s="105"/>
      <c r="W972" s="105"/>
    </row>
    <row r="973" spans="5:23">
      <c r="E973" s="104"/>
      <c r="J973" s="97"/>
      <c r="K973" s="97"/>
      <c r="L973" s="104"/>
      <c r="Q973" s="105"/>
      <c r="W973" s="105"/>
    </row>
    <row r="974" spans="5:23">
      <c r="E974" s="104"/>
      <c r="J974" s="97"/>
      <c r="K974" s="97"/>
      <c r="L974" s="104"/>
      <c r="Q974" s="105"/>
      <c r="W974" s="105"/>
    </row>
    <row r="975" spans="5:23">
      <c r="E975" s="104"/>
      <c r="J975" s="97"/>
      <c r="K975" s="97"/>
      <c r="L975" s="104"/>
      <c r="Q975" s="105"/>
      <c r="W975" s="105"/>
    </row>
    <row r="976" spans="5:23">
      <c r="E976" s="104"/>
      <c r="J976" s="97"/>
      <c r="K976" s="97"/>
      <c r="L976" s="104"/>
      <c r="Q976" s="105"/>
      <c r="W976" s="105"/>
    </row>
    <row r="977" spans="5:23">
      <c r="E977" s="104"/>
      <c r="J977" s="97"/>
      <c r="K977" s="97"/>
      <c r="L977" s="104"/>
      <c r="Q977" s="105"/>
      <c r="W977" s="105"/>
    </row>
    <row r="978" spans="5:23">
      <c r="E978" s="104"/>
      <c r="J978" s="97"/>
      <c r="K978" s="97"/>
      <c r="L978" s="104"/>
      <c r="Q978" s="105"/>
      <c r="W978" s="105"/>
    </row>
    <row r="979" spans="5:23">
      <c r="E979" s="104"/>
      <c r="J979" s="97"/>
      <c r="K979" s="97"/>
      <c r="L979" s="104"/>
      <c r="Q979" s="105"/>
      <c r="W979" s="105"/>
    </row>
    <row r="980" spans="5:23">
      <c r="E980" s="104"/>
      <c r="J980" s="97"/>
      <c r="K980" s="97"/>
      <c r="L980" s="104"/>
      <c r="Q980" s="105"/>
      <c r="W980" s="105"/>
    </row>
    <row r="981" spans="5:23">
      <c r="E981" s="104"/>
      <c r="J981" s="97"/>
      <c r="K981" s="97"/>
      <c r="L981" s="104"/>
      <c r="Q981" s="105"/>
      <c r="W981" s="105"/>
    </row>
    <row r="982" spans="5:23">
      <c r="E982" s="104"/>
      <c r="J982" s="97"/>
      <c r="K982" s="97"/>
      <c r="L982" s="104"/>
      <c r="Q982" s="105"/>
      <c r="W982" s="105"/>
    </row>
    <row r="983" spans="5:23">
      <c r="E983" s="104"/>
      <c r="J983" s="97"/>
      <c r="K983" s="97"/>
      <c r="L983" s="104"/>
      <c r="Q983" s="105"/>
      <c r="W983" s="105"/>
    </row>
    <row r="984" spans="5:23">
      <c r="E984" s="104"/>
      <c r="J984" s="97"/>
      <c r="K984" s="97"/>
      <c r="L984" s="104"/>
      <c r="Q984" s="105"/>
      <c r="W984" s="105"/>
    </row>
    <row r="985" spans="5:23">
      <c r="E985" s="104"/>
      <c r="J985" s="97"/>
      <c r="K985" s="97"/>
      <c r="L985" s="104"/>
      <c r="Q985" s="105"/>
      <c r="W985" s="105"/>
    </row>
    <row r="986" spans="5:23">
      <c r="E986" s="104"/>
      <c r="J986" s="97"/>
      <c r="K986" s="97"/>
      <c r="L986" s="104"/>
      <c r="Q986" s="105"/>
      <c r="W986" s="105"/>
    </row>
    <row r="987" spans="5:23">
      <c r="E987" s="104"/>
      <c r="J987" s="97"/>
      <c r="K987" s="97"/>
      <c r="L987" s="104"/>
      <c r="Q987" s="105"/>
      <c r="W987" s="105"/>
    </row>
    <row r="988" spans="5:23">
      <c r="E988" s="104"/>
      <c r="J988" s="97"/>
      <c r="K988" s="97"/>
      <c r="L988" s="104"/>
      <c r="Q988" s="105"/>
      <c r="W988" s="105"/>
    </row>
    <row r="989" spans="5:23">
      <c r="E989" s="104"/>
      <c r="J989" s="97"/>
      <c r="K989" s="97"/>
      <c r="L989" s="104"/>
      <c r="Q989" s="105"/>
      <c r="W989" s="105"/>
    </row>
    <row r="990" spans="5:23">
      <c r="E990" s="104"/>
      <c r="J990" s="97"/>
      <c r="K990" s="97"/>
      <c r="L990" s="104"/>
      <c r="Q990" s="105"/>
      <c r="W990" s="105"/>
    </row>
    <row r="991" spans="5:23">
      <c r="E991" s="104"/>
      <c r="J991" s="97"/>
      <c r="K991" s="97"/>
      <c r="L991" s="104"/>
      <c r="Q991" s="105"/>
      <c r="W991" s="105"/>
    </row>
    <row r="992" spans="5:23">
      <c r="E992" s="104"/>
      <c r="J992" s="97"/>
      <c r="K992" s="97"/>
      <c r="L992" s="104"/>
      <c r="Q992" s="105"/>
      <c r="W992" s="105"/>
    </row>
    <row r="993" spans="5:23">
      <c r="E993" s="104"/>
      <c r="J993" s="97"/>
      <c r="K993" s="97"/>
      <c r="L993" s="104"/>
      <c r="Q993" s="105"/>
      <c r="W993" s="105"/>
    </row>
    <row r="994" spans="5:23">
      <c r="E994" s="104"/>
      <c r="J994" s="97"/>
      <c r="K994" s="97"/>
      <c r="L994" s="104"/>
      <c r="Q994" s="105"/>
      <c r="W994" s="105"/>
    </row>
    <row r="995" spans="5:23">
      <c r="E995" s="104"/>
      <c r="J995" s="97"/>
      <c r="K995" s="97"/>
      <c r="L995" s="104"/>
      <c r="Q995" s="105"/>
      <c r="W995" s="105"/>
    </row>
    <row r="996" spans="5:23">
      <c r="E996" s="104"/>
      <c r="J996" s="97"/>
      <c r="K996" s="97"/>
      <c r="L996" s="104"/>
      <c r="Q996" s="105"/>
      <c r="W996" s="105"/>
    </row>
    <row r="997" spans="5:23">
      <c r="E997" s="109"/>
      <c r="F997" s="110"/>
      <c r="G997" s="110"/>
      <c r="H997" s="110"/>
      <c r="I997" s="110"/>
      <c r="J997" s="97"/>
      <c r="K997" s="111"/>
      <c r="L997" s="109"/>
      <c r="M997" s="110"/>
      <c r="N997" s="110"/>
      <c r="O997" s="110"/>
      <c r="P997" s="110"/>
      <c r="Q997" s="112"/>
      <c r="W997" s="112"/>
    </row>
  </sheetData>
  <hyperlinks>
    <hyperlink ref="K4" r:id="rId1" display="https://gld.legislaturacba.gob.ar/Publics/Actas.aspx?id=3H3EtxsQShU=;NA"/>
    <hyperlink ref="K5" r:id="rId2" display="https://gld.legislaturacba.gob.ar/Publics/Actas.aspx?id=vZ07Tij7Eco=;NA;https://gld.legislaturacba.gob.ar/Publics/Actas.aspx?id=0xFk-ftoloo="/>
    <hyperlink ref="K7" r:id="rId3" display="https://gld.legislaturacba.gob.ar/Publics/Actas.aspx?id=dqHyPnrDPqI=;NA;https://gld.legislaturacba.gob.ar/Publics/Actas.aspx?id=R1RXFTLfAXY="/>
    <hyperlink ref="K8" r:id="rId4" display="https://gld.legislaturacba.gob.ar/Publics/Actas.aspx?id=9llPjy8V0Wk=;NA"/>
    <hyperlink ref="K14" r:id="rId5" display="https://gld.legislaturacba.gob.ar/Publics/Actas.aspx?id=7qijYLHbHtk=;NA;https://gld.legislaturacba.gob.ar/Publics/Actas.aspx?id=LXI1h9zoY44="/>
    <hyperlink ref="K15" r:id="rId6" display="https://gld.legislaturacba.gob.ar/Publics/Actas.aspx?id=6mBtBdMW8F0=;N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1"/>
  <sheetViews>
    <sheetView workbookViewId="0"/>
  </sheetViews>
  <sheetFormatPr baseColWidth="10" defaultColWidth="12.5703125" defaultRowHeight="15.75" customHeight="1"/>
  <sheetData>
    <row r="1" spans="1:20">
      <c r="A1" s="20" t="s">
        <v>0</v>
      </c>
      <c r="B1" s="20" t="s">
        <v>1</v>
      </c>
      <c r="C1" s="20" t="s">
        <v>2</v>
      </c>
      <c r="D1" s="20" t="s">
        <v>3</v>
      </c>
      <c r="E1" s="20" t="s">
        <v>4</v>
      </c>
      <c r="F1" s="20" t="s">
        <v>5</v>
      </c>
      <c r="G1" s="20" t="s">
        <v>6</v>
      </c>
      <c r="H1" s="20" t="s">
        <v>7</v>
      </c>
      <c r="I1" s="20" t="s">
        <v>8</v>
      </c>
      <c r="J1" s="20" t="s">
        <v>9</v>
      </c>
      <c r="K1" s="20" t="s">
        <v>10</v>
      </c>
      <c r="L1" s="98" t="s">
        <v>11</v>
      </c>
      <c r="M1" s="20" t="s">
        <v>12</v>
      </c>
      <c r="N1" s="20" t="s">
        <v>13</v>
      </c>
      <c r="O1" s="98" t="s">
        <v>14</v>
      </c>
      <c r="P1" s="98" t="s">
        <v>15</v>
      </c>
      <c r="Q1" s="20" t="s">
        <v>16</v>
      </c>
      <c r="R1" s="98" t="s">
        <v>17</v>
      </c>
      <c r="S1" s="20" t="s">
        <v>5331</v>
      </c>
      <c r="T1" s="9" t="s">
        <v>5332</v>
      </c>
    </row>
    <row r="2" spans="1:20">
      <c r="A2" s="20">
        <f ca="1">IFERROR(__xludf.DUMMYFUNCTION("filter('Reuniones Comisiones'!A1:S1001,'Reuniones Comisiones'!I1:I1001=1)"),1)</f>
        <v>1</v>
      </c>
      <c r="B2" s="20">
        <f ca="1">IFERROR(__xludf.DUMMYFUNCTION("""COMPUTED_VALUE"""),2020)</f>
        <v>2020</v>
      </c>
      <c r="C2" s="20" t="str">
        <f ca="1">IFERROR(__xludf.DUMMYFUNCTION("""COMPUTED_VALUE"""),"PRESENCIAL")</f>
        <v>PRESENCIAL</v>
      </c>
      <c r="D2" s="96">
        <f ca="1">IFERROR(__xludf.DUMMYFUNCTION("""COMPUTED_VALUE"""),43879)</f>
        <v>43879</v>
      </c>
      <c r="E2" s="20" t="str">
        <f ca="1">IFERROR(__xludf.DUMMYFUNCTION("""COMPUTED_VALUE"""),"NO")</f>
        <v>NO</v>
      </c>
      <c r="F2" s="20" t="str">
        <f ca="1">IFERROR(__xludf.DUMMYFUNCTION("""COMPUTED_VALUE"""),"DEPORTES Y RECREACIÓN")</f>
        <v>DEPORTES Y RECREACIÓN</v>
      </c>
      <c r="G2" s="20">
        <f ca="1">IFERROR(__xludf.DUMMYFUNCTION("""COMPUTED_VALUE"""),1)</f>
        <v>1</v>
      </c>
      <c r="H2" s="20">
        <f ca="1">IFERROR(__xludf.DUMMYFUNCTION("""COMPUTED_VALUE"""),1)</f>
        <v>1</v>
      </c>
      <c r="I2" s="20">
        <f ca="1">IFERROR(__xludf.DUMMYFUNCTION("""COMPUTED_VALUE"""),1)</f>
        <v>1</v>
      </c>
      <c r="J2" s="20" t="str">
        <f ca="1">IFERROR(__xludf.DUMMYFUNCTION("""COMPUTED_VALUE"""),"NC")</f>
        <v>NC</v>
      </c>
      <c r="K2" s="20" t="str">
        <f ca="1">IFERROR(__xludf.DUMMYFUNCTION("""COMPUTED_VALUE"""),"NA")</f>
        <v>NA</v>
      </c>
      <c r="L2" s="20" t="str">
        <f ca="1">IFERROR(__xludf.DUMMYFUNCTION("""COMPUTED_VALUE"""),"NA")</f>
        <v>NA</v>
      </c>
      <c r="M2" s="20" t="str">
        <f ca="1">IFERROR(__xludf.DUMMYFUNCTION("""COMPUTED_VALUE"""),"Constitución formal de la Comisión y designación de sus autoridades.")</f>
        <v>Constitución formal de la Comisión y designación de sus autoridades.</v>
      </c>
      <c r="N2" s="20" t="str">
        <f ca="1">IFERROR(__xludf.DUMMYFUNCTION("""COMPUTED_VALUE"""),"NA")</f>
        <v>NA</v>
      </c>
      <c r="O2" s="20" t="str">
        <f ca="1">IFERROR(__xludf.DUMMYFUNCTION("""COMPUTED_VALUE"""),"NO")</f>
        <v>NO</v>
      </c>
      <c r="P2" s="20">
        <f ca="1">IFERROR(__xludf.DUMMYFUNCTION("""COMPUTED_VALUE"""),0)</f>
        <v>0</v>
      </c>
      <c r="Q2" s="20" t="str">
        <f ca="1">IFERROR(__xludf.DUMMYFUNCTION("""COMPUTED_VALUE"""),"NA")</f>
        <v>NA</v>
      </c>
      <c r="R2" s="20" t="str">
        <f ca="1">IFERROR(__xludf.DUMMYFUNCTION("""COMPUTED_VALUE"""),"NA")</f>
        <v>NA</v>
      </c>
      <c r="S2" s="113" t="str">
        <f ca="1">IFERROR(__xludf.DUMMYFUNCTION("""COMPUTED_VALUE"""),"https://gld.legislaturacba.gob.ar/Publics/Actas.aspx?id=Uj-TJ3BIYig=")</f>
        <v>https://gld.legislaturacba.gob.ar/Publics/Actas.aspx?id=Uj-TJ3BIYig=</v>
      </c>
      <c r="T2" s="99">
        <f t="shared" ref="T2:T1001" ca="1" si="0">IF(   G2*5 = LEN(S2)- LEN(SUBSTITUTE(S2,"https","")),0, (G2*5 -( LEN(S2)- LEN(SUBSTITUTE(S2,"https",""))))/5)</f>
        <v>0</v>
      </c>
    </row>
    <row r="3" spans="1:20">
      <c r="A3" s="20">
        <f ca="1">IFERROR(__xludf.DUMMYFUNCTION("""COMPUTED_VALUE"""),2)</f>
        <v>2</v>
      </c>
      <c r="B3" s="20">
        <f ca="1">IFERROR(__xludf.DUMMYFUNCTION("""COMPUTED_VALUE"""),2020)</f>
        <v>2020</v>
      </c>
      <c r="C3" s="20" t="str">
        <f ca="1">IFERROR(__xludf.DUMMYFUNCTION("""COMPUTED_VALUE"""),"PRESENCIAL")</f>
        <v>PRESENCIAL</v>
      </c>
      <c r="D3" s="96">
        <f ca="1">IFERROR(__xludf.DUMMYFUNCTION("""COMPUTED_VALUE"""),43879)</f>
        <v>43879</v>
      </c>
      <c r="E3" s="20" t="str">
        <f ca="1">IFERROR(__xludf.DUMMYFUNCTION("""COMPUTED_VALUE"""),"NO")</f>
        <v>NO</v>
      </c>
      <c r="F3" s="20" t="str">
        <f ca="1">IFERROR(__xludf.DUMMYFUNCTION("""COMPUTED_VALUE"""),"LEGISLACIÓN DEL TRABAJO, PREVISIÓN Y SEGURIDAD SOCIAL")</f>
        <v>LEGISLACIÓN DEL TRABAJO, PREVISIÓN Y SEGURIDAD SOCIAL</v>
      </c>
      <c r="G3" s="20">
        <f ca="1">IFERROR(__xludf.DUMMYFUNCTION("""COMPUTED_VALUE"""),1)</f>
        <v>1</v>
      </c>
      <c r="H3" s="20">
        <f ca="1">IFERROR(__xludf.DUMMYFUNCTION("""COMPUTED_VALUE"""),1)</f>
        <v>1</v>
      </c>
      <c r="I3" s="20">
        <f ca="1">IFERROR(__xludf.DUMMYFUNCTION("""COMPUTED_VALUE"""),1)</f>
        <v>1</v>
      </c>
      <c r="J3" s="20" t="str">
        <f ca="1">IFERROR(__xludf.DUMMYFUNCTION("""COMPUTED_VALUE"""),"NC")</f>
        <v>NC</v>
      </c>
      <c r="K3" s="20" t="str">
        <f ca="1">IFERROR(__xludf.DUMMYFUNCTION("""COMPUTED_VALUE"""),"NA")</f>
        <v>NA</v>
      </c>
      <c r="L3" s="20" t="str">
        <f ca="1">IFERROR(__xludf.DUMMYFUNCTION("""COMPUTED_VALUE"""),"NA")</f>
        <v>NA</v>
      </c>
      <c r="M3" s="20" t="str">
        <f ca="1">IFERROR(__xludf.DUMMYFUNCTION("""COMPUTED_VALUE"""),"Constitución formal de la Comisión y designación de sus autoridades.")</f>
        <v>Constitución formal de la Comisión y designación de sus autoridades.</v>
      </c>
      <c r="N3" s="20" t="str">
        <f ca="1">IFERROR(__xludf.DUMMYFUNCTION("""COMPUTED_VALUE"""),"NA")</f>
        <v>NA</v>
      </c>
      <c r="O3" s="20" t="str">
        <f ca="1">IFERROR(__xludf.DUMMYFUNCTION("""COMPUTED_VALUE"""),"NO")</f>
        <v>NO</v>
      </c>
      <c r="P3" s="20">
        <f ca="1">IFERROR(__xludf.DUMMYFUNCTION("""COMPUTED_VALUE"""),0)</f>
        <v>0</v>
      </c>
      <c r="Q3" s="20" t="str">
        <f ca="1">IFERROR(__xludf.DUMMYFUNCTION("""COMPUTED_VALUE"""),"NA")</f>
        <v>NA</v>
      </c>
      <c r="R3" s="20" t="str">
        <f ca="1">IFERROR(__xludf.DUMMYFUNCTION("""COMPUTED_VALUE"""),"NA")</f>
        <v>NA</v>
      </c>
      <c r="S3" s="113" t="str">
        <f ca="1">IFERROR(__xludf.DUMMYFUNCTION("""COMPUTED_VALUE"""),"https://gld.legislaturacba.gob.ar/Publics/Actas.aspx?id=ZmDfu4aOfA8=")</f>
        <v>https://gld.legislaturacba.gob.ar/Publics/Actas.aspx?id=ZmDfu4aOfA8=</v>
      </c>
      <c r="T3" s="99">
        <f t="shared" ca="1" si="0"/>
        <v>0</v>
      </c>
    </row>
    <row r="4" spans="1:20">
      <c r="A4" s="20">
        <f ca="1">IFERROR(__xludf.DUMMYFUNCTION("""COMPUTED_VALUE"""),3)</f>
        <v>3</v>
      </c>
      <c r="B4" s="20">
        <f ca="1">IFERROR(__xludf.DUMMYFUNCTION("""COMPUTED_VALUE"""),2020)</f>
        <v>2020</v>
      </c>
      <c r="C4" s="20" t="str">
        <f ca="1">IFERROR(__xludf.DUMMYFUNCTION("""COMPUTED_VALUE"""),"PRESENCIAL")</f>
        <v>PRESENCIAL</v>
      </c>
      <c r="D4" s="96">
        <f ca="1">IFERROR(__xludf.DUMMYFUNCTION("""COMPUTED_VALUE"""),43879)</f>
        <v>43879</v>
      </c>
      <c r="E4" s="20" t="str">
        <f ca="1">IFERROR(__xludf.DUMMYFUNCTION("""COMPUTED_VALUE"""),"NO")</f>
        <v>NO</v>
      </c>
      <c r="F4" s="20" t="str">
        <f ca="1">IFERROR(__xludf.DUMMYFUNCTION("""COMPUTED_VALUE"""),"OBRAS PÚBLICAS, VIVIENDA Y COMUNICACIONES")</f>
        <v>OBRAS PÚBLICAS, VIVIENDA Y COMUNICACIONES</v>
      </c>
      <c r="G4" s="20">
        <f ca="1">IFERROR(__xludf.DUMMYFUNCTION("""COMPUTED_VALUE"""),1)</f>
        <v>1</v>
      </c>
      <c r="H4" s="20">
        <f ca="1">IFERROR(__xludf.DUMMYFUNCTION("""COMPUTED_VALUE"""),3)</f>
        <v>3</v>
      </c>
      <c r="I4" s="20">
        <f ca="1">IFERROR(__xludf.DUMMYFUNCTION("""COMPUTED_VALUE"""),1)</f>
        <v>1</v>
      </c>
      <c r="J4" s="20" t="str">
        <f ca="1">IFERROR(__xludf.DUMMYFUNCTION("""COMPUTED_VALUE"""),"NC")</f>
        <v>NC</v>
      </c>
      <c r="K4" s="20" t="str">
        <f ca="1">IFERROR(__xludf.DUMMYFUNCTION("""COMPUTED_VALUE"""),"NA")</f>
        <v>NA</v>
      </c>
      <c r="L4" s="20" t="str">
        <f ca="1">IFERROR(__xludf.DUMMYFUNCTION("""COMPUTED_VALUE"""),"NA")</f>
        <v>NA</v>
      </c>
      <c r="M4" s="20" t="str">
        <f ca="1">IFERROR(__xludf.DUMMYFUNCTION("""COMPUTED_VALUE"""),"Constitución formal de la Comisión y designación de sus autoridades.")</f>
        <v>Constitución formal de la Comisión y designación de sus autoridades.</v>
      </c>
      <c r="N4" s="20" t="str">
        <f ca="1">IFERROR(__xludf.DUMMYFUNCTION("""COMPUTED_VALUE"""),"NA")</f>
        <v>NA</v>
      </c>
      <c r="O4" s="20" t="str">
        <f ca="1">IFERROR(__xludf.DUMMYFUNCTION("""COMPUTED_VALUE"""),"NO")</f>
        <v>NO</v>
      </c>
      <c r="P4" s="20">
        <f ca="1">IFERROR(__xludf.DUMMYFUNCTION("""COMPUTED_VALUE"""),0)</f>
        <v>0</v>
      </c>
      <c r="Q4" s="20" t="str">
        <f ca="1">IFERROR(__xludf.DUMMYFUNCTION("""COMPUTED_VALUE"""),"NA")</f>
        <v>NA</v>
      </c>
      <c r="R4" s="20" t="str">
        <f ca="1">IFERROR(__xludf.DUMMYFUNCTION("""COMPUTED_VALUE"""),"NA")</f>
        <v>NA</v>
      </c>
      <c r="S4" s="113" t="str">
        <f ca="1">IFERROR(__xludf.DUMMYFUNCTION("""COMPUTED_VALUE"""),"https://gld.legislaturacba.gob.ar/Publics/Actas.aspx?id=QcG_t7mSh2Y=")</f>
        <v>https://gld.legislaturacba.gob.ar/Publics/Actas.aspx?id=QcG_t7mSh2Y=</v>
      </c>
      <c r="T4" s="99">
        <f t="shared" ca="1" si="0"/>
        <v>0</v>
      </c>
    </row>
    <row r="5" spans="1:20">
      <c r="A5" s="20">
        <f ca="1">IFERROR(__xludf.DUMMYFUNCTION("""COMPUTED_VALUE"""),4)</f>
        <v>4</v>
      </c>
      <c r="B5" s="20">
        <f ca="1">IFERROR(__xludf.DUMMYFUNCTION("""COMPUTED_VALUE"""),2020)</f>
        <v>2020</v>
      </c>
      <c r="C5" s="20" t="str">
        <f ca="1">IFERROR(__xludf.DUMMYFUNCTION("""COMPUTED_VALUE"""),"PRESENCIAL")</f>
        <v>PRESENCIAL</v>
      </c>
      <c r="D5" s="96">
        <f ca="1">IFERROR(__xludf.DUMMYFUNCTION("""COMPUTED_VALUE"""),43879)</f>
        <v>43879</v>
      </c>
      <c r="E5" s="20" t="str">
        <f ca="1">IFERROR(__xludf.DUMMYFUNCTION("""COMPUTED_VALUE"""),"NO")</f>
        <v>NO</v>
      </c>
      <c r="F5" s="20" t="str">
        <f ca="1">IFERROR(__xludf.DUMMYFUNCTION("""COMPUTED_VALUE"""),"ASUNTOS ECOLÓGICOS")</f>
        <v>ASUNTOS ECOLÓGICOS</v>
      </c>
      <c r="G5" s="20">
        <f ca="1">IFERROR(__xludf.DUMMYFUNCTION("""COMPUTED_VALUE"""),1)</f>
        <v>1</v>
      </c>
      <c r="H5" s="20">
        <f ca="1">IFERROR(__xludf.DUMMYFUNCTION("""COMPUTED_VALUE"""),1)</f>
        <v>1</v>
      </c>
      <c r="I5" s="20">
        <f ca="1">IFERROR(__xludf.DUMMYFUNCTION("""COMPUTED_VALUE"""),1)</f>
        <v>1</v>
      </c>
      <c r="J5" s="20" t="str">
        <f ca="1">IFERROR(__xludf.DUMMYFUNCTION("""COMPUTED_VALUE"""),"NC")</f>
        <v>NC</v>
      </c>
      <c r="K5" s="20" t="str">
        <f ca="1">IFERROR(__xludf.DUMMYFUNCTION("""COMPUTED_VALUE"""),"NA")</f>
        <v>NA</v>
      </c>
      <c r="L5" s="20" t="str">
        <f ca="1">IFERROR(__xludf.DUMMYFUNCTION("""COMPUTED_VALUE"""),"NA")</f>
        <v>NA</v>
      </c>
      <c r="M5" s="20" t="str">
        <f ca="1">IFERROR(__xludf.DUMMYFUNCTION("""COMPUTED_VALUE"""),"Constitución formal de la Comisión y designación de sus autoridades.")</f>
        <v>Constitución formal de la Comisión y designación de sus autoridades.</v>
      </c>
      <c r="N5" s="20" t="str">
        <f ca="1">IFERROR(__xludf.DUMMYFUNCTION("""COMPUTED_VALUE"""),"NA")</f>
        <v>NA</v>
      </c>
      <c r="O5" s="20" t="str">
        <f ca="1">IFERROR(__xludf.DUMMYFUNCTION("""COMPUTED_VALUE"""),"NO")</f>
        <v>NO</v>
      </c>
      <c r="P5" s="20">
        <f ca="1">IFERROR(__xludf.DUMMYFUNCTION("""COMPUTED_VALUE"""),0)</f>
        <v>0</v>
      </c>
      <c r="Q5" s="20" t="str">
        <f ca="1">IFERROR(__xludf.DUMMYFUNCTION("""COMPUTED_VALUE"""),"NA")</f>
        <v>NA</v>
      </c>
      <c r="R5" s="20" t="str">
        <f ca="1">IFERROR(__xludf.DUMMYFUNCTION("""COMPUTED_VALUE"""),"NA")</f>
        <v>NA</v>
      </c>
      <c r="S5" s="113" t="str">
        <f ca="1">IFERROR(__xludf.DUMMYFUNCTION("""COMPUTED_VALUE"""),"https://gld.legislaturacba.gob.ar/Publics/Actas.aspx?id=7lxFU7OrFzw=")</f>
        <v>https://gld.legislaturacba.gob.ar/Publics/Actas.aspx?id=7lxFU7OrFzw=</v>
      </c>
      <c r="T5" s="99">
        <f t="shared" ca="1" si="0"/>
        <v>0</v>
      </c>
    </row>
    <row r="6" spans="1:20">
      <c r="A6" s="20">
        <f ca="1">IFERROR(__xludf.DUMMYFUNCTION("""COMPUTED_VALUE"""),5)</f>
        <v>5</v>
      </c>
      <c r="B6" s="20">
        <f ca="1">IFERROR(__xludf.DUMMYFUNCTION("""COMPUTED_VALUE"""),2020)</f>
        <v>2020</v>
      </c>
      <c r="C6" s="20" t="str">
        <f ca="1">IFERROR(__xludf.DUMMYFUNCTION("""COMPUTED_VALUE"""),"PRESENCIAL")</f>
        <v>PRESENCIAL</v>
      </c>
      <c r="D6" s="96">
        <f ca="1">IFERROR(__xludf.DUMMYFUNCTION("""COMPUTED_VALUE"""),43879)</f>
        <v>43879</v>
      </c>
      <c r="E6" s="20" t="str">
        <f ca="1">IFERROR(__xludf.DUMMYFUNCTION("""COMPUTED_VALUE"""),"NO")</f>
        <v>NO</v>
      </c>
      <c r="F6" s="20" t="str">
        <f ca="1">IFERROR(__xludf.DUMMYFUNCTION("""COMPUTED_VALUE"""),"ASUNTOS CONSTITUCIONALES, JUSTICIA Y ACUERDOS")</f>
        <v>ASUNTOS CONSTITUCIONALES, JUSTICIA Y ACUERDOS</v>
      </c>
      <c r="G6" s="20">
        <f ca="1">IFERROR(__xludf.DUMMYFUNCTION("""COMPUTED_VALUE"""),1)</f>
        <v>1</v>
      </c>
      <c r="H6" s="20">
        <f ca="1">IFERROR(__xludf.DUMMYFUNCTION("""COMPUTED_VALUE"""),1)</f>
        <v>1</v>
      </c>
      <c r="I6" s="20">
        <f ca="1">IFERROR(__xludf.DUMMYFUNCTION("""COMPUTED_VALUE"""),1)</f>
        <v>1</v>
      </c>
      <c r="J6" s="20" t="str">
        <f ca="1">IFERROR(__xludf.DUMMYFUNCTION("""COMPUTED_VALUE"""),"NC")</f>
        <v>NC</v>
      </c>
      <c r="K6" s="20" t="str">
        <f ca="1">IFERROR(__xludf.DUMMYFUNCTION("""COMPUTED_VALUE"""),"NA")</f>
        <v>NA</v>
      </c>
      <c r="L6" s="20" t="str">
        <f ca="1">IFERROR(__xludf.DUMMYFUNCTION("""COMPUTED_VALUE"""),"NA")</f>
        <v>NA</v>
      </c>
      <c r="M6" s="20" t="str">
        <f ca="1">IFERROR(__xludf.DUMMYFUNCTION("""COMPUTED_VALUE"""),"Constitución formal de la Comisión y designación de sus autoridades.")</f>
        <v>Constitución formal de la Comisión y designación de sus autoridades.</v>
      </c>
      <c r="N6" s="20" t="str">
        <f ca="1">IFERROR(__xludf.DUMMYFUNCTION("""COMPUTED_VALUE"""),"NA")</f>
        <v>NA</v>
      </c>
      <c r="O6" s="20" t="str">
        <f ca="1">IFERROR(__xludf.DUMMYFUNCTION("""COMPUTED_VALUE"""),"NO")</f>
        <v>NO</v>
      </c>
      <c r="P6" s="20">
        <f ca="1">IFERROR(__xludf.DUMMYFUNCTION("""COMPUTED_VALUE"""),0)</f>
        <v>0</v>
      </c>
      <c r="Q6" s="20" t="str">
        <f ca="1">IFERROR(__xludf.DUMMYFUNCTION("""COMPUTED_VALUE"""),"NA")</f>
        <v>NA</v>
      </c>
      <c r="R6" s="20" t="str">
        <f ca="1">IFERROR(__xludf.DUMMYFUNCTION("""COMPUTED_VALUE"""),"NA")</f>
        <v>NA</v>
      </c>
      <c r="S6" s="113" t="str">
        <f ca="1">IFERROR(__xludf.DUMMYFUNCTION("""COMPUTED_VALUE"""),"https://gld.legislaturacba.gob.ar/Publics/Actas.aspx?id=_X_Hz7uI5t8=")</f>
        <v>https://gld.legislaturacba.gob.ar/Publics/Actas.aspx?id=_X_Hz7uI5t8=</v>
      </c>
      <c r="T6" s="99">
        <f t="shared" ca="1" si="0"/>
        <v>0</v>
      </c>
    </row>
    <row r="7" spans="1:20">
      <c r="A7" s="20">
        <f ca="1">IFERROR(__xludf.DUMMYFUNCTION("""COMPUTED_VALUE"""),6)</f>
        <v>6</v>
      </c>
      <c r="B7" s="20">
        <f ca="1">IFERROR(__xludf.DUMMYFUNCTION("""COMPUTED_VALUE"""),2020)</f>
        <v>2020</v>
      </c>
      <c r="C7" s="20" t="str">
        <f ca="1">IFERROR(__xludf.DUMMYFUNCTION("""COMPUTED_VALUE"""),"PRESENCIAL")</f>
        <v>PRESENCIAL</v>
      </c>
      <c r="D7" s="96">
        <f ca="1">IFERROR(__xludf.DUMMYFUNCTION("""COMPUTED_VALUE"""),43879)</f>
        <v>43879</v>
      </c>
      <c r="E7" s="20" t="str">
        <f ca="1">IFERROR(__xludf.DUMMYFUNCTION("""COMPUTED_VALUE"""),"NO")</f>
        <v>NO</v>
      </c>
      <c r="F7" s="20" t="str">
        <f ca="1">IFERROR(__xludf.DUMMYFUNCTION("""COMPUTED_VALUE"""),"SALUD HUMANA")</f>
        <v>SALUD HUMANA</v>
      </c>
      <c r="G7" s="20">
        <f ca="1">IFERROR(__xludf.DUMMYFUNCTION("""COMPUTED_VALUE"""),1)</f>
        <v>1</v>
      </c>
      <c r="H7" s="20">
        <f ca="1">IFERROR(__xludf.DUMMYFUNCTION("""COMPUTED_VALUE"""),1)</f>
        <v>1</v>
      </c>
      <c r="I7" s="20">
        <f ca="1">IFERROR(__xludf.DUMMYFUNCTION("""COMPUTED_VALUE"""),1)</f>
        <v>1</v>
      </c>
      <c r="J7" s="20" t="str">
        <f ca="1">IFERROR(__xludf.DUMMYFUNCTION("""COMPUTED_VALUE"""),"NC")</f>
        <v>NC</v>
      </c>
      <c r="K7" s="20" t="str">
        <f ca="1">IFERROR(__xludf.DUMMYFUNCTION("""COMPUTED_VALUE"""),"NA")</f>
        <v>NA</v>
      </c>
      <c r="L7" s="20" t="str">
        <f ca="1">IFERROR(__xludf.DUMMYFUNCTION("""COMPUTED_VALUE"""),"NA")</f>
        <v>NA</v>
      </c>
      <c r="M7" s="20" t="str">
        <f ca="1">IFERROR(__xludf.DUMMYFUNCTION("""COMPUTED_VALUE"""),"Constitución formal de la Comisión y designación de sus autoridades.")</f>
        <v>Constitución formal de la Comisión y designación de sus autoridades.</v>
      </c>
      <c r="N7" s="20" t="str">
        <f ca="1">IFERROR(__xludf.DUMMYFUNCTION("""COMPUTED_VALUE"""),"NA")</f>
        <v>NA</v>
      </c>
      <c r="O7" s="20" t="str">
        <f ca="1">IFERROR(__xludf.DUMMYFUNCTION("""COMPUTED_VALUE"""),"NO")</f>
        <v>NO</v>
      </c>
      <c r="P7" s="20">
        <f ca="1">IFERROR(__xludf.DUMMYFUNCTION("""COMPUTED_VALUE"""),0)</f>
        <v>0</v>
      </c>
      <c r="Q7" s="20" t="str">
        <f ca="1">IFERROR(__xludf.DUMMYFUNCTION("""COMPUTED_VALUE"""),"NA")</f>
        <v>NA</v>
      </c>
      <c r="R7" s="20" t="str">
        <f ca="1">IFERROR(__xludf.DUMMYFUNCTION("""COMPUTED_VALUE"""),"NA")</f>
        <v>NA</v>
      </c>
      <c r="S7" s="113" t="str">
        <f ca="1">IFERROR(__xludf.DUMMYFUNCTION("""COMPUTED_VALUE"""),"https://gld.legislaturacba.gob.ar/Publics/Actas.aspx?id=RVqlQS6cGV4=")</f>
        <v>https://gld.legislaturacba.gob.ar/Publics/Actas.aspx?id=RVqlQS6cGV4=</v>
      </c>
      <c r="T7" s="99">
        <f t="shared" ca="1" si="0"/>
        <v>0</v>
      </c>
    </row>
    <row r="8" spans="1:20">
      <c r="A8" s="20">
        <f ca="1">IFERROR(__xludf.DUMMYFUNCTION("""COMPUTED_VALUE"""),7)</f>
        <v>7</v>
      </c>
      <c r="B8" s="20">
        <f ca="1">IFERROR(__xludf.DUMMYFUNCTION("""COMPUTED_VALUE"""),2020)</f>
        <v>2020</v>
      </c>
      <c r="C8" s="20" t="str">
        <f ca="1">IFERROR(__xludf.DUMMYFUNCTION("""COMPUTED_VALUE"""),"PRESENCIAL")</f>
        <v>PRESENCIAL</v>
      </c>
      <c r="D8" s="96">
        <f ca="1">IFERROR(__xludf.DUMMYFUNCTION("""COMPUTED_VALUE"""),43879)</f>
        <v>43879</v>
      </c>
      <c r="E8" s="20" t="str">
        <f ca="1">IFERROR(__xludf.DUMMYFUNCTION("""COMPUTED_VALUE"""),"NO")</f>
        <v>NO</v>
      </c>
      <c r="F8" s="20" t="str">
        <f ca="1">IFERROR(__xludf.DUMMYFUNCTION("""COMPUTED_VALUE"""),"EQUIDAD Y LUCHA CONTRA LA VIOLENCIA DE GÉNERO")</f>
        <v>EQUIDAD Y LUCHA CONTRA LA VIOLENCIA DE GÉNERO</v>
      </c>
      <c r="G8" s="20">
        <f ca="1">IFERROR(__xludf.DUMMYFUNCTION("""COMPUTED_VALUE"""),1)</f>
        <v>1</v>
      </c>
      <c r="H8" s="20">
        <f ca="1">IFERROR(__xludf.DUMMYFUNCTION("""COMPUTED_VALUE"""),1)</f>
        <v>1</v>
      </c>
      <c r="I8" s="20">
        <f ca="1">IFERROR(__xludf.DUMMYFUNCTION("""COMPUTED_VALUE"""),1)</f>
        <v>1</v>
      </c>
      <c r="J8" s="20" t="str">
        <f ca="1">IFERROR(__xludf.DUMMYFUNCTION("""COMPUTED_VALUE"""),"NC")</f>
        <v>NC</v>
      </c>
      <c r="K8" s="20" t="str">
        <f ca="1">IFERROR(__xludf.DUMMYFUNCTION("""COMPUTED_VALUE"""),"NA")</f>
        <v>NA</v>
      </c>
      <c r="L8" s="20" t="str">
        <f ca="1">IFERROR(__xludf.DUMMYFUNCTION("""COMPUTED_VALUE"""),"NA")</f>
        <v>NA</v>
      </c>
      <c r="M8" s="20" t="str">
        <f ca="1">IFERROR(__xludf.DUMMYFUNCTION("""COMPUTED_VALUE"""),"Constitución formal de la Comisión y designación de sus autoridades.")</f>
        <v>Constitución formal de la Comisión y designación de sus autoridades.</v>
      </c>
      <c r="N8" s="20" t="str">
        <f ca="1">IFERROR(__xludf.DUMMYFUNCTION("""COMPUTED_VALUE"""),"NA")</f>
        <v>NA</v>
      </c>
      <c r="O8" s="20" t="str">
        <f ca="1">IFERROR(__xludf.DUMMYFUNCTION("""COMPUTED_VALUE"""),"NO")</f>
        <v>NO</v>
      </c>
      <c r="P8" s="20">
        <f ca="1">IFERROR(__xludf.DUMMYFUNCTION("""COMPUTED_VALUE"""),0)</f>
        <v>0</v>
      </c>
      <c r="Q8" s="20" t="str">
        <f ca="1">IFERROR(__xludf.DUMMYFUNCTION("""COMPUTED_VALUE"""),"NA")</f>
        <v>NA</v>
      </c>
      <c r="R8" s="20" t="str">
        <f ca="1">IFERROR(__xludf.DUMMYFUNCTION("""COMPUTED_VALUE"""),"NA")</f>
        <v>NA</v>
      </c>
      <c r="S8" s="113" t="str">
        <f ca="1">IFERROR(__xludf.DUMMYFUNCTION("""COMPUTED_VALUE"""),"https://gld.legislaturacba.gob.ar/Publics/Actas.aspx?id=aENQzRi7rMU=")</f>
        <v>https://gld.legislaturacba.gob.ar/Publics/Actas.aspx?id=aENQzRi7rMU=</v>
      </c>
      <c r="T8" s="99">
        <f t="shared" ca="1" si="0"/>
        <v>0</v>
      </c>
    </row>
    <row r="9" spans="1:20">
      <c r="A9" s="20">
        <f ca="1">IFERROR(__xludf.DUMMYFUNCTION("""COMPUTED_VALUE"""),8)</f>
        <v>8</v>
      </c>
      <c r="B9" s="20">
        <f ca="1">IFERROR(__xludf.DUMMYFUNCTION("""COMPUTED_VALUE"""),2020)</f>
        <v>2020</v>
      </c>
      <c r="C9" s="20" t="str">
        <f ca="1">IFERROR(__xludf.DUMMYFUNCTION("""COMPUTED_VALUE"""),"PRESENCIAL")</f>
        <v>PRESENCIAL</v>
      </c>
      <c r="D9" s="96">
        <f ca="1">IFERROR(__xludf.DUMMYFUNCTION("""COMPUTED_VALUE"""),43879)</f>
        <v>43879</v>
      </c>
      <c r="E9" s="20" t="str">
        <f ca="1">IFERROR(__xludf.DUMMYFUNCTION("""COMPUTED_VALUE"""),"NO")</f>
        <v>NO</v>
      </c>
      <c r="F9" s="20" t="str">
        <f ca="1">IFERROR(__xludf.DUMMYFUNCTION("""COMPUTED_VALUE"""),"TURISMO Y SU RELACIÓN CON EL DESARROLLO REGIONAL")</f>
        <v>TURISMO Y SU RELACIÓN CON EL DESARROLLO REGIONAL</v>
      </c>
      <c r="G9" s="20">
        <f ca="1">IFERROR(__xludf.DUMMYFUNCTION("""COMPUTED_VALUE"""),1)</f>
        <v>1</v>
      </c>
      <c r="H9" s="20">
        <f ca="1">IFERROR(__xludf.DUMMYFUNCTION("""COMPUTED_VALUE"""),1)</f>
        <v>1</v>
      </c>
      <c r="I9" s="20">
        <f ca="1">IFERROR(__xludf.DUMMYFUNCTION("""COMPUTED_VALUE"""),1)</f>
        <v>1</v>
      </c>
      <c r="J9" s="20" t="str">
        <f ca="1">IFERROR(__xludf.DUMMYFUNCTION("""COMPUTED_VALUE"""),"NC")</f>
        <v>NC</v>
      </c>
      <c r="K9" s="20" t="str">
        <f ca="1">IFERROR(__xludf.DUMMYFUNCTION("""COMPUTED_VALUE"""),"NA")</f>
        <v>NA</v>
      </c>
      <c r="L9" s="20" t="str">
        <f ca="1">IFERROR(__xludf.DUMMYFUNCTION("""COMPUTED_VALUE"""),"NA")</f>
        <v>NA</v>
      </c>
      <c r="M9" s="20" t="str">
        <f ca="1">IFERROR(__xludf.DUMMYFUNCTION("""COMPUTED_VALUE"""),"Constitución formal de la Comisión y designación de sus autoridades.")</f>
        <v>Constitución formal de la Comisión y designación de sus autoridades.</v>
      </c>
      <c r="N9" s="20" t="str">
        <f ca="1">IFERROR(__xludf.DUMMYFUNCTION("""COMPUTED_VALUE"""),"NA")</f>
        <v>NA</v>
      </c>
      <c r="O9" s="20" t="str">
        <f ca="1">IFERROR(__xludf.DUMMYFUNCTION("""COMPUTED_VALUE"""),"NO")</f>
        <v>NO</v>
      </c>
      <c r="P9" s="20">
        <f ca="1">IFERROR(__xludf.DUMMYFUNCTION("""COMPUTED_VALUE"""),0)</f>
        <v>0</v>
      </c>
      <c r="Q9" s="20" t="str">
        <f ca="1">IFERROR(__xludf.DUMMYFUNCTION("""COMPUTED_VALUE"""),"NA")</f>
        <v>NA</v>
      </c>
      <c r="R9" s="20" t="str">
        <f ca="1">IFERROR(__xludf.DUMMYFUNCTION("""COMPUTED_VALUE"""),"NA")</f>
        <v>NA</v>
      </c>
      <c r="S9" s="113" t="str">
        <f ca="1">IFERROR(__xludf.DUMMYFUNCTION("""COMPUTED_VALUE"""),"https://gld.legislaturacba.gob.ar/Publics/Actas.aspx?id=JYF6CVKRM3A=")</f>
        <v>https://gld.legislaturacba.gob.ar/Publics/Actas.aspx?id=JYF6CVKRM3A=</v>
      </c>
      <c r="T9" s="99">
        <f t="shared" ca="1" si="0"/>
        <v>0</v>
      </c>
    </row>
    <row r="10" spans="1:20">
      <c r="A10" s="20">
        <f ca="1">IFERROR(__xludf.DUMMYFUNCTION("""COMPUTED_VALUE"""),9)</f>
        <v>9</v>
      </c>
      <c r="B10" s="20">
        <f ca="1">IFERROR(__xludf.DUMMYFUNCTION("""COMPUTED_VALUE"""),2020)</f>
        <v>2020</v>
      </c>
      <c r="C10" s="20" t="str">
        <f ca="1">IFERROR(__xludf.DUMMYFUNCTION("""COMPUTED_VALUE"""),"PRESENCIAL")</f>
        <v>PRESENCIAL</v>
      </c>
      <c r="D10" s="96">
        <f ca="1">IFERROR(__xludf.DUMMYFUNCTION("""COMPUTED_VALUE"""),43879)</f>
        <v>43879</v>
      </c>
      <c r="E10" s="20" t="str">
        <f ca="1">IFERROR(__xludf.DUMMYFUNCTION("""COMPUTED_VALUE"""),"NO")</f>
        <v>NO</v>
      </c>
      <c r="F10" s="20" t="str">
        <f ca="1">IFERROR(__xludf.DUMMYFUNCTION("""COMPUTED_VALUE"""),"AGRICULTURA, GANADERÍA Y RECURSOS RENOVABLES")</f>
        <v>AGRICULTURA, GANADERÍA Y RECURSOS RENOVABLES</v>
      </c>
      <c r="G10" s="20">
        <f ca="1">IFERROR(__xludf.DUMMYFUNCTION("""COMPUTED_VALUE"""),1)</f>
        <v>1</v>
      </c>
      <c r="H10" s="20">
        <f ca="1">IFERROR(__xludf.DUMMYFUNCTION("""COMPUTED_VALUE"""),1)</f>
        <v>1</v>
      </c>
      <c r="I10" s="20">
        <f ca="1">IFERROR(__xludf.DUMMYFUNCTION("""COMPUTED_VALUE"""),1)</f>
        <v>1</v>
      </c>
      <c r="J10" s="20" t="str">
        <f ca="1">IFERROR(__xludf.DUMMYFUNCTION("""COMPUTED_VALUE"""),"NC")</f>
        <v>NC</v>
      </c>
      <c r="K10" s="20" t="str">
        <f ca="1">IFERROR(__xludf.DUMMYFUNCTION("""COMPUTED_VALUE"""),"NA")</f>
        <v>NA</v>
      </c>
      <c r="L10" s="20" t="str">
        <f ca="1">IFERROR(__xludf.DUMMYFUNCTION("""COMPUTED_VALUE"""),"NA")</f>
        <v>NA</v>
      </c>
      <c r="M10" s="20" t="str">
        <f ca="1">IFERROR(__xludf.DUMMYFUNCTION("""COMPUTED_VALUE"""),"Constitución formal de la Comisión y designación de sus autoridades.")</f>
        <v>Constitución formal de la Comisión y designación de sus autoridades.</v>
      </c>
      <c r="N10" s="20" t="str">
        <f ca="1">IFERROR(__xludf.DUMMYFUNCTION("""COMPUTED_VALUE"""),"NA")</f>
        <v>NA</v>
      </c>
      <c r="O10" s="20" t="str">
        <f ca="1">IFERROR(__xludf.DUMMYFUNCTION("""COMPUTED_VALUE"""),"NO")</f>
        <v>NO</v>
      </c>
      <c r="P10" s="20">
        <f ca="1">IFERROR(__xludf.DUMMYFUNCTION("""COMPUTED_VALUE"""),0)</f>
        <v>0</v>
      </c>
      <c r="Q10" s="20" t="str">
        <f ca="1">IFERROR(__xludf.DUMMYFUNCTION("""COMPUTED_VALUE"""),"NA")</f>
        <v>NA</v>
      </c>
      <c r="R10" s="20" t="str">
        <f ca="1">IFERROR(__xludf.DUMMYFUNCTION("""COMPUTED_VALUE"""),"NA")</f>
        <v>NA</v>
      </c>
      <c r="S10" s="113" t="str">
        <f ca="1">IFERROR(__xludf.DUMMYFUNCTION("""COMPUTED_VALUE"""),"https://gld.legislaturacba.gob.ar/Publics/Actas.aspx?id=Put8LgPMkRI=")</f>
        <v>https://gld.legislaturacba.gob.ar/Publics/Actas.aspx?id=Put8LgPMkRI=</v>
      </c>
      <c r="T10" s="99">
        <f t="shared" ca="1" si="0"/>
        <v>0</v>
      </c>
    </row>
    <row r="11" spans="1:20">
      <c r="A11" s="20">
        <f ca="1">IFERROR(__xludf.DUMMYFUNCTION("""COMPUTED_VALUE"""),10)</f>
        <v>10</v>
      </c>
      <c r="B11" s="20">
        <f ca="1">IFERROR(__xludf.DUMMYFUNCTION("""COMPUTED_VALUE"""),2020)</f>
        <v>2020</v>
      </c>
      <c r="C11" s="20" t="str">
        <f ca="1">IFERROR(__xludf.DUMMYFUNCTION("""COMPUTED_VALUE"""),"PRESENCIAL")</f>
        <v>PRESENCIAL</v>
      </c>
      <c r="D11" s="96">
        <f ca="1">IFERROR(__xludf.DUMMYFUNCTION("""COMPUTED_VALUE"""),43880)</f>
        <v>43880</v>
      </c>
      <c r="E11" s="20" t="str">
        <f ca="1">IFERROR(__xludf.DUMMYFUNCTION("""COMPUTED_VALUE"""),"NO")</f>
        <v>NO</v>
      </c>
      <c r="F11" s="20" t="str">
        <f ca="1">IFERROR(__xludf.DUMMYFUNCTION("""COMPUTED_VALUE"""),"ASUNTOS INSTITUCIONALES, MUNICIPALES Y COMUNALES")</f>
        <v>ASUNTOS INSTITUCIONALES, MUNICIPALES Y COMUNALES</v>
      </c>
      <c r="G11" s="20">
        <f ca="1">IFERROR(__xludf.DUMMYFUNCTION("""COMPUTED_VALUE"""),1)</f>
        <v>1</v>
      </c>
      <c r="H11" s="20">
        <f ca="1">IFERROR(__xludf.DUMMYFUNCTION("""COMPUTED_VALUE"""),1)</f>
        <v>1</v>
      </c>
      <c r="I11" s="20">
        <f ca="1">IFERROR(__xludf.DUMMYFUNCTION("""COMPUTED_VALUE"""),1)</f>
        <v>1</v>
      </c>
      <c r="J11" s="20" t="str">
        <f ca="1">IFERROR(__xludf.DUMMYFUNCTION("""COMPUTED_VALUE"""),"NC")</f>
        <v>NC</v>
      </c>
      <c r="K11" s="20" t="str">
        <f ca="1">IFERROR(__xludf.DUMMYFUNCTION("""COMPUTED_VALUE"""),"NA")</f>
        <v>NA</v>
      </c>
      <c r="L11" s="20" t="str">
        <f ca="1">IFERROR(__xludf.DUMMYFUNCTION("""COMPUTED_VALUE"""),"NA")</f>
        <v>NA</v>
      </c>
      <c r="M11" s="20" t="str">
        <f ca="1">IFERROR(__xludf.DUMMYFUNCTION("""COMPUTED_VALUE"""),"Constitución formal de la Comisión y designación de sus autoridades.")</f>
        <v>Constitución formal de la Comisión y designación de sus autoridades.</v>
      </c>
      <c r="N11" s="20" t="str">
        <f ca="1">IFERROR(__xludf.DUMMYFUNCTION("""COMPUTED_VALUE"""),"NA")</f>
        <v>NA</v>
      </c>
      <c r="O11" s="20" t="str">
        <f ca="1">IFERROR(__xludf.DUMMYFUNCTION("""COMPUTED_VALUE"""),"NO")</f>
        <v>NO</v>
      </c>
      <c r="P11" s="20">
        <f ca="1">IFERROR(__xludf.DUMMYFUNCTION("""COMPUTED_VALUE"""),0)</f>
        <v>0</v>
      </c>
      <c r="Q11" s="20" t="str">
        <f ca="1">IFERROR(__xludf.DUMMYFUNCTION("""COMPUTED_VALUE"""),"NA")</f>
        <v>NA</v>
      </c>
      <c r="R11" s="20" t="str">
        <f ca="1">IFERROR(__xludf.DUMMYFUNCTION("""COMPUTED_VALUE"""),"NA")</f>
        <v>NA</v>
      </c>
      <c r="S11" s="113" t="str">
        <f ca="1">IFERROR(__xludf.DUMMYFUNCTION("""COMPUTED_VALUE"""),"https://gld.legislaturacba.gob.ar/Publics/Actas.aspx?id=X9-Az1nuIOo=")</f>
        <v>https://gld.legislaturacba.gob.ar/Publics/Actas.aspx?id=X9-Az1nuIOo=</v>
      </c>
      <c r="T11" s="99">
        <f t="shared" ca="1" si="0"/>
        <v>0</v>
      </c>
    </row>
    <row r="12" spans="1:20">
      <c r="A12" s="20">
        <f ca="1">IFERROR(__xludf.DUMMYFUNCTION("""COMPUTED_VALUE"""),11)</f>
        <v>11</v>
      </c>
      <c r="B12" s="20">
        <f ca="1">IFERROR(__xludf.DUMMYFUNCTION("""COMPUTED_VALUE"""),2020)</f>
        <v>2020</v>
      </c>
      <c r="C12" s="20" t="str">
        <f ca="1">IFERROR(__xludf.DUMMYFUNCTION("""COMPUTED_VALUE"""),"PRESENCIAL")</f>
        <v>PRESENCIAL</v>
      </c>
      <c r="D12" s="96">
        <f ca="1">IFERROR(__xludf.DUMMYFUNCTION("""COMPUTED_VALUE"""),43880)</f>
        <v>43880</v>
      </c>
      <c r="E12" s="20" t="str">
        <f ca="1">IFERROR(__xludf.DUMMYFUNCTION("""COMPUTED_VALUE"""),"NO")</f>
        <v>NO</v>
      </c>
      <c r="F12" s="20" t="str">
        <f ca="1">IFERROR(__xludf.DUMMYFUNCTION("""COMPUTED_VALUE"""),"ECONOMÍA SOCIAL, COOPERATIVAS Y MUTUALES")</f>
        <v>ECONOMÍA SOCIAL, COOPERATIVAS Y MUTUALES</v>
      </c>
      <c r="G12" s="20">
        <f ca="1">IFERROR(__xludf.DUMMYFUNCTION("""COMPUTED_VALUE"""),1)</f>
        <v>1</v>
      </c>
      <c r="H12" s="20">
        <f ca="1">IFERROR(__xludf.DUMMYFUNCTION("""COMPUTED_VALUE"""),1)</f>
        <v>1</v>
      </c>
      <c r="I12" s="20">
        <f ca="1">IFERROR(__xludf.DUMMYFUNCTION("""COMPUTED_VALUE"""),1)</f>
        <v>1</v>
      </c>
      <c r="J12" s="20" t="str">
        <f ca="1">IFERROR(__xludf.DUMMYFUNCTION("""COMPUTED_VALUE"""),"NC")</f>
        <v>NC</v>
      </c>
      <c r="K12" s="20" t="str">
        <f ca="1">IFERROR(__xludf.DUMMYFUNCTION("""COMPUTED_VALUE"""),"NA")</f>
        <v>NA</v>
      </c>
      <c r="L12" s="20" t="str">
        <f ca="1">IFERROR(__xludf.DUMMYFUNCTION("""COMPUTED_VALUE"""),"NA")</f>
        <v>NA</v>
      </c>
      <c r="M12" s="20" t="str">
        <f ca="1">IFERROR(__xludf.DUMMYFUNCTION("""COMPUTED_VALUE"""),"Constitución formal de la Comisión y designación de sus autoridades.")</f>
        <v>Constitución formal de la Comisión y designación de sus autoridades.</v>
      </c>
      <c r="N12" s="20" t="str">
        <f ca="1">IFERROR(__xludf.DUMMYFUNCTION("""COMPUTED_VALUE"""),"NA")</f>
        <v>NA</v>
      </c>
      <c r="O12" s="20" t="str">
        <f ca="1">IFERROR(__xludf.DUMMYFUNCTION("""COMPUTED_VALUE"""),"NO")</f>
        <v>NO</v>
      </c>
      <c r="P12" s="20">
        <f ca="1">IFERROR(__xludf.DUMMYFUNCTION("""COMPUTED_VALUE"""),0)</f>
        <v>0</v>
      </c>
      <c r="Q12" s="20" t="str">
        <f ca="1">IFERROR(__xludf.DUMMYFUNCTION("""COMPUTED_VALUE"""),"NA")</f>
        <v>NA</v>
      </c>
      <c r="R12" s="20" t="str">
        <f ca="1">IFERROR(__xludf.DUMMYFUNCTION("""COMPUTED_VALUE"""),"NA")</f>
        <v>NA</v>
      </c>
      <c r="S12" s="113" t="str">
        <f ca="1">IFERROR(__xludf.DUMMYFUNCTION("""COMPUTED_VALUE"""),"https://gld.legislaturacba.gob.ar/Publics/Actas.aspx?id=t3crsEi3xa8=")</f>
        <v>https://gld.legislaturacba.gob.ar/Publics/Actas.aspx?id=t3crsEi3xa8=</v>
      </c>
      <c r="T12" s="99">
        <f t="shared" ca="1" si="0"/>
        <v>0</v>
      </c>
    </row>
    <row r="13" spans="1:20">
      <c r="A13" s="20">
        <f ca="1">IFERROR(__xludf.DUMMYFUNCTION("""COMPUTED_VALUE"""),12)</f>
        <v>12</v>
      </c>
      <c r="B13" s="20">
        <f ca="1">IFERROR(__xludf.DUMMYFUNCTION("""COMPUTED_VALUE"""),2020)</f>
        <v>2020</v>
      </c>
      <c r="C13" s="20" t="str">
        <f ca="1">IFERROR(__xludf.DUMMYFUNCTION("""COMPUTED_VALUE"""),"PRESENCIAL")</f>
        <v>PRESENCIAL</v>
      </c>
      <c r="D13" s="96">
        <f ca="1">IFERROR(__xludf.DUMMYFUNCTION("""COMPUTED_VALUE"""),43880)</f>
        <v>43880</v>
      </c>
      <c r="E13" s="20" t="str">
        <f ca="1">IFERROR(__xludf.DUMMYFUNCTION("""COMPUTED_VALUE"""),"NO")</f>
        <v>NO</v>
      </c>
      <c r="F13" s="20" t="str">
        <f ca="1">IFERROR(__xludf.DUMMYFUNCTION("""COMPUTED_VALUE"""),"EDUCACIÓN, CULTURA, CIENCIA, TECNOLOGÍA E INFORMÁTICA")</f>
        <v>EDUCACIÓN, CULTURA, CIENCIA, TECNOLOGÍA E INFORMÁTICA</v>
      </c>
      <c r="G13" s="20">
        <f ca="1">IFERROR(__xludf.DUMMYFUNCTION("""COMPUTED_VALUE"""),1)</f>
        <v>1</v>
      </c>
      <c r="H13" s="20">
        <f ca="1">IFERROR(__xludf.DUMMYFUNCTION("""COMPUTED_VALUE"""),1)</f>
        <v>1</v>
      </c>
      <c r="I13" s="20">
        <f ca="1">IFERROR(__xludf.DUMMYFUNCTION("""COMPUTED_VALUE"""),1)</f>
        <v>1</v>
      </c>
      <c r="J13" s="20" t="str">
        <f ca="1">IFERROR(__xludf.DUMMYFUNCTION("""COMPUTED_VALUE"""),"NC")</f>
        <v>NC</v>
      </c>
      <c r="K13" s="20" t="str">
        <f ca="1">IFERROR(__xludf.DUMMYFUNCTION("""COMPUTED_VALUE"""),"NA")</f>
        <v>NA</v>
      </c>
      <c r="L13" s="20" t="str">
        <f ca="1">IFERROR(__xludf.DUMMYFUNCTION("""COMPUTED_VALUE"""),"NA")</f>
        <v>NA</v>
      </c>
      <c r="M13" s="20" t="str">
        <f ca="1">IFERROR(__xludf.DUMMYFUNCTION("""COMPUTED_VALUE"""),"Constitución formal de la Comisión y designación de sus autoridades.")</f>
        <v>Constitución formal de la Comisión y designación de sus autoridades.</v>
      </c>
      <c r="N13" s="20" t="str">
        <f ca="1">IFERROR(__xludf.DUMMYFUNCTION("""COMPUTED_VALUE"""),"NA")</f>
        <v>NA</v>
      </c>
      <c r="O13" s="20" t="str">
        <f ca="1">IFERROR(__xludf.DUMMYFUNCTION("""COMPUTED_VALUE"""),"NO")</f>
        <v>NO</v>
      </c>
      <c r="P13" s="20">
        <f ca="1">IFERROR(__xludf.DUMMYFUNCTION("""COMPUTED_VALUE"""),0)</f>
        <v>0</v>
      </c>
      <c r="Q13" s="20" t="str">
        <f ca="1">IFERROR(__xludf.DUMMYFUNCTION("""COMPUTED_VALUE"""),"NA")</f>
        <v>NA</v>
      </c>
      <c r="R13" s="20" t="str">
        <f ca="1">IFERROR(__xludf.DUMMYFUNCTION("""COMPUTED_VALUE"""),"NA")</f>
        <v>NA</v>
      </c>
      <c r="S13" s="113" t="str">
        <f ca="1">IFERROR(__xludf.DUMMYFUNCTION("""COMPUTED_VALUE"""),"https://gld.legislaturacba.gob.ar/Publics/Actas.aspx?id=8o7mfejY_uA=")</f>
        <v>https://gld.legislaturacba.gob.ar/Publics/Actas.aspx?id=8o7mfejY_uA=</v>
      </c>
      <c r="T13" s="99">
        <f t="shared" ca="1" si="0"/>
        <v>0</v>
      </c>
    </row>
    <row r="14" spans="1:20">
      <c r="A14" s="20">
        <f ca="1">IFERROR(__xludf.DUMMYFUNCTION("""COMPUTED_VALUE"""),13)</f>
        <v>13</v>
      </c>
      <c r="B14" s="20">
        <f ca="1">IFERROR(__xludf.DUMMYFUNCTION("""COMPUTED_VALUE"""),2020)</f>
        <v>2020</v>
      </c>
      <c r="C14" s="20" t="str">
        <f ca="1">IFERROR(__xludf.DUMMYFUNCTION("""COMPUTED_VALUE"""),"PRESENCIAL")</f>
        <v>PRESENCIAL</v>
      </c>
      <c r="D14" s="96">
        <f ca="1">IFERROR(__xludf.DUMMYFUNCTION("""COMPUTED_VALUE"""),43880)</f>
        <v>43880</v>
      </c>
      <c r="E14" s="20" t="str">
        <f ca="1">IFERROR(__xludf.DUMMYFUNCTION("""COMPUTED_VALUE"""),"NO")</f>
        <v>NO</v>
      </c>
      <c r="F14" s="20" t="str">
        <f ca="1">IFERROR(__xludf.DUMMYFUNCTION("""COMPUTED_VALUE"""),"LEGISLACIÓN GENERAL")</f>
        <v>LEGISLACIÓN GENERAL</v>
      </c>
      <c r="G14" s="20">
        <f ca="1">IFERROR(__xludf.DUMMYFUNCTION("""COMPUTED_VALUE"""),1)</f>
        <v>1</v>
      </c>
      <c r="H14" s="20">
        <f ca="1">IFERROR(__xludf.DUMMYFUNCTION("""COMPUTED_VALUE"""),1)</f>
        <v>1</v>
      </c>
      <c r="I14" s="20">
        <f ca="1">IFERROR(__xludf.DUMMYFUNCTION("""COMPUTED_VALUE"""),1)</f>
        <v>1</v>
      </c>
      <c r="J14" s="20" t="str">
        <f ca="1">IFERROR(__xludf.DUMMYFUNCTION("""COMPUTED_VALUE"""),"NC")</f>
        <v>NC</v>
      </c>
      <c r="K14" s="20" t="str">
        <f ca="1">IFERROR(__xludf.DUMMYFUNCTION("""COMPUTED_VALUE"""),"NA")</f>
        <v>NA</v>
      </c>
      <c r="L14" s="20" t="str">
        <f ca="1">IFERROR(__xludf.DUMMYFUNCTION("""COMPUTED_VALUE"""),"NA")</f>
        <v>NA</v>
      </c>
      <c r="M14" s="20" t="str">
        <f ca="1">IFERROR(__xludf.DUMMYFUNCTION("""COMPUTED_VALUE"""),"Constitución formal de la Comisión y designación de sus autoridades.")</f>
        <v>Constitución formal de la Comisión y designación de sus autoridades.</v>
      </c>
      <c r="N14" s="20" t="str">
        <f ca="1">IFERROR(__xludf.DUMMYFUNCTION("""COMPUTED_VALUE"""),"NA")</f>
        <v>NA</v>
      </c>
      <c r="O14" s="20" t="str">
        <f ca="1">IFERROR(__xludf.DUMMYFUNCTION("""COMPUTED_VALUE"""),"NO")</f>
        <v>NO</v>
      </c>
      <c r="P14" s="20">
        <f ca="1">IFERROR(__xludf.DUMMYFUNCTION("""COMPUTED_VALUE"""),0)</f>
        <v>0</v>
      </c>
      <c r="Q14" s="20" t="str">
        <f ca="1">IFERROR(__xludf.DUMMYFUNCTION("""COMPUTED_VALUE"""),"NA")</f>
        <v>NA</v>
      </c>
      <c r="R14" s="20" t="str">
        <f ca="1">IFERROR(__xludf.DUMMYFUNCTION("""COMPUTED_VALUE"""),"NA")</f>
        <v>NA</v>
      </c>
      <c r="S14" s="113" t="str">
        <f ca="1">IFERROR(__xludf.DUMMYFUNCTION("""COMPUTED_VALUE"""),"https://gld.legislaturacba.gob.ar/Publics/Actas.aspx?id=r1pdSVzNQnk=")</f>
        <v>https://gld.legislaturacba.gob.ar/Publics/Actas.aspx?id=r1pdSVzNQnk=</v>
      </c>
      <c r="T14" s="99">
        <f t="shared" ca="1" si="0"/>
        <v>0</v>
      </c>
    </row>
    <row r="15" spans="1:20">
      <c r="A15" s="20">
        <f ca="1">IFERROR(__xludf.DUMMYFUNCTION("""COMPUTED_VALUE"""),14)</f>
        <v>14</v>
      </c>
      <c r="B15" s="20">
        <f ca="1">IFERROR(__xludf.DUMMYFUNCTION("""COMPUTED_VALUE"""),2020)</f>
        <v>2020</v>
      </c>
      <c r="C15" s="20" t="str">
        <f ca="1">IFERROR(__xludf.DUMMYFUNCTION("""COMPUTED_VALUE"""),"PRESENCIAL")</f>
        <v>PRESENCIAL</v>
      </c>
      <c r="D15" s="96">
        <f ca="1">IFERROR(__xludf.DUMMYFUNCTION("""COMPUTED_VALUE"""),43880)</f>
        <v>43880</v>
      </c>
      <c r="E15" s="20" t="str">
        <f ca="1">IFERROR(__xludf.DUMMYFUNCTION("""COMPUTED_VALUE"""),"NO")</f>
        <v>NO</v>
      </c>
      <c r="F15" s="20" t="str">
        <f ca="1">IFERROR(__xludf.DUMMYFUNCTION("""COMPUTED_VALUE"""),"ECONOMÍA, PRESUPUESTO, GESTIÓN PÚBLICA E INNOVACIÓN")</f>
        <v>ECONOMÍA, PRESUPUESTO, GESTIÓN PÚBLICA E INNOVACIÓN</v>
      </c>
      <c r="G15" s="20">
        <f ca="1">IFERROR(__xludf.DUMMYFUNCTION("""COMPUTED_VALUE"""),1)</f>
        <v>1</v>
      </c>
      <c r="H15" s="20">
        <f ca="1">IFERROR(__xludf.DUMMYFUNCTION("""COMPUTED_VALUE"""),1)</f>
        <v>1</v>
      </c>
      <c r="I15" s="20">
        <f ca="1">IFERROR(__xludf.DUMMYFUNCTION("""COMPUTED_VALUE"""),1)</f>
        <v>1</v>
      </c>
      <c r="J15" s="20" t="str">
        <f ca="1">IFERROR(__xludf.DUMMYFUNCTION("""COMPUTED_VALUE"""),"NC")</f>
        <v>NC</v>
      </c>
      <c r="K15" s="20" t="str">
        <f ca="1">IFERROR(__xludf.DUMMYFUNCTION("""COMPUTED_VALUE"""),"NA")</f>
        <v>NA</v>
      </c>
      <c r="L15" s="20" t="str">
        <f ca="1">IFERROR(__xludf.DUMMYFUNCTION("""COMPUTED_VALUE"""),"NA")</f>
        <v>NA</v>
      </c>
      <c r="M15" s="20" t="str">
        <f ca="1">IFERROR(__xludf.DUMMYFUNCTION("""COMPUTED_VALUE"""),"Constitución formal de la Comisión y designación de sus autoridades.")</f>
        <v>Constitución formal de la Comisión y designación de sus autoridades.</v>
      </c>
      <c r="N15" s="20" t="str">
        <f ca="1">IFERROR(__xludf.DUMMYFUNCTION("""COMPUTED_VALUE"""),"NA")</f>
        <v>NA</v>
      </c>
      <c r="O15" s="20" t="str">
        <f ca="1">IFERROR(__xludf.DUMMYFUNCTION("""COMPUTED_VALUE"""),"NO")</f>
        <v>NO</v>
      </c>
      <c r="P15" s="20">
        <f ca="1">IFERROR(__xludf.DUMMYFUNCTION("""COMPUTED_VALUE"""),0)</f>
        <v>0</v>
      </c>
      <c r="Q15" s="20" t="str">
        <f ca="1">IFERROR(__xludf.DUMMYFUNCTION("""COMPUTED_VALUE"""),"NA")</f>
        <v>NA</v>
      </c>
      <c r="R15" s="20" t="str">
        <f ca="1">IFERROR(__xludf.DUMMYFUNCTION("""COMPUTED_VALUE"""),"NA")</f>
        <v>NA</v>
      </c>
      <c r="S15" s="113" t="str">
        <f ca="1">IFERROR(__xludf.DUMMYFUNCTION("""COMPUTED_VALUE"""),"https://gld.legislaturacba.gob.ar/Publics/Actas.aspx?id=JNNsy1gVu-8=")</f>
        <v>https://gld.legislaturacba.gob.ar/Publics/Actas.aspx?id=JNNsy1gVu-8=</v>
      </c>
      <c r="T15" s="99">
        <f t="shared" ca="1" si="0"/>
        <v>0</v>
      </c>
    </row>
    <row r="16" spans="1:20">
      <c r="A16" s="20">
        <f ca="1">IFERROR(__xludf.DUMMYFUNCTION("""COMPUTED_VALUE"""),15)</f>
        <v>15</v>
      </c>
      <c r="B16" s="20">
        <f ca="1">IFERROR(__xludf.DUMMYFUNCTION("""COMPUTED_VALUE"""),2020)</f>
        <v>2020</v>
      </c>
      <c r="C16" s="20" t="str">
        <f ca="1">IFERROR(__xludf.DUMMYFUNCTION("""COMPUTED_VALUE"""),"PRESENCIAL")</f>
        <v>PRESENCIAL</v>
      </c>
      <c r="D16" s="96">
        <f ca="1">IFERROR(__xludf.DUMMYFUNCTION("""COMPUTED_VALUE"""),43887)</f>
        <v>43887</v>
      </c>
      <c r="E16" s="20" t="str">
        <f ca="1">IFERROR(__xludf.DUMMYFUNCTION("""COMPUTED_VALUE"""),"SI")</f>
        <v>SI</v>
      </c>
      <c r="F16" s="20" t="str">
        <f ca="1">IFERROR(__xludf.DUMMYFUNCTION("""COMPUTED_VALUE"""),"SERVICIOS PÚBLICOS;ECONOMÍA, PRESUPUESTO, GESTIÓN PÚBLICA E INNOVACIÓN")</f>
        <v>SERVICIOS PÚBLICOS;ECONOMÍA, PRESUPUESTO, GESTIÓN PÚBLICA E INNOVACIÓN</v>
      </c>
      <c r="G16" s="20">
        <f ca="1">IFERROR(__xludf.DUMMYFUNCTION("""COMPUTED_VALUE"""),2)</f>
        <v>2</v>
      </c>
      <c r="H16" s="20">
        <f ca="1">IFERROR(__xludf.DUMMYFUNCTION("""COMPUTED_VALUE"""),1)</f>
        <v>1</v>
      </c>
      <c r="I16" s="20">
        <f ca="1">IFERROR(__xludf.DUMMYFUNCTION("""COMPUTED_VALUE"""),1)</f>
        <v>1</v>
      </c>
      <c r="J16" s="20" t="str">
        <f ca="1">IFERROR(__xludf.DUMMYFUNCTION("""COMPUTED_VALUE"""),"Ley")</f>
        <v>Ley</v>
      </c>
      <c r="K16" s="20">
        <f ca="1">IFERROR(__xludf.DUMMYFUNCTION("""COMPUTED_VALUE"""),29850)</f>
        <v>29850</v>
      </c>
      <c r="L16" s="20" t="str">
        <f ca="1">IFERROR(__xludf.DUMMYFUNCTION("""COMPUTED_VALUE"""),"Poder Ejecutivo Provincial")</f>
        <v>Poder Ejecutivo Provincial</v>
      </c>
      <c r="M16" s="20" t="str">
        <f ca="1">IFERROR(__xludf.DUMMYFUNCTION("""COMPUTED_VALUE"""),"Proyecto de Ley Nº 29850/E/20, aprobando el convenio suscripto entre la Provincia de Córdoba, la Empresa Provincial de Energía de Córdoba y la Municipalidad de la ciudad de Córdoba, para la promoción, desarrollo y ejecución de planes de normalización de a"&amp;"lumbrado público de la ciudad capital, celebrado el día 23 de diciembre de 2019.")</f>
        <v>Proyecto de Ley Nº 29850/E/20, aprobando el convenio suscripto entre la Provincia de Córdoba, la Empresa Provincial de Energía de Córdoba y la Municipalidad de la ciudad de Córdoba, para la promoción, desarrollo y ejecución de planes de normalización de alumbrado público de la ciudad capital, celebrado el día 23 de diciembre de 2019.</v>
      </c>
      <c r="N16" s="20" t="str">
        <f ca="1">IFERROR(__xludf.DUMMYFUNCTION("""COMPUTED_VALUE"""),"SI")</f>
        <v>SI</v>
      </c>
      <c r="O16" s="20" t="str">
        <f ca="1">IFERROR(__xludf.DUMMYFUNCTION("""COMPUTED_VALUE"""),"NO")</f>
        <v>NO</v>
      </c>
      <c r="P16" s="20">
        <f ca="1">IFERROR(__xludf.DUMMYFUNCTION("""COMPUTED_VALUE"""),0)</f>
        <v>0</v>
      </c>
      <c r="Q16" s="20" t="str">
        <f ca="1">IFERROR(__xludf.DUMMYFUNCTION("""COMPUTED_VALUE"""),"NA")</f>
        <v>NA</v>
      </c>
      <c r="R16" s="20" t="str">
        <f ca="1">IFERROR(__xludf.DUMMYFUNCTION("""COMPUTED_VALUE"""),"NA")</f>
        <v>NA</v>
      </c>
      <c r="S16" s="113" t="str">
        <f ca="1">IFERROR(__xludf.DUMMYFUNCTION("""COMPUTED_VALUE"""),"https://gld.legislaturacba.gob.ar/Publics/Actas.aspx?id=LkDsrjpMKeM=;https://gld.legislaturacba.gob.ar/Publics/Actas.aspx?id=Axm3py3JWEs=")</f>
        <v>https://gld.legislaturacba.gob.ar/Publics/Actas.aspx?id=LkDsrjpMKeM=;https://gld.legislaturacba.gob.ar/Publics/Actas.aspx?id=Axm3py3JWEs=</v>
      </c>
      <c r="T16" s="99">
        <f t="shared" ca="1" si="0"/>
        <v>0</v>
      </c>
    </row>
    <row r="17" spans="1:20">
      <c r="A17" s="20">
        <f ca="1">IFERROR(__xludf.DUMMYFUNCTION("""COMPUTED_VALUE"""),16)</f>
        <v>16</v>
      </c>
      <c r="B17" s="20">
        <f ca="1">IFERROR(__xludf.DUMMYFUNCTION("""COMPUTED_VALUE"""),2020)</f>
        <v>2020</v>
      </c>
      <c r="C17" s="20" t="str">
        <f ca="1">IFERROR(__xludf.DUMMYFUNCTION("""COMPUTED_VALUE"""),"PRESENCIAL")</f>
        <v>PRESENCIAL</v>
      </c>
      <c r="D17" s="96">
        <f ca="1">IFERROR(__xludf.DUMMYFUNCTION("""COMPUTED_VALUE"""),43893)</f>
        <v>43893</v>
      </c>
      <c r="E17" s="20" t="str">
        <f ca="1">IFERROR(__xludf.DUMMYFUNCTION("""COMPUTED_VALUE"""),"SI")</f>
        <v>SI</v>
      </c>
      <c r="F17" s="20" t="str">
        <f ca="1">IFERROR(__xludf.DUMMYFUNCTION("""COMPUTED_VALUE"""),"EDUCACIÓN, CULTURA, CIENCIA, TECNOLOGÍA E INFORMÁTICA;LEGISLACIÓN GENERAL")</f>
        <v>EDUCACIÓN, CULTURA, CIENCIA, TECNOLOGÍA E INFORMÁTICA;LEGISLACIÓN GENERAL</v>
      </c>
      <c r="G17" s="20">
        <f ca="1">IFERROR(__xludf.DUMMYFUNCTION("""COMPUTED_VALUE"""),2)</f>
        <v>2</v>
      </c>
      <c r="H17" s="20">
        <f ca="1">IFERROR(__xludf.DUMMYFUNCTION("""COMPUTED_VALUE"""),1)</f>
        <v>1</v>
      </c>
      <c r="I17" s="20">
        <f ca="1">IFERROR(__xludf.DUMMYFUNCTION("""COMPUTED_VALUE"""),1)</f>
        <v>1</v>
      </c>
      <c r="J17" s="20" t="str">
        <f ca="1">IFERROR(__xludf.DUMMYFUNCTION("""COMPUTED_VALUE"""),"Ley")</f>
        <v>Ley</v>
      </c>
      <c r="K17" s="20">
        <f ca="1">IFERROR(__xludf.DUMMYFUNCTION("""COMPUTED_VALUE"""),29860)</f>
        <v>29860</v>
      </c>
      <c r="L17" s="20" t="str">
        <f ca="1">IFERROR(__xludf.DUMMYFUNCTION("""COMPUTED_VALUE"""),"Poder Legislativo Provincial")</f>
        <v>Poder Legislativo Provincial</v>
      </c>
      <c r="M17" s="20" t="str">
        <f ca="1">IFERROR(__xludf.DUMMYFUNCTION("""COMPUTED_VALUE"""),"Proyecto de Ley Nº 29860/L/20, disponiendo acciones conmemorativas del proceso político, institucional y constitucional liderado por el prócer argentino Brigadier General Juan Bautista Bustos.")</f>
        <v>Proyecto de Ley Nº 29860/L/20, disponiendo acciones conmemorativas del proceso político, institucional y constitucional liderado por el prócer argentino Brigadier General Juan Bautista Bustos.</v>
      </c>
      <c r="N17" s="20" t="str">
        <f ca="1">IFERROR(__xludf.DUMMYFUNCTION("""COMPUTED_VALUE"""),"NO")</f>
        <v>NO</v>
      </c>
      <c r="O17" s="20" t="str">
        <f ca="1">IFERROR(__xludf.DUMMYFUNCTION("""COMPUTED_VALUE"""),"SI")</f>
        <v>SI</v>
      </c>
      <c r="P17" s="20">
        <f ca="1">IFERROR(__xludf.DUMMYFUNCTION("""COMPUTED_VALUE"""),1)</f>
        <v>1</v>
      </c>
      <c r="Q17" s="20" t="str">
        <f ca="1">IFERROR(__xludf.DUMMYFUNCTION("""COMPUTED_VALUE"""),"NA")</f>
        <v>NA</v>
      </c>
      <c r="R17" s="20" t="str">
        <f ca="1">IFERROR(__xludf.DUMMYFUNCTION("""COMPUTED_VALUE"""),"NA")</f>
        <v>NA</v>
      </c>
      <c r="S17" s="113" t="str">
        <f ca="1">IFERROR(__xludf.DUMMYFUNCTION("""COMPUTED_VALUE"""),"https://gld.legislaturacba.gob.ar/Publics/Actas.aspx?id=jqYlfP5169I=;https://gld.legislaturacba.gob.ar/Publics/Actas.aspx?id=IISzCSxObi4=")</f>
        <v>https://gld.legislaturacba.gob.ar/Publics/Actas.aspx?id=jqYlfP5169I=;https://gld.legislaturacba.gob.ar/Publics/Actas.aspx?id=IISzCSxObi4=</v>
      </c>
      <c r="T17" s="99">
        <f t="shared" ca="1" si="0"/>
        <v>0</v>
      </c>
    </row>
    <row r="18" spans="1:20">
      <c r="A18" s="20">
        <f ca="1">IFERROR(__xludf.DUMMYFUNCTION("""COMPUTED_VALUE"""),17)</f>
        <v>17</v>
      </c>
      <c r="B18" s="20">
        <f ca="1">IFERROR(__xludf.DUMMYFUNCTION("""COMPUTED_VALUE"""),2020)</f>
        <v>2020</v>
      </c>
      <c r="C18" s="20" t="str">
        <f ca="1">IFERROR(__xludf.DUMMYFUNCTION("""COMPUTED_VALUE"""),"PRESENCIAL")</f>
        <v>PRESENCIAL</v>
      </c>
      <c r="D18" s="96">
        <f ca="1">IFERROR(__xludf.DUMMYFUNCTION("""COMPUTED_VALUE"""),43893)</f>
        <v>43893</v>
      </c>
      <c r="E18" s="20" t="str">
        <f ca="1">IFERROR(__xludf.DUMMYFUNCTION("""COMPUTED_VALUE"""),"NO")</f>
        <v>NO</v>
      </c>
      <c r="F18" s="20" t="str">
        <f ca="1">IFERROR(__xludf.DUMMYFUNCTION("""COMPUTED_VALUE"""),"ASUNTOS CONSTITUCIONALES, JUSTICIA Y ACUERDOS")</f>
        <v>ASUNTOS CONSTITUCIONALES, JUSTICIA Y ACUERDOS</v>
      </c>
      <c r="G18" s="20">
        <f ca="1">IFERROR(__xludf.DUMMYFUNCTION("""COMPUTED_VALUE"""),1)</f>
        <v>1</v>
      </c>
      <c r="H18" s="20">
        <f ca="1">IFERROR(__xludf.DUMMYFUNCTION("""COMPUTED_VALUE"""),1)</f>
        <v>1</v>
      </c>
      <c r="I18" s="20">
        <f ca="1">IFERROR(__xludf.DUMMYFUNCTION("""COMPUTED_VALUE"""),1)</f>
        <v>1</v>
      </c>
      <c r="J18" s="20" t="str">
        <f ca="1">IFERROR(__xludf.DUMMYFUNCTION("""COMPUTED_VALUE"""),"Pliego")</f>
        <v>Pliego</v>
      </c>
      <c r="K18" s="20">
        <f ca="1">IFERROR(__xludf.DUMMYFUNCTION("""COMPUTED_VALUE"""),29849)</f>
        <v>29849</v>
      </c>
      <c r="L18" s="20" t="str">
        <f ca="1">IFERROR(__xludf.DUMMYFUNCTION("""COMPUTED_VALUE"""),"Poder Ejecutivo Provincial")</f>
        <v>Poder Ejecutivo Provincial</v>
      </c>
      <c r="M18" s="20" t="str">
        <f ca="1">IFERROR(__xludf.DUMMYFUNCTION("""COMPUTED_VALUE"""),"Solicitando acuerdo para designar, en los términos del Art. 15 de la Ley Nº 9050, a la Contadora Élida Cristina Ruiz como síndico titular por el sector público de la Agencia Córdoba De Inversión Y Financiamiento SEM.")</f>
        <v>Solicitando acuerdo para designar, en los términos del Art. 15 de la Ley Nº 9050, a la Contadora Élida Cristina Ruiz como síndico titular por el sector público de la Agencia Córdoba De Inversión Y Financiamiento SEM.</v>
      </c>
      <c r="N18" s="20" t="str">
        <f ca="1">IFERROR(__xludf.DUMMYFUNCTION("""COMPUTED_VALUE"""),"SI")</f>
        <v>SI</v>
      </c>
      <c r="O18" s="20" t="str">
        <f ca="1">IFERROR(__xludf.DUMMYFUNCTION("""COMPUTED_VALUE"""),"NO")</f>
        <v>NO</v>
      </c>
      <c r="P18" s="20">
        <f ca="1">IFERROR(__xludf.DUMMYFUNCTION("""COMPUTED_VALUE"""),0)</f>
        <v>0</v>
      </c>
      <c r="Q18" s="20" t="str">
        <f ca="1">IFERROR(__xludf.DUMMYFUNCTION("""COMPUTED_VALUE"""),"NA")</f>
        <v>NA</v>
      </c>
      <c r="R18" s="20" t="str">
        <f ca="1">IFERROR(__xludf.DUMMYFUNCTION("""COMPUTED_VALUE"""),"NA")</f>
        <v>NA</v>
      </c>
      <c r="S18" s="113" t="str">
        <f ca="1">IFERROR(__xludf.DUMMYFUNCTION("""COMPUTED_VALUE"""),"https://gld.legislaturacba.gob.ar/Publics/Actas.aspx?id=gnSVSGHX6rc=")</f>
        <v>https://gld.legislaturacba.gob.ar/Publics/Actas.aspx?id=gnSVSGHX6rc=</v>
      </c>
      <c r="T18" s="99">
        <f t="shared" ca="1" si="0"/>
        <v>0</v>
      </c>
    </row>
    <row r="19" spans="1:20">
      <c r="A19" s="20">
        <f ca="1">IFERROR(__xludf.DUMMYFUNCTION("""COMPUTED_VALUE"""),18)</f>
        <v>18</v>
      </c>
      <c r="B19" s="20">
        <f ca="1">IFERROR(__xludf.DUMMYFUNCTION("""COMPUTED_VALUE"""),2020)</f>
        <v>2020</v>
      </c>
      <c r="C19" s="20" t="str">
        <f ca="1">IFERROR(__xludf.DUMMYFUNCTION("""COMPUTED_VALUE"""),"PRESENCIAL")</f>
        <v>PRESENCIAL</v>
      </c>
      <c r="D19" s="96">
        <f ca="1">IFERROR(__xludf.DUMMYFUNCTION("""COMPUTED_VALUE"""),43893)</f>
        <v>43893</v>
      </c>
      <c r="E19" s="20" t="str">
        <f ca="1">IFERROR(__xludf.DUMMYFUNCTION("""COMPUTED_VALUE"""),"NO")</f>
        <v>NO</v>
      </c>
      <c r="F19" s="20" t="str">
        <f ca="1">IFERROR(__xludf.DUMMYFUNCTION("""COMPUTED_VALUE"""),"PREVENCIÓN, TRATAMIENTO Y CONTROL DE LAS ADICCIONES")</f>
        <v>PREVENCIÓN, TRATAMIENTO Y CONTROL DE LAS ADICCIONES</v>
      </c>
      <c r="G19" s="20">
        <f ca="1">IFERROR(__xludf.DUMMYFUNCTION("""COMPUTED_VALUE"""),1)</f>
        <v>1</v>
      </c>
      <c r="H19" s="20">
        <f ca="1">IFERROR(__xludf.DUMMYFUNCTION("""COMPUTED_VALUE"""),1)</f>
        <v>1</v>
      </c>
      <c r="I19" s="20">
        <f ca="1">IFERROR(__xludf.DUMMYFUNCTION("""COMPUTED_VALUE"""),1)</f>
        <v>1</v>
      </c>
      <c r="J19" s="20" t="str">
        <f ca="1">IFERROR(__xludf.DUMMYFUNCTION("""COMPUTED_VALUE"""),"NC")</f>
        <v>NC</v>
      </c>
      <c r="K19" s="20" t="str">
        <f ca="1">IFERROR(__xludf.DUMMYFUNCTION("""COMPUTED_VALUE"""),"NA")</f>
        <v>NA</v>
      </c>
      <c r="L19" s="20" t="str">
        <f ca="1">IFERROR(__xludf.DUMMYFUNCTION("""COMPUTED_VALUE"""),"NA")</f>
        <v>NA</v>
      </c>
      <c r="M19" s="20" t="str">
        <f ca="1">IFERROR(__xludf.DUMMYFUNCTION("""COMPUTED_VALUE"""),"Constitución formal de la Comisión y designación de sus autoridades.")</f>
        <v>Constitución formal de la Comisión y designación de sus autoridades.</v>
      </c>
      <c r="N19" s="20" t="str">
        <f ca="1">IFERROR(__xludf.DUMMYFUNCTION("""COMPUTED_VALUE"""),"NA")</f>
        <v>NA</v>
      </c>
      <c r="O19" s="20" t="str">
        <f ca="1">IFERROR(__xludf.DUMMYFUNCTION("""COMPUTED_VALUE"""),"NO")</f>
        <v>NO</v>
      </c>
      <c r="P19" s="20">
        <f ca="1">IFERROR(__xludf.DUMMYFUNCTION("""COMPUTED_VALUE"""),0)</f>
        <v>0</v>
      </c>
      <c r="Q19" s="20" t="str">
        <f ca="1">IFERROR(__xludf.DUMMYFUNCTION("""COMPUTED_VALUE"""),"NA")</f>
        <v>NA</v>
      </c>
      <c r="R19" s="20" t="str">
        <f ca="1">IFERROR(__xludf.DUMMYFUNCTION("""COMPUTED_VALUE"""),"NA")</f>
        <v>NA</v>
      </c>
      <c r="S19" s="113" t="str">
        <f ca="1">IFERROR(__xludf.DUMMYFUNCTION("""COMPUTED_VALUE"""),"https://gld.legislaturacba.gob.ar/Publics/Actas.aspx?id=gQ4-FLnc044=")</f>
        <v>https://gld.legislaturacba.gob.ar/Publics/Actas.aspx?id=gQ4-FLnc044=</v>
      </c>
      <c r="T19" s="99">
        <f t="shared" ca="1" si="0"/>
        <v>0</v>
      </c>
    </row>
    <row r="20" spans="1:20">
      <c r="A20" s="20">
        <f ca="1">IFERROR(__xludf.DUMMYFUNCTION("""COMPUTED_VALUE"""),19)</f>
        <v>19</v>
      </c>
      <c r="B20" s="20">
        <f ca="1">IFERROR(__xludf.DUMMYFUNCTION("""COMPUTED_VALUE"""),2020)</f>
        <v>2020</v>
      </c>
      <c r="C20" s="20" t="str">
        <f ca="1">IFERROR(__xludf.DUMMYFUNCTION("""COMPUTED_VALUE"""),"PRESENCIAL")</f>
        <v>PRESENCIAL</v>
      </c>
      <c r="D20" s="96">
        <f ca="1">IFERROR(__xludf.DUMMYFUNCTION("""COMPUTED_VALUE"""),43893)</f>
        <v>43893</v>
      </c>
      <c r="E20" s="20" t="str">
        <f ca="1">IFERROR(__xludf.DUMMYFUNCTION("""COMPUTED_VALUE"""),"NO")</f>
        <v>NO</v>
      </c>
      <c r="F20" s="20" t="str">
        <f ca="1">IFERROR(__xludf.DUMMYFUNCTION("""COMPUTED_VALUE"""),"SALUD HUMANA")</f>
        <v>SALUD HUMANA</v>
      </c>
      <c r="G20" s="20">
        <f ca="1">IFERROR(__xludf.DUMMYFUNCTION("""COMPUTED_VALUE"""),1)</f>
        <v>1</v>
      </c>
      <c r="H20" s="20">
        <f ca="1">IFERROR(__xludf.DUMMYFUNCTION("""COMPUTED_VALUE"""),2)</f>
        <v>2</v>
      </c>
      <c r="I20" s="20">
        <f ca="1">IFERROR(__xludf.DUMMYFUNCTION("""COMPUTED_VALUE"""),1)</f>
        <v>1</v>
      </c>
      <c r="J20" s="20" t="str">
        <f ca="1">IFERROR(__xludf.DUMMYFUNCTION("""COMPUTED_VALUE"""),"NC")</f>
        <v>NC</v>
      </c>
      <c r="K20" s="20" t="str">
        <f ca="1">IFERROR(__xludf.DUMMYFUNCTION("""COMPUTED_VALUE"""),"NA")</f>
        <v>NA</v>
      </c>
      <c r="L20" s="20" t="str">
        <f ca="1">IFERROR(__xludf.DUMMYFUNCTION("""COMPUTED_VALUE"""),"NA")</f>
        <v>NA</v>
      </c>
      <c r="M20" s="20" t="str">
        <f ca="1">IFERROR(__xludf.DUMMYFUNCTION("""COMPUTED_VALUE"""),"Vacunas contra la Meningitis y el Sarampión.")</f>
        <v>Vacunas contra la Meningitis y el Sarampión.</v>
      </c>
      <c r="N20" s="20" t="str">
        <f ca="1">IFERROR(__xludf.DUMMYFUNCTION("""COMPUTED_VALUE"""),"NA")</f>
        <v>NA</v>
      </c>
      <c r="O20" s="20" t="str">
        <f ca="1">IFERROR(__xludf.DUMMYFUNCTION("""COMPUTED_VALUE"""),"SI")</f>
        <v>SI</v>
      </c>
      <c r="P20" s="20">
        <f ca="1">IFERROR(__xludf.DUMMYFUNCTION("""COMPUTED_VALUE"""),5)</f>
        <v>5</v>
      </c>
      <c r="Q20" s="20" t="str">
        <f ca="1">IFERROR(__xludf.DUMMYFUNCTION("""COMPUTED_VALUE"""),"NA")</f>
        <v>NA</v>
      </c>
      <c r="R20" s="20" t="str">
        <f ca="1">IFERROR(__xludf.DUMMYFUNCTION("""COMPUTED_VALUE"""),"NA")</f>
        <v>NA</v>
      </c>
      <c r="S20" s="113" t="str">
        <f ca="1">IFERROR(__xludf.DUMMYFUNCTION("""COMPUTED_VALUE"""),"https://gld.legislaturacba.gob.ar/Publics/Actas.aspx?id=95FbuEIA1ho=")</f>
        <v>https://gld.legislaturacba.gob.ar/Publics/Actas.aspx?id=95FbuEIA1ho=</v>
      </c>
      <c r="T20" s="99">
        <f t="shared" ca="1" si="0"/>
        <v>0</v>
      </c>
    </row>
    <row r="21" spans="1:20">
      <c r="A21" s="20">
        <f ca="1">IFERROR(__xludf.DUMMYFUNCTION("""COMPUTED_VALUE"""),20)</f>
        <v>20</v>
      </c>
      <c r="B21" s="20">
        <f ca="1">IFERROR(__xludf.DUMMYFUNCTION("""COMPUTED_VALUE"""),2020)</f>
        <v>2020</v>
      </c>
      <c r="C21" s="20" t="str">
        <f ca="1">IFERROR(__xludf.DUMMYFUNCTION("""COMPUTED_VALUE"""),"PRESENCIAL")</f>
        <v>PRESENCIAL</v>
      </c>
      <c r="D21" s="96">
        <f ca="1">IFERROR(__xludf.DUMMYFUNCTION("""COMPUTED_VALUE"""),43893)</f>
        <v>43893</v>
      </c>
      <c r="E21" s="20" t="str">
        <f ca="1">IFERROR(__xludf.DUMMYFUNCTION("""COMPUTED_VALUE"""),"NO")</f>
        <v>NO</v>
      </c>
      <c r="F21" s="20" t="str">
        <f ca="1">IFERROR(__xludf.DUMMYFUNCTION("""COMPUTED_VALUE"""),"DERECHOS HUMANOS Y DESARROLLO SOCIAL")</f>
        <v>DERECHOS HUMANOS Y DESARROLLO SOCIAL</v>
      </c>
      <c r="G21" s="20">
        <f ca="1">IFERROR(__xludf.DUMMYFUNCTION("""COMPUTED_VALUE"""),1)</f>
        <v>1</v>
      </c>
      <c r="H21" s="20">
        <f ca="1">IFERROR(__xludf.DUMMYFUNCTION("""COMPUTED_VALUE"""),1)</f>
        <v>1</v>
      </c>
      <c r="I21" s="20">
        <f ca="1">IFERROR(__xludf.DUMMYFUNCTION("""COMPUTED_VALUE"""),1)</f>
        <v>1</v>
      </c>
      <c r="J21" s="20" t="str">
        <f ca="1">IFERROR(__xludf.DUMMYFUNCTION("""COMPUTED_VALUE"""),"NC")</f>
        <v>NC</v>
      </c>
      <c r="K21" s="20" t="str">
        <f ca="1">IFERROR(__xludf.DUMMYFUNCTION("""COMPUTED_VALUE"""),"NA")</f>
        <v>NA</v>
      </c>
      <c r="L21" s="20" t="str">
        <f ca="1">IFERROR(__xludf.DUMMYFUNCTION("""COMPUTED_VALUE"""),"NA")</f>
        <v>NA</v>
      </c>
      <c r="M21" s="20" t="str">
        <f ca="1">IFERROR(__xludf.DUMMYFUNCTION("""COMPUTED_VALUE"""),"Constitución formal de la Comisión y designación de sus autoridades.")</f>
        <v>Constitución formal de la Comisión y designación de sus autoridades.</v>
      </c>
      <c r="N21" s="20" t="str">
        <f ca="1">IFERROR(__xludf.DUMMYFUNCTION("""COMPUTED_VALUE"""),"NA")</f>
        <v>NA</v>
      </c>
      <c r="O21" s="20" t="str">
        <f ca="1">IFERROR(__xludf.DUMMYFUNCTION("""COMPUTED_VALUE"""),"NO")</f>
        <v>NO</v>
      </c>
      <c r="P21" s="20">
        <f ca="1">IFERROR(__xludf.DUMMYFUNCTION("""COMPUTED_VALUE"""),0)</f>
        <v>0</v>
      </c>
      <c r="Q21" s="20" t="str">
        <f ca="1">IFERROR(__xludf.DUMMYFUNCTION("""COMPUTED_VALUE"""),"NA")</f>
        <v>NA</v>
      </c>
      <c r="R21" s="20" t="str">
        <f ca="1">IFERROR(__xludf.DUMMYFUNCTION("""COMPUTED_VALUE"""),"NA")</f>
        <v>NA</v>
      </c>
      <c r="S21" s="113" t="str">
        <f ca="1">IFERROR(__xludf.DUMMYFUNCTION("""COMPUTED_VALUE"""),"https://gld.legislaturacba.gob.ar/Publics/Actas.aspx?id=xTxPX0xF6_k=")</f>
        <v>https://gld.legislaturacba.gob.ar/Publics/Actas.aspx?id=xTxPX0xF6_k=</v>
      </c>
      <c r="T21" s="99">
        <f t="shared" ca="1" si="0"/>
        <v>0</v>
      </c>
    </row>
    <row r="22" spans="1:20">
      <c r="A22" s="20">
        <f ca="1">IFERROR(__xludf.DUMMYFUNCTION("""COMPUTED_VALUE"""),21)</f>
        <v>21</v>
      </c>
      <c r="B22" s="20">
        <f ca="1">IFERROR(__xludf.DUMMYFUNCTION("""COMPUTED_VALUE"""),2020)</f>
        <v>2020</v>
      </c>
      <c r="C22" s="20" t="str">
        <f ca="1">IFERROR(__xludf.DUMMYFUNCTION("""COMPUTED_VALUE"""),"PRESENCIAL")</f>
        <v>PRESENCIAL</v>
      </c>
      <c r="D22" s="96">
        <f ca="1">IFERROR(__xludf.DUMMYFUNCTION("""COMPUTED_VALUE"""),43893)</f>
        <v>43893</v>
      </c>
      <c r="E22" s="20" t="str">
        <f ca="1">IFERROR(__xludf.DUMMYFUNCTION("""COMPUTED_VALUE"""),"NO")</f>
        <v>NO</v>
      </c>
      <c r="F22" s="20" t="str">
        <f ca="1">IFERROR(__xludf.DUMMYFUNCTION("""COMPUTED_VALUE"""),"EQUIDAD Y LUCHA CONTRA LA VIOLENCIA DE GÉNERO")</f>
        <v>EQUIDAD Y LUCHA CONTRA LA VIOLENCIA DE GÉNERO</v>
      </c>
      <c r="G22" s="20">
        <f ca="1">IFERROR(__xludf.DUMMYFUNCTION("""COMPUTED_VALUE"""),1)</f>
        <v>1</v>
      </c>
      <c r="H22" s="20">
        <f ca="1">IFERROR(__xludf.DUMMYFUNCTION("""COMPUTED_VALUE"""),1)</f>
        <v>1</v>
      </c>
      <c r="I22" s="20">
        <f ca="1">IFERROR(__xludf.DUMMYFUNCTION("""COMPUTED_VALUE"""),1)</f>
        <v>1</v>
      </c>
      <c r="J22" s="20" t="str">
        <f ca="1">IFERROR(__xludf.DUMMYFUNCTION("""COMPUTED_VALUE"""),"NC")</f>
        <v>NC</v>
      </c>
      <c r="K22" s="20" t="str">
        <f ca="1">IFERROR(__xludf.DUMMYFUNCTION("""COMPUTED_VALUE"""),"NA")</f>
        <v>NA</v>
      </c>
      <c r="L22" s="20" t="str">
        <f ca="1">IFERROR(__xludf.DUMMYFUNCTION("""COMPUTED_VALUE"""),"NA")</f>
        <v>NA</v>
      </c>
      <c r="M22" s="20" t="str">
        <f ca="1">IFERROR(__xludf.DUMMYFUNCTION("""COMPUTED_VALUE"""),"Temas varios relacionados con las competencias del Ministerio de la Mujer de la Provincia de Córdoba.")</f>
        <v>Temas varios relacionados con las competencias del Ministerio de la Mujer de la Provincia de Córdoba.</v>
      </c>
      <c r="N22" s="20" t="str">
        <f ca="1">IFERROR(__xludf.DUMMYFUNCTION("""COMPUTED_VALUE"""),"NA")</f>
        <v>NA</v>
      </c>
      <c r="O22" s="20" t="str">
        <f ca="1">IFERROR(__xludf.DUMMYFUNCTION("""COMPUTED_VALUE"""),"SI")</f>
        <v>SI</v>
      </c>
      <c r="P22" s="20">
        <f ca="1">IFERROR(__xludf.DUMMYFUNCTION("""COMPUTED_VALUE"""),1)</f>
        <v>1</v>
      </c>
      <c r="Q22" s="20" t="str">
        <f ca="1">IFERROR(__xludf.DUMMYFUNCTION("""COMPUTED_VALUE"""),"NA")</f>
        <v>NA</v>
      </c>
      <c r="R22" s="20" t="str">
        <f ca="1">IFERROR(__xludf.DUMMYFUNCTION("""COMPUTED_VALUE"""),"NA")</f>
        <v>NA</v>
      </c>
      <c r="S22" s="113" t="str">
        <f ca="1">IFERROR(__xludf.DUMMYFUNCTION("""COMPUTED_VALUE"""),"https://gld.legislaturacba.gob.ar/Publics/Actas.aspx?id=htjkbebq8Dw=")</f>
        <v>https://gld.legislaturacba.gob.ar/Publics/Actas.aspx?id=htjkbebq8Dw=</v>
      </c>
      <c r="T22" s="99">
        <f t="shared" ca="1" si="0"/>
        <v>0</v>
      </c>
    </row>
    <row r="23" spans="1:20">
      <c r="A23" s="20">
        <f ca="1">IFERROR(__xludf.DUMMYFUNCTION("""COMPUTED_VALUE"""),22)</f>
        <v>22</v>
      </c>
      <c r="B23" s="20">
        <f ca="1">IFERROR(__xludf.DUMMYFUNCTION("""COMPUTED_VALUE"""),2020)</f>
        <v>2020</v>
      </c>
      <c r="C23" s="20" t="str">
        <f ca="1">IFERROR(__xludf.DUMMYFUNCTION("""COMPUTED_VALUE"""),"PRESENCIAL")</f>
        <v>PRESENCIAL</v>
      </c>
      <c r="D23" s="96">
        <f ca="1">IFERROR(__xludf.DUMMYFUNCTION("""COMPUTED_VALUE"""),43894)</f>
        <v>43894</v>
      </c>
      <c r="E23" s="20" t="str">
        <f ca="1">IFERROR(__xludf.DUMMYFUNCTION("""COMPUTED_VALUE"""),"NO")</f>
        <v>NO</v>
      </c>
      <c r="F23" s="20" t="str">
        <f ca="1">IFERROR(__xludf.DUMMYFUNCTION("""COMPUTED_VALUE"""),"ASUNTOS INSTITUCIONALES, MUNICIPALES Y COMUNALES")</f>
        <v>ASUNTOS INSTITUCIONALES, MUNICIPALES Y COMUNALES</v>
      </c>
      <c r="G23" s="20">
        <f ca="1">IFERROR(__xludf.DUMMYFUNCTION("""COMPUTED_VALUE"""),1)</f>
        <v>1</v>
      </c>
      <c r="H23" s="20">
        <f ca="1">IFERROR(__xludf.DUMMYFUNCTION("""COMPUTED_VALUE"""),1)</f>
        <v>1</v>
      </c>
      <c r="I23" s="20">
        <f ca="1">IFERROR(__xludf.DUMMYFUNCTION("""COMPUTED_VALUE"""),1)</f>
        <v>1</v>
      </c>
      <c r="J23" s="20" t="str">
        <f ca="1">IFERROR(__xludf.DUMMYFUNCTION("""COMPUTED_VALUE"""),"Ley")</f>
        <v>Ley</v>
      </c>
      <c r="K23" s="20">
        <f ca="1">IFERROR(__xludf.DUMMYFUNCTION("""COMPUTED_VALUE"""),29791)</f>
        <v>29791</v>
      </c>
      <c r="L23" s="20" t="str">
        <f ca="1">IFERROR(__xludf.DUMMYFUNCTION("""COMPUTED_VALUE"""),"Poder Ejecutivo Provincial")</f>
        <v>Poder Ejecutivo Provincial</v>
      </c>
      <c r="M23" s="20" t="str">
        <f ca="1">IFERROR(__xludf.DUMMYFUNCTION("""COMPUTED_VALUE"""),"Proyecto de Ley Nº 29791/E/20, modificando el radio municipal de la ciudad de Hernando, dpto. Tercero Arriba.")</f>
        <v>Proyecto de Ley Nº 29791/E/20, modificando el radio municipal de la ciudad de Hernando, dpto. Tercero Arriba.</v>
      </c>
      <c r="N23" s="20" t="str">
        <f ca="1">IFERROR(__xludf.DUMMYFUNCTION("""COMPUTED_VALUE"""),"SI")</f>
        <v>SI</v>
      </c>
      <c r="O23" s="20" t="str">
        <f ca="1">IFERROR(__xludf.DUMMYFUNCTION("""COMPUTED_VALUE"""),"NO")</f>
        <v>NO</v>
      </c>
      <c r="P23" s="20">
        <f ca="1">IFERROR(__xludf.DUMMYFUNCTION("""COMPUTED_VALUE"""),0)</f>
        <v>0</v>
      </c>
      <c r="Q23" s="20" t="str">
        <f ca="1">IFERROR(__xludf.DUMMYFUNCTION("""COMPUTED_VALUE"""),"NA")</f>
        <v>NA</v>
      </c>
      <c r="R23" s="20" t="str">
        <f ca="1">IFERROR(__xludf.DUMMYFUNCTION("""COMPUTED_VALUE"""),"NA")</f>
        <v>NA</v>
      </c>
      <c r="S23" s="113" t="str">
        <f ca="1">IFERROR(__xludf.DUMMYFUNCTION("""COMPUTED_VALUE"""),"https://gld.legislaturacba.gob.ar/Publics/Actas.aspx?id=IVUZ6YuNgyA=")</f>
        <v>https://gld.legislaturacba.gob.ar/Publics/Actas.aspx?id=IVUZ6YuNgyA=</v>
      </c>
      <c r="T23" s="99">
        <f t="shared" ca="1" si="0"/>
        <v>0</v>
      </c>
    </row>
    <row r="24" spans="1:20">
      <c r="A24" s="20">
        <f ca="1">IFERROR(__xludf.DUMMYFUNCTION("""COMPUTED_VALUE"""),23)</f>
        <v>23</v>
      </c>
      <c r="B24" s="20">
        <f ca="1">IFERROR(__xludf.DUMMYFUNCTION("""COMPUTED_VALUE"""),2020)</f>
        <v>2020</v>
      </c>
      <c r="C24" s="20" t="str">
        <f ca="1">IFERROR(__xludf.DUMMYFUNCTION("""COMPUTED_VALUE"""),"PRESENCIAL")</f>
        <v>PRESENCIAL</v>
      </c>
      <c r="D24" s="96">
        <f ca="1">IFERROR(__xludf.DUMMYFUNCTION("""COMPUTED_VALUE"""),43894)</f>
        <v>43894</v>
      </c>
      <c r="E24" s="20" t="str">
        <f ca="1">IFERROR(__xludf.DUMMYFUNCTION("""COMPUTED_VALUE"""),"NO")</f>
        <v>NO</v>
      </c>
      <c r="F24" s="20" t="str">
        <f ca="1">IFERROR(__xludf.DUMMYFUNCTION("""COMPUTED_VALUE"""),"MERCOSUR, COMERCIO INTERIOR Y EXTERIOR")</f>
        <v>MERCOSUR, COMERCIO INTERIOR Y EXTERIOR</v>
      </c>
      <c r="G24" s="20">
        <f ca="1">IFERROR(__xludf.DUMMYFUNCTION("""COMPUTED_VALUE"""),1)</f>
        <v>1</v>
      </c>
      <c r="H24" s="20">
        <f ca="1">IFERROR(__xludf.DUMMYFUNCTION("""COMPUTED_VALUE"""),1)</f>
        <v>1</v>
      </c>
      <c r="I24" s="20">
        <f ca="1">IFERROR(__xludf.DUMMYFUNCTION("""COMPUTED_VALUE"""),1)</f>
        <v>1</v>
      </c>
      <c r="J24" s="20" t="str">
        <f ca="1">IFERROR(__xludf.DUMMYFUNCTION("""COMPUTED_VALUE"""),"NC")</f>
        <v>NC</v>
      </c>
      <c r="K24" s="20" t="str">
        <f ca="1">IFERROR(__xludf.DUMMYFUNCTION("""COMPUTED_VALUE"""),"NA")</f>
        <v>NA</v>
      </c>
      <c r="L24" s="20" t="str">
        <f ca="1">IFERROR(__xludf.DUMMYFUNCTION("""COMPUTED_VALUE"""),"NA")</f>
        <v>NA</v>
      </c>
      <c r="M24" s="20" t="str">
        <f ca="1">IFERROR(__xludf.DUMMYFUNCTION("""COMPUTED_VALUE"""),"Constitución formal de la Comisión y designación de sus autoridades.")</f>
        <v>Constitución formal de la Comisión y designación de sus autoridades.</v>
      </c>
      <c r="N24" s="20" t="str">
        <f ca="1">IFERROR(__xludf.DUMMYFUNCTION("""COMPUTED_VALUE"""),"NA")</f>
        <v>NA</v>
      </c>
      <c r="O24" s="20" t="str">
        <f ca="1">IFERROR(__xludf.DUMMYFUNCTION("""COMPUTED_VALUE"""),"NO")</f>
        <v>NO</v>
      </c>
      <c r="P24" s="20">
        <f ca="1">IFERROR(__xludf.DUMMYFUNCTION("""COMPUTED_VALUE"""),0)</f>
        <v>0</v>
      </c>
      <c r="Q24" s="20" t="str">
        <f ca="1">IFERROR(__xludf.DUMMYFUNCTION("""COMPUTED_VALUE"""),"NA")</f>
        <v>NA</v>
      </c>
      <c r="R24" s="20" t="str">
        <f ca="1">IFERROR(__xludf.DUMMYFUNCTION("""COMPUTED_VALUE"""),"NA")</f>
        <v>NA</v>
      </c>
      <c r="S24" s="113" t="str">
        <f ca="1">IFERROR(__xludf.DUMMYFUNCTION("""COMPUTED_VALUE"""),"https://gld.legislaturacba.gob.ar/Publics/Actas.aspx?id=j0o6ECEU6U0=")</f>
        <v>https://gld.legislaturacba.gob.ar/Publics/Actas.aspx?id=j0o6ECEU6U0=</v>
      </c>
      <c r="T24" s="99">
        <f t="shared" ca="1" si="0"/>
        <v>0</v>
      </c>
    </row>
    <row r="25" spans="1:20">
      <c r="A25" s="20">
        <f ca="1">IFERROR(__xludf.DUMMYFUNCTION("""COMPUTED_VALUE"""),24)</f>
        <v>24</v>
      </c>
      <c r="B25" s="20">
        <f ca="1">IFERROR(__xludf.DUMMYFUNCTION("""COMPUTED_VALUE"""),2020)</f>
        <v>2020</v>
      </c>
      <c r="C25" s="20" t="str">
        <f ca="1">IFERROR(__xludf.DUMMYFUNCTION("""COMPUTED_VALUE"""),"PRESENCIAL")</f>
        <v>PRESENCIAL</v>
      </c>
      <c r="D25" s="96">
        <f ca="1">IFERROR(__xludf.DUMMYFUNCTION("""COMPUTED_VALUE"""),43900)</f>
        <v>43900</v>
      </c>
      <c r="E25" s="20" t="str">
        <f ca="1">IFERROR(__xludf.DUMMYFUNCTION("""COMPUTED_VALUE"""),"NO")</f>
        <v>NO</v>
      </c>
      <c r="F25" s="20" t="str">
        <f ca="1">IFERROR(__xludf.DUMMYFUNCTION("""COMPUTED_VALUE"""),"MERCOSUR, COMERCIO INTERIOR Y EXTERIOR")</f>
        <v>MERCOSUR, COMERCIO INTERIOR Y EXTERIOR</v>
      </c>
      <c r="G25" s="20">
        <f ca="1">IFERROR(__xludf.DUMMYFUNCTION("""COMPUTED_VALUE"""),1)</f>
        <v>1</v>
      </c>
      <c r="H25" s="20">
        <f ca="1">IFERROR(__xludf.DUMMYFUNCTION("""COMPUTED_VALUE"""),1)</f>
        <v>1</v>
      </c>
      <c r="I25" s="20">
        <f ca="1">IFERROR(__xludf.DUMMYFUNCTION("""COMPUTED_VALUE"""),1)</f>
        <v>1</v>
      </c>
      <c r="J25" s="20" t="str">
        <f ca="1">IFERROR(__xludf.DUMMYFUNCTION("""COMPUTED_VALUE"""),"NC")</f>
        <v>NC</v>
      </c>
      <c r="K25" s="20" t="str">
        <f ca="1">IFERROR(__xludf.DUMMYFUNCTION("""COMPUTED_VALUE"""),"NA")</f>
        <v>NA</v>
      </c>
      <c r="L25" s="20" t="str">
        <f ca="1">IFERROR(__xludf.DUMMYFUNCTION("""COMPUTED_VALUE"""),"NA")</f>
        <v>NA</v>
      </c>
      <c r="M25" s="20" t="str">
        <f ca="1">IFERROR(__xludf.DUMMYFUNCTION("""COMPUTED_VALUE"""),"Temas varios.")</f>
        <v>Temas varios.</v>
      </c>
      <c r="N25" s="20" t="str">
        <f ca="1">IFERROR(__xludf.DUMMYFUNCTION("""COMPUTED_VALUE"""),"NA")</f>
        <v>NA</v>
      </c>
      <c r="O25" s="20" t="str">
        <f ca="1">IFERROR(__xludf.DUMMYFUNCTION("""COMPUTED_VALUE"""),"NO")</f>
        <v>NO</v>
      </c>
      <c r="P25" s="20">
        <f ca="1">IFERROR(__xludf.DUMMYFUNCTION("""COMPUTED_VALUE"""),0)</f>
        <v>0</v>
      </c>
      <c r="Q25" s="20" t="str">
        <f ca="1">IFERROR(__xludf.DUMMYFUNCTION("""COMPUTED_VALUE"""),"NA")</f>
        <v>NA</v>
      </c>
      <c r="R25" s="20" t="str">
        <f ca="1">IFERROR(__xludf.DUMMYFUNCTION("""COMPUTED_VALUE"""),"NA")</f>
        <v>NA</v>
      </c>
      <c r="S25" s="113" t="str">
        <f ca="1">IFERROR(__xludf.DUMMYFUNCTION("""COMPUTED_VALUE"""),"https://gld.legislaturacba.gob.ar/Publics/Actas.aspx?id=IeeooHM1_MM=")</f>
        <v>https://gld.legislaturacba.gob.ar/Publics/Actas.aspx?id=IeeooHM1_MM=</v>
      </c>
      <c r="T25" s="99">
        <f t="shared" ca="1" si="0"/>
        <v>0</v>
      </c>
    </row>
    <row r="26" spans="1:20">
      <c r="A26" s="20">
        <f ca="1">IFERROR(__xludf.DUMMYFUNCTION("""COMPUTED_VALUE"""),25)</f>
        <v>25</v>
      </c>
      <c r="B26" s="20">
        <f ca="1">IFERROR(__xludf.DUMMYFUNCTION("""COMPUTED_VALUE"""),2020)</f>
        <v>2020</v>
      </c>
      <c r="C26" s="20" t="str">
        <f ca="1">IFERROR(__xludf.DUMMYFUNCTION("""COMPUTED_VALUE"""),"PRESENCIAL")</f>
        <v>PRESENCIAL</v>
      </c>
      <c r="D26" s="96">
        <f ca="1">IFERROR(__xludf.DUMMYFUNCTION("""COMPUTED_VALUE"""),43900)</f>
        <v>43900</v>
      </c>
      <c r="E26" s="20" t="str">
        <f ca="1">IFERROR(__xludf.DUMMYFUNCTION("""COMPUTED_VALUE"""),"SI")</f>
        <v>SI</v>
      </c>
      <c r="F26" s="20" t="str">
        <f ca="1">IFERROR(__xludf.DUMMYFUNCTION("""COMPUTED_VALUE"""),"EDUCACIÓN, CULTURA, CIENCIA, TECNOLOGÍA E INFORMÁTICA;LEGISLACIÓN GENERAL")</f>
        <v>EDUCACIÓN, CULTURA, CIENCIA, TECNOLOGÍA E INFORMÁTICA;LEGISLACIÓN GENERAL</v>
      </c>
      <c r="G26" s="20">
        <f ca="1">IFERROR(__xludf.DUMMYFUNCTION("""COMPUTED_VALUE"""),2)</f>
        <v>2</v>
      </c>
      <c r="H26" s="20">
        <f ca="1">IFERROR(__xludf.DUMMYFUNCTION("""COMPUTED_VALUE"""),2)</f>
        <v>2</v>
      </c>
      <c r="I26" s="20">
        <f ca="1">IFERROR(__xludf.DUMMYFUNCTION("""COMPUTED_VALUE"""),1)</f>
        <v>1</v>
      </c>
      <c r="J26" s="20" t="str">
        <f ca="1">IFERROR(__xludf.DUMMYFUNCTION("""COMPUTED_VALUE"""),"Ley")</f>
        <v>Ley</v>
      </c>
      <c r="K26" s="20">
        <f ca="1">IFERROR(__xludf.DUMMYFUNCTION("""COMPUTED_VALUE"""),29860)</f>
        <v>29860</v>
      </c>
      <c r="L26" s="20" t="str">
        <f ca="1">IFERROR(__xludf.DUMMYFUNCTION("""COMPUTED_VALUE"""),"Poder Legislativo Provincial")</f>
        <v>Poder Legislativo Provincial</v>
      </c>
      <c r="M26" s="20" t="str">
        <f ca="1">IFERROR(__xludf.DUMMYFUNCTION("""COMPUTED_VALUE"""),"Proyecto de Ley Nº 29860/L/20, disponiendo acciones conmemorativas del proceso político, institucional y constitucional liderado por el prócer argentino Brigadier General Juan Bautista Bustos.")</f>
        <v>Proyecto de Ley Nº 29860/L/20, disponiendo acciones conmemorativas del proceso político, institucional y constitucional liderado por el prócer argentino Brigadier General Juan Bautista Bustos.</v>
      </c>
      <c r="N26" s="20" t="str">
        <f ca="1">IFERROR(__xludf.DUMMYFUNCTION("""COMPUTED_VALUE"""),"SI")</f>
        <v>SI</v>
      </c>
      <c r="O26" s="20" t="str">
        <f ca="1">IFERROR(__xludf.DUMMYFUNCTION("""COMPUTED_VALUE"""),"NO")</f>
        <v>NO</v>
      </c>
      <c r="P26" s="20">
        <f ca="1">IFERROR(__xludf.DUMMYFUNCTION("""COMPUTED_VALUE"""),0)</f>
        <v>0</v>
      </c>
      <c r="Q26" s="20" t="str">
        <f ca="1">IFERROR(__xludf.DUMMYFUNCTION("""COMPUTED_VALUE"""),"NA")</f>
        <v>NA</v>
      </c>
      <c r="R26" s="20" t="str">
        <f ca="1">IFERROR(__xludf.DUMMYFUNCTION("""COMPUTED_VALUE"""),"NA")</f>
        <v>NA</v>
      </c>
      <c r="S26" s="113" t="str">
        <f ca="1">IFERROR(__xludf.DUMMYFUNCTION("""COMPUTED_VALUE"""),"https://gld.legislaturacba.gob.ar/Publics/Actas.aspx?id=NfODToWNSnU=;https://gld.legislaturacba.gob.ar/Publics/Actas.aspx?id=HyzvFJfkjgw=")</f>
        <v>https://gld.legislaturacba.gob.ar/Publics/Actas.aspx?id=NfODToWNSnU=;https://gld.legislaturacba.gob.ar/Publics/Actas.aspx?id=HyzvFJfkjgw=</v>
      </c>
      <c r="T26" s="99">
        <f t="shared" ca="1" si="0"/>
        <v>0</v>
      </c>
    </row>
    <row r="27" spans="1:20">
      <c r="A27" s="20">
        <f ca="1">IFERROR(__xludf.DUMMYFUNCTION("""COMPUTED_VALUE"""),26)</f>
        <v>26</v>
      </c>
      <c r="B27" s="20">
        <f ca="1">IFERROR(__xludf.DUMMYFUNCTION("""COMPUTED_VALUE"""),2020)</f>
        <v>2020</v>
      </c>
      <c r="C27" s="20" t="str">
        <f ca="1">IFERROR(__xludf.DUMMYFUNCTION("""COMPUTED_VALUE"""),"PRESENCIAL")</f>
        <v>PRESENCIAL</v>
      </c>
      <c r="D27" s="96">
        <f ca="1">IFERROR(__xludf.DUMMYFUNCTION("""COMPUTED_VALUE"""),43900)</f>
        <v>43900</v>
      </c>
      <c r="E27" s="20" t="str">
        <f ca="1">IFERROR(__xludf.DUMMYFUNCTION("""COMPUTED_VALUE"""),"NO")</f>
        <v>NO</v>
      </c>
      <c r="F27" s="20" t="str">
        <f ca="1">IFERROR(__xludf.DUMMYFUNCTION("""COMPUTED_VALUE"""),"ASUNTOS INSTITUCIONALES, MUNICIPALES Y COMUNALES")</f>
        <v>ASUNTOS INSTITUCIONALES, MUNICIPALES Y COMUNALES</v>
      </c>
      <c r="G27" s="20">
        <f ca="1">IFERROR(__xludf.DUMMYFUNCTION("""COMPUTED_VALUE"""),1)</f>
        <v>1</v>
      </c>
      <c r="H27" s="20">
        <f ca="1">IFERROR(__xludf.DUMMYFUNCTION("""COMPUTED_VALUE"""),2)</f>
        <v>2</v>
      </c>
      <c r="I27" s="20">
        <f ca="1">IFERROR(__xludf.DUMMYFUNCTION("""COMPUTED_VALUE"""),1)</f>
        <v>1</v>
      </c>
      <c r="J27" s="20" t="str">
        <f ca="1">IFERROR(__xludf.DUMMYFUNCTION("""COMPUTED_VALUE"""),"Declaración")</f>
        <v>Declaración</v>
      </c>
      <c r="K27" s="20">
        <f ca="1">IFERROR(__xludf.DUMMYFUNCTION("""COMPUTED_VALUE"""),29996)</f>
        <v>29996</v>
      </c>
      <c r="L27" s="20" t="str">
        <f ca="1">IFERROR(__xludf.DUMMYFUNCTION("""COMPUTED_VALUE"""),"Poder Legislativo Provincial")</f>
        <v>Poder Legislativo Provincial</v>
      </c>
      <c r="M27" s="20" t="str">
        <f ca="1">IFERROR(__xludf.DUMMYFUNCTION("""COMPUTED_VALUE"""),"Proyecto de Declaración Nº 29996/L/20, declarando de interés legislativo el V Foro Mundial de Desarrollo Económico Local, a llevarse a cabo del 6 al 8 de mayo en la ciudad de córdoba.")</f>
        <v>Proyecto de Declaración Nº 29996/L/20, declarando de interés legislativo el V Foro Mundial de Desarrollo Económico Local, a llevarse a cabo del 6 al 8 de mayo en la ciudad de córdoba.</v>
      </c>
      <c r="N27" s="20" t="str">
        <f ca="1">IFERROR(__xludf.DUMMYFUNCTION("""COMPUTED_VALUE"""),"NO")</f>
        <v>NO</v>
      </c>
      <c r="O27" s="20" t="str">
        <f ca="1">IFERROR(__xludf.DUMMYFUNCTION("""COMPUTED_VALUE"""),"NO")</f>
        <v>NO</v>
      </c>
      <c r="P27" s="20">
        <f ca="1">IFERROR(__xludf.DUMMYFUNCTION("""COMPUTED_VALUE"""),0)</f>
        <v>0</v>
      </c>
      <c r="Q27" s="20" t="str">
        <f ca="1">IFERROR(__xludf.DUMMYFUNCTION("""COMPUTED_VALUE"""),"NA")</f>
        <v>NA</v>
      </c>
      <c r="R27" s="20" t="str">
        <f ca="1">IFERROR(__xludf.DUMMYFUNCTION("""COMPUTED_VALUE"""),"NA")</f>
        <v>NA</v>
      </c>
      <c r="S27" s="113" t="str">
        <f ca="1">IFERROR(__xludf.DUMMYFUNCTION("""COMPUTED_VALUE"""),"https://gld.legislaturacba.gob.ar/Publics/Actas.aspx?id=yZPsM9xnYqs=")</f>
        <v>https://gld.legislaturacba.gob.ar/Publics/Actas.aspx?id=yZPsM9xnYqs=</v>
      </c>
      <c r="T27" s="99">
        <f t="shared" ca="1" si="0"/>
        <v>0</v>
      </c>
    </row>
    <row r="28" spans="1:20">
      <c r="A28" s="20">
        <f ca="1">IFERROR(__xludf.DUMMYFUNCTION("""COMPUTED_VALUE"""),27)</f>
        <v>27</v>
      </c>
      <c r="B28" s="20">
        <f ca="1">IFERROR(__xludf.DUMMYFUNCTION("""COMPUTED_VALUE"""),2020)</f>
        <v>2020</v>
      </c>
      <c r="C28" s="20" t="str">
        <f ca="1">IFERROR(__xludf.DUMMYFUNCTION("""COMPUTED_VALUE"""),"PRESENCIAL")</f>
        <v>PRESENCIAL</v>
      </c>
      <c r="D28" s="96">
        <f ca="1">IFERROR(__xludf.DUMMYFUNCTION("""COMPUTED_VALUE"""),43900)</f>
        <v>43900</v>
      </c>
      <c r="E28" s="20" t="str">
        <f ca="1">IFERROR(__xludf.DUMMYFUNCTION("""COMPUTED_VALUE"""),"NO")</f>
        <v>NO</v>
      </c>
      <c r="F28" s="20" t="str">
        <f ca="1">IFERROR(__xludf.DUMMYFUNCTION("""COMPUTED_VALUE"""),"DERECHOS HUMANOS Y DESARROLLO SOCIAL")</f>
        <v>DERECHOS HUMANOS Y DESARROLLO SOCIAL</v>
      </c>
      <c r="G28" s="20">
        <f ca="1">IFERROR(__xludf.DUMMYFUNCTION("""COMPUTED_VALUE"""),1)</f>
        <v>1</v>
      </c>
      <c r="H28" s="20">
        <f ca="1">IFERROR(__xludf.DUMMYFUNCTION("""COMPUTED_VALUE"""),1)</f>
        <v>1</v>
      </c>
      <c r="I28" s="20">
        <f ca="1">IFERROR(__xludf.DUMMYFUNCTION("""COMPUTED_VALUE"""),1)</f>
        <v>1</v>
      </c>
      <c r="J28" s="20" t="str">
        <f ca="1">IFERROR(__xludf.DUMMYFUNCTION("""COMPUTED_VALUE"""),"NC")</f>
        <v>NC</v>
      </c>
      <c r="K28" s="20" t="str">
        <f ca="1">IFERROR(__xludf.DUMMYFUNCTION("""COMPUTED_VALUE"""),"NA")</f>
        <v>NA</v>
      </c>
      <c r="L28" s="20" t="str">
        <f ca="1">IFERROR(__xludf.DUMMYFUNCTION("""COMPUTED_VALUE"""),"NA")</f>
        <v>NA</v>
      </c>
      <c r="M28" s="20" t="str">
        <f ca="1">IFERROR(__xludf.DUMMYFUNCTION("""COMPUTED_VALUE"""),"Actividades programadas durante la “Semana de la Memoria”, de acuerdo a lo dispuesto por la Ley Nº 10.619.")</f>
        <v>Actividades programadas durante la “Semana de la Memoria”, de acuerdo a lo dispuesto por la Ley Nº 10.619.</v>
      </c>
      <c r="N28" s="20" t="str">
        <f ca="1">IFERROR(__xludf.DUMMYFUNCTION("""COMPUTED_VALUE"""),"NA")</f>
        <v>NA</v>
      </c>
      <c r="O28" s="20" t="str">
        <f ca="1">IFERROR(__xludf.DUMMYFUNCTION("""COMPUTED_VALUE"""),"SI")</f>
        <v>SI</v>
      </c>
      <c r="P28" s="20">
        <f ca="1">IFERROR(__xludf.DUMMYFUNCTION("""COMPUTED_VALUE"""),1)</f>
        <v>1</v>
      </c>
      <c r="Q28" s="20" t="str">
        <f ca="1">IFERROR(__xludf.DUMMYFUNCTION("""COMPUTED_VALUE"""),"NA")</f>
        <v>NA</v>
      </c>
      <c r="R28" s="20" t="str">
        <f ca="1">IFERROR(__xludf.DUMMYFUNCTION("""COMPUTED_VALUE"""),"NA")</f>
        <v>NA</v>
      </c>
      <c r="S28" s="113" t="str">
        <f ca="1">IFERROR(__xludf.DUMMYFUNCTION("""COMPUTED_VALUE"""),"https://gld.legislaturacba.gob.ar/Publics/Actas.aspx?id=qbLjKQgPZaA=")</f>
        <v>https://gld.legislaturacba.gob.ar/Publics/Actas.aspx?id=qbLjKQgPZaA=</v>
      </c>
      <c r="T28" s="99">
        <f t="shared" ca="1" si="0"/>
        <v>0</v>
      </c>
    </row>
    <row r="29" spans="1:20">
      <c r="A29" s="20">
        <f ca="1">IFERROR(__xludf.DUMMYFUNCTION("""COMPUTED_VALUE"""),28)</f>
        <v>28</v>
      </c>
      <c r="B29" s="20">
        <f ca="1">IFERROR(__xludf.DUMMYFUNCTION("""COMPUTED_VALUE"""),2020)</f>
        <v>2020</v>
      </c>
      <c r="C29" s="20" t="str">
        <f ca="1">IFERROR(__xludf.DUMMYFUNCTION("""COMPUTED_VALUE"""),"PRESENCIAL")</f>
        <v>PRESENCIAL</v>
      </c>
      <c r="D29" s="96">
        <f ca="1">IFERROR(__xludf.DUMMYFUNCTION("""COMPUTED_VALUE"""),43900)</f>
        <v>43900</v>
      </c>
      <c r="E29" s="20" t="str">
        <f ca="1">IFERROR(__xludf.DUMMYFUNCTION("""COMPUTED_VALUE"""),"NO")</f>
        <v>NO</v>
      </c>
      <c r="F29" s="20" t="str">
        <f ca="1">IFERROR(__xludf.DUMMYFUNCTION("""COMPUTED_VALUE"""),"ASUNTOS ECOLÓGICOS")</f>
        <v>ASUNTOS ECOLÓGICOS</v>
      </c>
      <c r="G29" s="20">
        <f ca="1">IFERROR(__xludf.DUMMYFUNCTION("""COMPUTED_VALUE"""),1)</f>
        <v>1</v>
      </c>
      <c r="H29" s="20">
        <f ca="1">IFERROR(__xludf.DUMMYFUNCTION("""COMPUTED_VALUE"""),1)</f>
        <v>1</v>
      </c>
      <c r="I29" s="20">
        <f ca="1">IFERROR(__xludf.DUMMYFUNCTION("""COMPUTED_VALUE"""),1)</f>
        <v>1</v>
      </c>
      <c r="J29" s="20" t="str">
        <f ca="1">IFERROR(__xludf.DUMMYFUNCTION("""COMPUTED_VALUE"""),"NC")</f>
        <v>NC</v>
      </c>
      <c r="K29" s="20" t="str">
        <f ca="1">IFERROR(__xludf.DUMMYFUNCTION("""COMPUTED_VALUE"""),"NA")</f>
        <v>NA</v>
      </c>
      <c r="L29" s="20" t="str">
        <f ca="1">IFERROR(__xludf.DUMMYFUNCTION("""COMPUTED_VALUE"""),"NA")</f>
        <v>NA</v>
      </c>
      <c r="M29" s="20" t="str">
        <f ca="1">IFERROR(__xludf.DUMMYFUNCTION("""COMPUTED_VALUE"""),"Temas varios relacionados con las competencias de la Secretaría de Ambiente de la Provincia de Córdoba.")</f>
        <v>Temas varios relacionados con las competencias de la Secretaría de Ambiente de la Provincia de Córdoba.</v>
      </c>
      <c r="N29" s="20" t="str">
        <f ca="1">IFERROR(__xludf.DUMMYFUNCTION("""COMPUTED_VALUE"""),"NA")</f>
        <v>NA</v>
      </c>
      <c r="O29" s="20" t="str">
        <f ca="1">IFERROR(__xludf.DUMMYFUNCTION("""COMPUTED_VALUE"""),"SI")</f>
        <v>SI</v>
      </c>
      <c r="P29" s="20">
        <f ca="1">IFERROR(__xludf.DUMMYFUNCTION("""COMPUTED_VALUE"""),1)</f>
        <v>1</v>
      </c>
      <c r="Q29" s="20" t="str">
        <f ca="1">IFERROR(__xludf.DUMMYFUNCTION("""COMPUTED_VALUE"""),"NA")</f>
        <v>NA</v>
      </c>
      <c r="R29" s="20" t="str">
        <f ca="1">IFERROR(__xludf.DUMMYFUNCTION("""COMPUTED_VALUE"""),"NA")</f>
        <v>NA</v>
      </c>
      <c r="S29" s="113" t="str">
        <f ca="1">IFERROR(__xludf.DUMMYFUNCTION("""COMPUTED_VALUE"""),"https://gld.legislaturacba.gob.ar/Publics/Actas.aspx?id=zAIADgRNzXs=")</f>
        <v>https://gld.legislaturacba.gob.ar/Publics/Actas.aspx?id=zAIADgRNzXs=</v>
      </c>
      <c r="T29" s="99">
        <f t="shared" ca="1" si="0"/>
        <v>0</v>
      </c>
    </row>
    <row r="30" spans="1:20">
      <c r="A30" s="20">
        <f ca="1">IFERROR(__xludf.DUMMYFUNCTION("""COMPUTED_VALUE"""),29)</f>
        <v>29</v>
      </c>
      <c r="B30" s="20">
        <f ca="1">IFERROR(__xludf.DUMMYFUNCTION("""COMPUTED_VALUE"""),2020)</f>
        <v>2020</v>
      </c>
      <c r="C30" s="20" t="str">
        <f ca="1">IFERROR(__xludf.DUMMYFUNCTION("""COMPUTED_VALUE"""),"PRESENCIAL")</f>
        <v>PRESENCIAL</v>
      </c>
      <c r="D30" s="96">
        <f ca="1">IFERROR(__xludf.DUMMYFUNCTION("""COMPUTED_VALUE"""),43900)</f>
        <v>43900</v>
      </c>
      <c r="E30" s="20" t="str">
        <f ca="1">IFERROR(__xludf.DUMMYFUNCTION("""COMPUTED_VALUE"""),"NO")</f>
        <v>NO</v>
      </c>
      <c r="F30" s="20" t="str">
        <f ca="1">IFERROR(__xludf.DUMMYFUNCTION("""COMPUTED_VALUE"""),"DEPORTES Y RECREACIÓN")</f>
        <v>DEPORTES Y RECREACIÓN</v>
      </c>
      <c r="G30" s="20">
        <f ca="1">IFERROR(__xludf.DUMMYFUNCTION("""COMPUTED_VALUE"""),1)</f>
        <v>1</v>
      </c>
      <c r="H30" s="20">
        <f ca="1">IFERROR(__xludf.DUMMYFUNCTION("""COMPUTED_VALUE"""),2)</f>
        <v>2</v>
      </c>
      <c r="I30" s="20">
        <f ca="1">IFERROR(__xludf.DUMMYFUNCTION("""COMPUTED_VALUE"""),1)</f>
        <v>1</v>
      </c>
      <c r="J30" s="20" t="str">
        <f ca="1">IFERROR(__xludf.DUMMYFUNCTION("""COMPUTED_VALUE"""),"Ley")</f>
        <v>Ley</v>
      </c>
      <c r="K30" s="20" t="str">
        <f ca="1">IFERROR(__xludf.DUMMYFUNCTION("""COMPUTED_VALUE"""),"NA")</f>
        <v>NA</v>
      </c>
      <c r="L30" s="20" t="str">
        <f ca="1">IFERROR(__xludf.DUMMYFUNCTION("""COMPUTED_VALUE"""),"NA")</f>
        <v>NA</v>
      </c>
      <c r="M30" s="20" t="str">
        <f ca="1">IFERROR(__xludf.DUMMYFUNCTION("""COMPUTED_VALUE"""),"Anteproyecto de prórroga de la Ley 10.003.")</f>
        <v>Anteproyecto de prórroga de la Ley 10.003.</v>
      </c>
      <c r="N30" s="20" t="str">
        <f ca="1">IFERROR(__xludf.DUMMYFUNCTION("""COMPUTED_VALUE"""),"NA")</f>
        <v>NA</v>
      </c>
      <c r="O30" s="20" t="str">
        <f ca="1">IFERROR(__xludf.DUMMYFUNCTION("""COMPUTED_VALUE"""),"NO")</f>
        <v>NO</v>
      </c>
      <c r="P30" s="20">
        <f ca="1">IFERROR(__xludf.DUMMYFUNCTION("""COMPUTED_VALUE"""),0)</f>
        <v>0</v>
      </c>
      <c r="Q30" s="20" t="str">
        <f ca="1">IFERROR(__xludf.DUMMYFUNCTION("""COMPUTED_VALUE"""),"NA")</f>
        <v>NA</v>
      </c>
      <c r="R30" s="20" t="str">
        <f ca="1">IFERROR(__xludf.DUMMYFUNCTION("""COMPUTED_VALUE"""),"NA")</f>
        <v>NA</v>
      </c>
      <c r="S30" s="113" t="str">
        <f ca="1">IFERROR(__xludf.DUMMYFUNCTION("""COMPUTED_VALUE"""),"https://gld.legislaturacba.gob.ar/Publics/Actas.aspx?id=xWTBMHPcxQg=")</f>
        <v>https://gld.legislaturacba.gob.ar/Publics/Actas.aspx?id=xWTBMHPcxQg=</v>
      </c>
      <c r="T30" s="99">
        <f t="shared" ca="1" si="0"/>
        <v>0</v>
      </c>
    </row>
    <row r="31" spans="1:20">
      <c r="A31" s="20">
        <f ca="1">IFERROR(__xludf.DUMMYFUNCTION("""COMPUTED_VALUE"""),30)</f>
        <v>30</v>
      </c>
      <c r="B31" s="20">
        <f ca="1">IFERROR(__xludf.DUMMYFUNCTION("""COMPUTED_VALUE"""),2020)</f>
        <v>2020</v>
      </c>
      <c r="C31" s="20" t="str">
        <f ca="1">IFERROR(__xludf.DUMMYFUNCTION("""COMPUTED_VALUE"""),"PRESENCIAL")</f>
        <v>PRESENCIAL</v>
      </c>
      <c r="D31" s="96">
        <f ca="1">IFERROR(__xludf.DUMMYFUNCTION("""COMPUTED_VALUE"""),43901)</f>
        <v>43901</v>
      </c>
      <c r="E31" s="20" t="str">
        <f ca="1">IFERROR(__xludf.DUMMYFUNCTION("""COMPUTED_VALUE"""),"NO")</f>
        <v>NO</v>
      </c>
      <c r="F31" s="20" t="str">
        <f ca="1">IFERROR(__xludf.DUMMYFUNCTION("""COMPUTED_VALUE"""),"PROMOCIÓN Y DESARROLLO DE LAS COMUNIDADES REGIONALES")</f>
        <v>PROMOCIÓN Y DESARROLLO DE LAS COMUNIDADES REGIONALES</v>
      </c>
      <c r="G31" s="20">
        <f ca="1">IFERROR(__xludf.DUMMYFUNCTION("""COMPUTED_VALUE"""),1)</f>
        <v>1</v>
      </c>
      <c r="H31" s="20">
        <f ca="1">IFERROR(__xludf.DUMMYFUNCTION("""COMPUTED_VALUE"""),1)</f>
        <v>1</v>
      </c>
      <c r="I31" s="20">
        <f ca="1">IFERROR(__xludf.DUMMYFUNCTION("""COMPUTED_VALUE"""),1)</f>
        <v>1</v>
      </c>
      <c r="J31" s="20" t="str">
        <f ca="1">IFERROR(__xludf.DUMMYFUNCTION("""COMPUTED_VALUE"""),"NC")</f>
        <v>NC</v>
      </c>
      <c r="K31" s="20" t="str">
        <f ca="1">IFERROR(__xludf.DUMMYFUNCTION("""COMPUTED_VALUE"""),"NA")</f>
        <v>NA</v>
      </c>
      <c r="L31" s="20" t="str">
        <f ca="1">IFERROR(__xludf.DUMMYFUNCTION("""COMPUTED_VALUE"""),"NA")</f>
        <v>NA</v>
      </c>
      <c r="M31" s="20" t="str">
        <f ca="1">IFERROR(__xludf.DUMMYFUNCTION("""COMPUTED_VALUE"""),"Constitución formal de la Comisión y designación de sus autoridades.")</f>
        <v>Constitución formal de la Comisión y designación de sus autoridades.</v>
      </c>
      <c r="N31" s="20" t="str">
        <f ca="1">IFERROR(__xludf.DUMMYFUNCTION("""COMPUTED_VALUE"""),"NA")</f>
        <v>NA</v>
      </c>
      <c r="O31" s="20" t="str">
        <f ca="1">IFERROR(__xludf.DUMMYFUNCTION("""COMPUTED_VALUE"""),"NO")</f>
        <v>NO</v>
      </c>
      <c r="P31" s="20">
        <f ca="1">IFERROR(__xludf.DUMMYFUNCTION("""COMPUTED_VALUE"""),0)</f>
        <v>0</v>
      </c>
      <c r="Q31" s="20" t="str">
        <f ca="1">IFERROR(__xludf.DUMMYFUNCTION("""COMPUTED_VALUE"""),"NA")</f>
        <v>NA</v>
      </c>
      <c r="R31" s="20" t="str">
        <f ca="1">IFERROR(__xludf.DUMMYFUNCTION("""COMPUTED_VALUE"""),"NA")</f>
        <v>NA</v>
      </c>
      <c r="S31" s="113" t="str">
        <f ca="1">IFERROR(__xludf.DUMMYFUNCTION("""COMPUTED_VALUE"""),"https://gld.legislaturacba.gob.ar/Publics/Actas.aspx?id=wyLPBNCCMac=")</f>
        <v>https://gld.legislaturacba.gob.ar/Publics/Actas.aspx?id=wyLPBNCCMac=</v>
      </c>
      <c r="T31" s="99">
        <f t="shared" ca="1" si="0"/>
        <v>0</v>
      </c>
    </row>
    <row r="32" spans="1:20">
      <c r="A32" s="20">
        <f ca="1">IFERROR(__xludf.DUMMYFUNCTION("""COMPUTED_VALUE"""),31)</f>
        <v>31</v>
      </c>
      <c r="B32" s="20">
        <f ca="1">IFERROR(__xludf.DUMMYFUNCTION("""COMPUTED_VALUE"""),2020)</f>
        <v>2020</v>
      </c>
      <c r="C32" s="20" t="str">
        <f ca="1">IFERROR(__xludf.DUMMYFUNCTION("""COMPUTED_VALUE"""),"PRESENCIAL")</f>
        <v>PRESENCIAL</v>
      </c>
      <c r="D32" s="96">
        <f ca="1">IFERROR(__xludf.DUMMYFUNCTION("""COMPUTED_VALUE"""),43901)</f>
        <v>43901</v>
      </c>
      <c r="E32" s="20" t="str">
        <f ca="1">IFERROR(__xludf.DUMMYFUNCTION("""COMPUTED_VALUE"""),"SI")</f>
        <v>SI</v>
      </c>
      <c r="F32" s="20" t="str">
        <f ca="1">IFERROR(__xludf.DUMMYFUNCTION("""COMPUTED_VALUE"""),"ASUNTOS CONSTITUCIONALES, JUSTICIA Y ACUERDOS;LEGISLACIÓN GENERAL")</f>
        <v>ASUNTOS CONSTITUCIONALES, JUSTICIA Y ACUERDOS;LEGISLACIÓN GENERAL</v>
      </c>
      <c r="G32" s="20">
        <f ca="1">IFERROR(__xludf.DUMMYFUNCTION("""COMPUTED_VALUE"""),2)</f>
        <v>2</v>
      </c>
      <c r="H32" s="20">
        <f ca="1">IFERROR(__xludf.DUMMYFUNCTION("""COMPUTED_VALUE"""),2)</f>
        <v>2</v>
      </c>
      <c r="I32" s="20">
        <f ca="1">IFERROR(__xludf.DUMMYFUNCTION("""COMPUTED_VALUE"""),1)</f>
        <v>1</v>
      </c>
      <c r="J32" s="20" t="str">
        <f ca="1">IFERROR(__xludf.DUMMYFUNCTION("""COMPUTED_VALUE"""),"Ley")</f>
        <v>Ley</v>
      </c>
      <c r="K32" s="20">
        <f ca="1">IFERROR(__xludf.DUMMYFUNCTION("""COMPUTED_VALUE"""),30064)</f>
        <v>30064</v>
      </c>
      <c r="L32" s="20" t="str">
        <f ca="1">IFERROR(__xludf.DUMMYFUNCTION("""COMPUTED_VALUE"""),"Poder Legislativo Provincial")</f>
        <v>Poder Legislativo Provincial</v>
      </c>
      <c r="M32" s="20" t="str">
        <f ca="1">IFERROR(__xludf.DUMMYFUNCTION("""COMPUTED_VALUE"""),"Proyecto de Ley Nº 30064/L/20, modificando la Ley Nº 9380, que regula la utilización de videocámaras de seguridad.")</f>
        <v>Proyecto de Ley Nº 30064/L/20, modificando la Ley Nº 9380, que regula la utilización de videocámaras de seguridad.</v>
      </c>
      <c r="N32" s="20" t="str">
        <f ca="1">IFERROR(__xludf.DUMMYFUNCTION("""COMPUTED_VALUE"""),"NO")</f>
        <v>NO</v>
      </c>
      <c r="O32" s="20" t="str">
        <f ca="1">IFERROR(__xludf.DUMMYFUNCTION("""COMPUTED_VALUE"""),"NO")</f>
        <v>NO</v>
      </c>
      <c r="P32" s="20">
        <f ca="1">IFERROR(__xludf.DUMMYFUNCTION("""COMPUTED_VALUE"""),0)</f>
        <v>0</v>
      </c>
      <c r="Q32" s="20" t="str">
        <f ca="1">IFERROR(__xludf.DUMMYFUNCTION("""COMPUTED_VALUE"""),"NA")</f>
        <v>NA</v>
      </c>
      <c r="R32" s="20" t="str">
        <f ca="1">IFERROR(__xludf.DUMMYFUNCTION("""COMPUTED_VALUE"""),"NA")</f>
        <v>NA</v>
      </c>
      <c r="S32" s="113" t="str">
        <f ca="1">IFERROR(__xludf.DUMMYFUNCTION("""COMPUTED_VALUE"""),"https://gld.legislaturacba.gob.ar/Publics/Actas.aspx?id=niqJ5jpnycc=;https://gld.legislaturacba.gob.ar/Publics/Actas.aspx?id=fATJVaLhlog=")</f>
        <v>https://gld.legislaturacba.gob.ar/Publics/Actas.aspx?id=niqJ5jpnycc=;https://gld.legislaturacba.gob.ar/Publics/Actas.aspx?id=fATJVaLhlog=</v>
      </c>
      <c r="T32" s="99">
        <f t="shared" ca="1" si="0"/>
        <v>0</v>
      </c>
    </row>
    <row r="33" spans="1:20">
      <c r="A33" s="20">
        <f ca="1">IFERROR(__xludf.DUMMYFUNCTION("""COMPUTED_VALUE"""),32)</f>
        <v>32</v>
      </c>
      <c r="B33" s="20">
        <f ca="1">IFERROR(__xludf.DUMMYFUNCTION("""COMPUTED_VALUE"""),2020)</f>
        <v>2020</v>
      </c>
      <c r="C33" s="20" t="str">
        <f ca="1">IFERROR(__xludf.DUMMYFUNCTION("""COMPUTED_VALUE"""),"VIRTUAL")</f>
        <v>VIRTUAL</v>
      </c>
      <c r="D33" s="96">
        <f ca="1">IFERROR(__xludf.DUMMYFUNCTION("""COMPUTED_VALUE"""),43935)</f>
        <v>43935</v>
      </c>
      <c r="E33" s="20" t="str">
        <f ca="1">IFERROR(__xludf.DUMMYFUNCTION("""COMPUTED_VALUE"""),"NO")</f>
        <v>NO</v>
      </c>
      <c r="F33" s="20" t="str">
        <f ca="1">IFERROR(__xludf.DUMMYFUNCTION("""COMPUTED_VALUE"""),"ECONOMÍA, PRESUPUESTO, GESTIÓN PÚBLICA E INNOVACIÓN")</f>
        <v>ECONOMÍA, PRESUPUESTO, GESTIÓN PÚBLICA E INNOVACIÓN</v>
      </c>
      <c r="G33" s="20">
        <f ca="1">IFERROR(__xludf.DUMMYFUNCTION("""COMPUTED_VALUE"""),1)</f>
        <v>1</v>
      </c>
      <c r="H33" s="20">
        <f ca="1">IFERROR(__xludf.DUMMYFUNCTION("""COMPUTED_VALUE"""),2)</f>
        <v>2</v>
      </c>
      <c r="I33" s="20">
        <f ca="1">IFERROR(__xludf.DUMMYFUNCTION("""COMPUTED_VALUE"""),1)</f>
        <v>1</v>
      </c>
      <c r="J33" s="20" t="str">
        <f ca="1">IFERROR(__xludf.DUMMYFUNCTION("""COMPUTED_VALUE"""),"Ley")</f>
        <v>Ley</v>
      </c>
      <c r="K33" s="20">
        <f ca="1">IFERROR(__xludf.DUMMYFUNCTION("""COMPUTED_VALUE"""),30177)</f>
        <v>30177</v>
      </c>
      <c r="L33" s="20" t="str">
        <f ca="1">IFERROR(__xludf.DUMMYFUNCTION("""COMPUTED_VALUE"""),"Poder Ejecutivo Provincial")</f>
        <v>Poder Ejecutivo Provincial</v>
      </c>
      <c r="M33" s="20" t="str">
        <f ca="1">IFERROR(__xludf.DUMMYFUNCTION("""COMPUTED_VALUE"""),"Proyecto de Ley Nº 30177/E/20, por el cual se ratifica el decreto que dispone el otorgamiento por parte de la Provincia de Córdoba, de avales, fianzas o cualquier otro tipo de garantía a favor de empresas “MiPyMEs” (micro, pequeñas y medianas empresas).")</f>
        <v>Proyecto de Ley Nº 30177/E/20, por el cual se ratifica el decreto que dispone el otorgamiento por parte de la Provincia de Córdoba, de avales, fianzas o cualquier otro tipo de garantía a favor de empresas “MiPyMEs” (micro, pequeñas y medianas empresas).</v>
      </c>
      <c r="N33" s="20" t="str">
        <f ca="1">IFERROR(__xludf.DUMMYFUNCTION("""COMPUTED_VALUE"""),"SI")</f>
        <v>SI</v>
      </c>
      <c r="O33" s="20" t="str">
        <f ca="1">IFERROR(__xludf.DUMMYFUNCTION("""COMPUTED_VALUE"""),"SI")</f>
        <v>SI</v>
      </c>
      <c r="P33" s="20">
        <f ca="1">IFERROR(__xludf.DUMMYFUNCTION("""COMPUTED_VALUE"""),1)</f>
        <v>1</v>
      </c>
      <c r="Q33" s="113" t="str">
        <f ca="1">IFERROR(__xludf.DUMMYFUNCTION("""COMPUTED_VALUE"""),"https://gld.legislaturacba.gob.ar/_cdd/api/Documento/descargar?guid=a5198ed0-aaae-401c-ae23-02eab8a3143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v>
      </c>
      <c r="R33" s="113" t="str">
        <f ca="1">IFERROR(__xludf.DUMMYFUNCTION("""COMPUTED_VALUE"""),"https://www.youtube.com/watch?v=vUB_INPxhE4")</f>
        <v>https://www.youtube.com/watch?v=vUB_INPxhE4</v>
      </c>
      <c r="S33" s="113" t="str">
        <f ca="1">IFERROR(__xludf.DUMMYFUNCTION("""COMPUTED_VALUE"""),"https://gld.legislaturacba.gob.ar/Publics/Actas.aspx?id=WnuvlgHXSNY=")</f>
        <v>https://gld.legislaturacba.gob.ar/Publics/Actas.aspx?id=WnuvlgHXSNY=</v>
      </c>
      <c r="T33" s="99">
        <f t="shared" ca="1" si="0"/>
        <v>0</v>
      </c>
    </row>
    <row r="34" spans="1:20">
      <c r="A34" s="20">
        <f ca="1">IFERROR(__xludf.DUMMYFUNCTION("""COMPUTED_VALUE"""),33)</f>
        <v>33</v>
      </c>
      <c r="B34" s="20">
        <f ca="1">IFERROR(__xludf.DUMMYFUNCTION("""COMPUTED_VALUE"""),2020)</f>
        <v>2020</v>
      </c>
      <c r="C34" s="20" t="str">
        <f ca="1">IFERROR(__xludf.DUMMYFUNCTION("""COMPUTED_VALUE"""),"VIRTUAL")</f>
        <v>VIRTUAL</v>
      </c>
      <c r="D34" s="96">
        <f ca="1">IFERROR(__xludf.DUMMYFUNCTION("""COMPUTED_VALUE"""),43950)</f>
        <v>43950</v>
      </c>
      <c r="E34" s="20" t="str">
        <f ca="1">IFERROR(__xludf.DUMMYFUNCTION("""COMPUTED_VALUE"""),"NO")</f>
        <v>NO</v>
      </c>
      <c r="F34" s="20" t="str">
        <f ca="1">IFERROR(__xludf.DUMMYFUNCTION("""COMPUTED_VALUE"""),"EDUCACIÓN, CULTURA, CIENCIA, TECNOLOGÍA E INFORMÁTICA")</f>
        <v>EDUCACIÓN, CULTURA, CIENCIA, TECNOLOGÍA E INFORMÁTICA</v>
      </c>
      <c r="G34" s="20">
        <f ca="1">IFERROR(__xludf.DUMMYFUNCTION("""COMPUTED_VALUE"""),1)</f>
        <v>1</v>
      </c>
      <c r="H34" s="20">
        <f ca="1">IFERROR(__xludf.DUMMYFUNCTION("""COMPUTED_VALUE"""),1)</f>
        <v>1</v>
      </c>
      <c r="I34" s="20">
        <f ca="1">IFERROR(__xludf.DUMMYFUNCTION("""COMPUTED_VALUE"""),1)</f>
        <v>1</v>
      </c>
      <c r="J34" s="20" t="str">
        <f ca="1">IFERROR(__xludf.DUMMYFUNCTION("""COMPUTED_VALUE"""),"NC")</f>
        <v>NC</v>
      </c>
      <c r="K34" s="20" t="str">
        <f ca="1">IFERROR(__xludf.DUMMYFUNCTION("""COMPUTED_VALUE"""),"NA")</f>
        <v>NA</v>
      </c>
      <c r="L34" s="20" t="str">
        <f ca="1">IFERROR(__xludf.DUMMYFUNCTION("""COMPUTED_VALUE"""),"NA")</f>
        <v>NA</v>
      </c>
      <c r="M34" s="20" t="str">
        <f ca="1">IFERROR(__xludf.DUMMYFUNCTION("""COMPUTED_VALUE"""),"Temas vinculados al Ministerio de Educación de la Provincia de Córdoba, en el marco del Aislamiento Social, Preventivo y Obligatorio. Respuesta a pedidos de informe.")</f>
        <v>Temas vinculados al Ministerio de Educación de la Provincia de Córdoba, en el marco del Aislamiento Social, Preventivo y Obligatorio. Respuesta a pedidos de informe.</v>
      </c>
      <c r="N34" s="20" t="str">
        <f ca="1">IFERROR(__xludf.DUMMYFUNCTION("""COMPUTED_VALUE"""),"NA")</f>
        <v>NA</v>
      </c>
      <c r="O34" s="20" t="str">
        <f ca="1">IFERROR(__xludf.DUMMYFUNCTION("""COMPUTED_VALUE"""),"SI")</f>
        <v>SI</v>
      </c>
      <c r="P34" s="20">
        <f ca="1">IFERROR(__xludf.DUMMYFUNCTION("""COMPUTED_VALUE"""),1)</f>
        <v>1</v>
      </c>
      <c r="Q34" s="113" t="str">
        <f ca="1">IFERROR(__xludf.DUMMYFUNCTION("""COMPUTED_VALUE"""),"https://gld.legislaturacba.gob.ar/_cdd/api/Documento/descargar?guid=2bbd6fab-719e-4e93-840e-2bee493a92f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v>
      </c>
      <c r="R34" s="113" t="str">
        <f ca="1">IFERROR(__xludf.DUMMYFUNCTION("""COMPUTED_VALUE"""),"https://www.youtube.com/watch?v=07Y2v4hV47s")</f>
        <v>https://www.youtube.com/watch?v=07Y2v4hV47s</v>
      </c>
      <c r="S34" s="113" t="str">
        <f ca="1">IFERROR(__xludf.DUMMYFUNCTION("""COMPUTED_VALUE"""),"https://gld.legislaturacba.gob.ar/Publics/Actas.aspx?id=05nq1TIMSso=")</f>
        <v>https://gld.legislaturacba.gob.ar/Publics/Actas.aspx?id=05nq1TIMSso=</v>
      </c>
      <c r="T34" s="99">
        <f t="shared" ca="1" si="0"/>
        <v>0</v>
      </c>
    </row>
    <row r="35" spans="1:20">
      <c r="A35" s="20">
        <f ca="1">IFERROR(__xludf.DUMMYFUNCTION("""COMPUTED_VALUE"""),34)</f>
        <v>34</v>
      </c>
      <c r="B35" s="20">
        <f ca="1">IFERROR(__xludf.DUMMYFUNCTION("""COMPUTED_VALUE"""),2020)</f>
        <v>2020</v>
      </c>
      <c r="C35" s="20" t="str">
        <f ca="1">IFERROR(__xludf.DUMMYFUNCTION("""COMPUTED_VALUE"""),"VIRTUAL")</f>
        <v>VIRTUAL</v>
      </c>
      <c r="D35" s="96">
        <f ca="1">IFERROR(__xludf.DUMMYFUNCTION("""COMPUTED_VALUE"""),43956)</f>
        <v>43956</v>
      </c>
      <c r="E35" s="20" t="str">
        <f ca="1">IFERROR(__xludf.DUMMYFUNCTION("""COMPUTED_VALUE"""),"NO")</f>
        <v>NO</v>
      </c>
      <c r="F35" s="20" t="str">
        <f ca="1">IFERROR(__xludf.DUMMYFUNCTION("""COMPUTED_VALUE"""),"EQUIDAD Y LUCHA CONTRA LA VIOLENCIA DE GÉNERO")</f>
        <v>EQUIDAD Y LUCHA CONTRA LA VIOLENCIA DE GÉNERO</v>
      </c>
      <c r="G35" s="20">
        <f ca="1">IFERROR(__xludf.DUMMYFUNCTION("""COMPUTED_VALUE"""),1)</f>
        <v>1</v>
      </c>
      <c r="H35" s="20">
        <f ca="1">IFERROR(__xludf.DUMMYFUNCTION("""COMPUTED_VALUE"""),1)</f>
        <v>1</v>
      </c>
      <c r="I35" s="20">
        <f ca="1">IFERROR(__xludf.DUMMYFUNCTION("""COMPUTED_VALUE"""),1)</f>
        <v>1</v>
      </c>
      <c r="J35" s="20" t="str">
        <f ca="1">IFERROR(__xludf.DUMMYFUNCTION("""COMPUTED_VALUE"""),"NC")</f>
        <v>NC</v>
      </c>
      <c r="K35" s="20" t="str">
        <f ca="1">IFERROR(__xludf.DUMMYFUNCTION("""COMPUTED_VALUE"""),"NA")</f>
        <v>NA</v>
      </c>
      <c r="L35" s="20" t="str">
        <f ca="1">IFERROR(__xludf.DUMMYFUNCTION("""COMPUTED_VALUE"""),"NA")</f>
        <v>NA</v>
      </c>
      <c r="M35" s="20" t="str">
        <f ca="1">IFERROR(__xludf.DUMMYFUNCTION("""COMPUTED_VALUE"""),"Violencia de género en el marco del Aislamiento Social, Preventivo y Obligatorio. Respuesta a pedidos de informe.")</f>
        <v>Violencia de género en el marco del Aislamiento Social, Preventivo y Obligatorio. Respuesta a pedidos de informe.</v>
      </c>
      <c r="N35" s="20" t="str">
        <f ca="1">IFERROR(__xludf.DUMMYFUNCTION("""COMPUTED_VALUE"""),"NA")</f>
        <v>NA</v>
      </c>
      <c r="O35" s="20" t="str">
        <f ca="1">IFERROR(__xludf.DUMMYFUNCTION("""COMPUTED_VALUE"""),"SI")</f>
        <v>SI</v>
      </c>
      <c r="P35" s="20">
        <f ca="1">IFERROR(__xludf.DUMMYFUNCTION("""COMPUTED_VALUE"""),1)</f>
        <v>1</v>
      </c>
      <c r="Q35" s="113" t="str">
        <f ca="1">IFERROR(__xludf.DUMMYFUNCTION("""COMPUTED_VALUE"""),"https://gld.legislaturacba.gob.ar/_cdd/api/Documento/descargar?guid=363cfae4-bbe8-4a02-81c2-32c2735b1eb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v>
      </c>
      <c r="R35" s="113" t="str">
        <f ca="1">IFERROR(__xludf.DUMMYFUNCTION("""COMPUTED_VALUE"""),"https://www.youtube.com/watch?v=vvIHzsKlQ08")</f>
        <v>https://www.youtube.com/watch?v=vvIHzsKlQ08</v>
      </c>
      <c r="S35" s="113" t="str">
        <f ca="1">IFERROR(__xludf.DUMMYFUNCTION("""COMPUTED_VALUE"""),"https://gld.legislaturacba.gob.ar/Publics/Actas.aspx?id=m6AwGSHemLo=")</f>
        <v>https://gld.legislaturacba.gob.ar/Publics/Actas.aspx?id=m6AwGSHemLo=</v>
      </c>
      <c r="T35" s="99">
        <f t="shared" ca="1" si="0"/>
        <v>0</v>
      </c>
    </row>
    <row r="36" spans="1:20">
      <c r="A36" s="20">
        <f ca="1">IFERROR(__xludf.DUMMYFUNCTION("""COMPUTED_VALUE"""),35)</f>
        <v>35</v>
      </c>
      <c r="B36" s="20">
        <f ca="1">IFERROR(__xludf.DUMMYFUNCTION("""COMPUTED_VALUE"""),2020)</f>
        <v>2020</v>
      </c>
      <c r="C36" s="20" t="str">
        <f ca="1">IFERROR(__xludf.DUMMYFUNCTION("""COMPUTED_VALUE"""),"VIRTUAL")</f>
        <v>VIRTUAL</v>
      </c>
      <c r="D36" s="96">
        <f ca="1">IFERROR(__xludf.DUMMYFUNCTION("""COMPUTED_VALUE"""),43957)</f>
        <v>43957</v>
      </c>
      <c r="E36" s="20" t="str">
        <f ca="1">IFERROR(__xludf.DUMMYFUNCTION("""COMPUTED_VALUE"""),"NO")</f>
        <v>NO</v>
      </c>
      <c r="F36" s="20" t="str">
        <f ca="1">IFERROR(__xludf.DUMMYFUNCTION("""COMPUTED_VALUE"""),"LEGISLACIÓN DEL TRABAJO, PREVISIÓN Y SEGURIDAD SOCIAL")</f>
        <v>LEGISLACIÓN DEL TRABAJO, PREVISIÓN Y SEGURIDAD SOCIAL</v>
      </c>
      <c r="G36" s="20">
        <f ca="1">IFERROR(__xludf.DUMMYFUNCTION("""COMPUTED_VALUE"""),1)</f>
        <v>1</v>
      </c>
      <c r="H36" s="20">
        <f ca="1">IFERROR(__xludf.DUMMYFUNCTION("""COMPUTED_VALUE"""),1)</f>
        <v>1</v>
      </c>
      <c r="I36" s="20">
        <f ca="1">IFERROR(__xludf.DUMMYFUNCTION("""COMPUTED_VALUE"""),1)</f>
        <v>1</v>
      </c>
      <c r="J36" s="20" t="str">
        <f ca="1">IFERROR(__xludf.DUMMYFUNCTION("""COMPUTED_VALUE"""),"NC")</f>
        <v>NC</v>
      </c>
      <c r="K36" s="20" t="str">
        <f ca="1">IFERROR(__xludf.DUMMYFUNCTION("""COMPUTED_VALUE"""),"NA")</f>
        <v>NA</v>
      </c>
      <c r="L36" s="20" t="str">
        <f ca="1">IFERROR(__xludf.DUMMYFUNCTION("""COMPUTED_VALUE"""),"NA")</f>
        <v>NA</v>
      </c>
      <c r="M36" s="20" t="str">
        <f ca="1">IFERROR(__xludf.DUMMYFUNCTION("""COMPUTED_VALUE"""),"Temas vinculados al Ministerio de Trabajo de la Provincia de Córdoba en el marco del Aislamiento Social, Preventivo y Obligatorio.")</f>
        <v>Temas vinculados al Ministerio de Trabajo de la Provincia de Córdoba en el marco del Aislamiento Social, Preventivo y Obligatorio.</v>
      </c>
      <c r="N36" s="20" t="str">
        <f ca="1">IFERROR(__xludf.DUMMYFUNCTION("""COMPUTED_VALUE"""),"NA")</f>
        <v>NA</v>
      </c>
      <c r="O36" s="20" t="str">
        <f ca="1">IFERROR(__xludf.DUMMYFUNCTION("""COMPUTED_VALUE"""),"SI")</f>
        <v>SI</v>
      </c>
      <c r="P36" s="20">
        <f ca="1">IFERROR(__xludf.DUMMYFUNCTION("""COMPUTED_VALUE"""),1)</f>
        <v>1</v>
      </c>
      <c r="Q36" s="113" t="str">
        <f ca="1">IFERROR(__xludf.DUMMYFUNCTION("""COMPUTED_VALUE"""),"https://gld.legislaturacba.gob.ar/_cdd/api/Documento/descargar?guid=6e46b51f-4c5b-4fb3-975b-3c3bf327d11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v>
      </c>
      <c r="R36" s="113" t="str">
        <f ca="1">IFERROR(__xludf.DUMMYFUNCTION("""COMPUTED_VALUE"""),"https://www.youtube.com/watch?v=-DVljyOAsvY")</f>
        <v>https://www.youtube.com/watch?v=-DVljyOAsvY</v>
      </c>
      <c r="S36" s="113" t="str">
        <f ca="1">IFERROR(__xludf.DUMMYFUNCTION("""COMPUTED_VALUE"""),"https://gld.legislaturacba.gob.ar/Publics/Actas.aspx?id=FNYJSALtxmg=")</f>
        <v>https://gld.legislaturacba.gob.ar/Publics/Actas.aspx?id=FNYJSALtxmg=</v>
      </c>
      <c r="T36" s="99">
        <f t="shared" ca="1" si="0"/>
        <v>0</v>
      </c>
    </row>
    <row r="37" spans="1:20">
      <c r="A37" s="20">
        <f ca="1">IFERROR(__xludf.DUMMYFUNCTION("""COMPUTED_VALUE"""),36)</f>
        <v>36</v>
      </c>
      <c r="B37" s="20">
        <f ca="1">IFERROR(__xludf.DUMMYFUNCTION("""COMPUTED_VALUE"""),2020)</f>
        <v>2020</v>
      </c>
      <c r="C37" s="20" t="str">
        <f ca="1">IFERROR(__xludf.DUMMYFUNCTION("""COMPUTED_VALUE"""),"VIRTUAL")</f>
        <v>VIRTUAL</v>
      </c>
      <c r="D37" s="96">
        <f ca="1">IFERROR(__xludf.DUMMYFUNCTION("""COMPUTED_VALUE"""),43958)</f>
        <v>43958</v>
      </c>
      <c r="E37" s="20" t="str">
        <f ca="1">IFERROR(__xludf.DUMMYFUNCTION("""COMPUTED_VALUE"""),"NO")</f>
        <v>NO</v>
      </c>
      <c r="F37" s="20" t="str">
        <f ca="1">IFERROR(__xludf.DUMMYFUNCTION("""COMPUTED_VALUE"""),"PREVENCIÓN, TRATAMIENTO Y CONTROL DE LAS ADICCIONES")</f>
        <v>PREVENCIÓN, TRATAMIENTO Y CONTROL DE LAS ADICCIONES</v>
      </c>
      <c r="G37" s="20">
        <f ca="1">IFERROR(__xludf.DUMMYFUNCTION("""COMPUTED_VALUE"""),1)</f>
        <v>1</v>
      </c>
      <c r="H37" s="20">
        <f ca="1">IFERROR(__xludf.DUMMYFUNCTION("""COMPUTED_VALUE"""),1)</f>
        <v>1</v>
      </c>
      <c r="I37" s="20">
        <f ca="1">IFERROR(__xludf.DUMMYFUNCTION("""COMPUTED_VALUE"""),1)</f>
        <v>1</v>
      </c>
      <c r="J37" s="20" t="str">
        <f ca="1">IFERROR(__xludf.DUMMYFUNCTION("""COMPUTED_VALUE"""),"NC")</f>
        <v>NC</v>
      </c>
      <c r="K37" s="20" t="str">
        <f ca="1">IFERROR(__xludf.DUMMYFUNCTION("""COMPUTED_VALUE"""),"NA")</f>
        <v>NA</v>
      </c>
      <c r="L37" s="20" t="str">
        <f ca="1">IFERROR(__xludf.DUMMYFUNCTION("""COMPUTED_VALUE"""),"NA")</f>
        <v>NA</v>
      </c>
      <c r="M37" s="20" t="str">
        <f ca="1">IFERROR(__xludf.DUMMYFUNCTION("""COMPUTED_VALUE"""),"Temas vinculados a la Secretaría de Prevención y Asistencia de las Adicciones en el marco de la Pandemia COVID-19 y del Aislamiento Social, Preventivo y Obligatorio.")</f>
        <v>Temas vinculados a la Secretaría de Prevención y Asistencia de las Adicciones en el marco de la Pandemia COVID-19 y del Aislamiento Social, Preventivo y Obligatorio.</v>
      </c>
      <c r="N37" s="20" t="str">
        <f ca="1">IFERROR(__xludf.DUMMYFUNCTION("""COMPUTED_VALUE"""),"NA")</f>
        <v>NA</v>
      </c>
      <c r="O37" s="20" t="str">
        <f ca="1">IFERROR(__xludf.DUMMYFUNCTION("""COMPUTED_VALUE"""),"SI")</f>
        <v>SI</v>
      </c>
      <c r="P37" s="20">
        <f ca="1">IFERROR(__xludf.DUMMYFUNCTION("""COMPUTED_VALUE"""),2)</f>
        <v>2</v>
      </c>
      <c r="Q37" s="113" t="str">
        <f ca="1">IFERROR(__xludf.DUMMYFUNCTION("""COMPUTED_VALUE"""),"https://gld.legislaturacba.gob.ar/_cdd/api/Documento/descargar?guid=ba1136ad-bdd7-4d7d-af91-ec08a786ff12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v>
      </c>
      <c r="R37" s="113" t="str">
        <f ca="1">IFERROR(__xludf.DUMMYFUNCTION("""COMPUTED_VALUE"""),"https://www.youtube.com/watch?v=kyCmdAaT278")</f>
        <v>https://www.youtube.com/watch?v=kyCmdAaT278</v>
      </c>
      <c r="S37" s="113" t="str">
        <f ca="1">IFERROR(__xludf.DUMMYFUNCTION("""COMPUTED_VALUE"""),"https://gld.legislaturacba.gob.ar/Publics/Actas.aspx?id=Ps9WXRrPjoI=")</f>
        <v>https://gld.legislaturacba.gob.ar/Publics/Actas.aspx?id=Ps9WXRrPjoI=</v>
      </c>
      <c r="T37" s="99">
        <f t="shared" ca="1" si="0"/>
        <v>0</v>
      </c>
    </row>
    <row r="38" spans="1:20">
      <c r="A38" s="20">
        <f ca="1">IFERROR(__xludf.DUMMYFUNCTION("""COMPUTED_VALUE"""),37)</f>
        <v>37</v>
      </c>
      <c r="B38" s="20">
        <f ca="1">IFERROR(__xludf.DUMMYFUNCTION("""COMPUTED_VALUE"""),2020)</f>
        <v>2020</v>
      </c>
      <c r="C38" s="20" t="str">
        <f ca="1">IFERROR(__xludf.DUMMYFUNCTION("""COMPUTED_VALUE"""),"VIRTUAL")</f>
        <v>VIRTUAL</v>
      </c>
      <c r="D38" s="96">
        <f ca="1">IFERROR(__xludf.DUMMYFUNCTION("""COMPUTED_VALUE"""),43963)</f>
        <v>43963</v>
      </c>
      <c r="E38" s="20" t="str">
        <f ca="1">IFERROR(__xludf.DUMMYFUNCTION("""COMPUTED_VALUE"""),"NO")</f>
        <v>NO</v>
      </c>
      <c r="F38" s="20" t="str">
        <f ca="1">IFERROR(__xludf.DUMMYFUNCTION("""COMPUTED_VALUE"""),"PROMOCIÓN Y DESARROLLO DE ECONOMÍAS REGIONALES Y PYMES")</f>
        <v>PROMOCIÓN Y DESARROLLO DE ECONOMÍAS REGIONALES Y PYMES</v>
      </c>
      <c r="G38" s="20">
        <f ca="1">IFERROR(__xludf.DUMMYFUNCTION("""COMPUTED_VALUE"""),1)</f>
        <v>1</v>
      </c>
      <c r="H38" s="20">
        <f ca="1">IFERROR(__xludf.DUMMYFUNCTION("""COMPUTED_VALUE"""),1)</f>
        <v>1</v>
      </c>
      <c r="I38" s="20">
        <f ca="1">IFERROR(__xludf.DUMMYFUNCTION("""COMPUTED_VALUE"""),1)</f>
        <v>1</v>
      </c>
      <c r="J38" s="20" t="str">
        <f ca="1">IFERROR(__xludf.DUMMYFUNCTION("""COMPUTED_VALUE"""),"NC")</f>
        <v>NC</v>
      </c>
      <c r="K38" s="20" t="str">
        <f ca="1">IFERROR(__xludf.DUMMYFUNCTION("""COMPUTED_VALUE"""),"NA")</f>
        <v>NA</v>
      </c>
      <c r="L38" s="20" t="str">
        <f ca="1">IFERROR(__xludf.DUMMYFUNCTION("""COMPUTED_VALUE"""),"NA")</f>
        <v>NA</v>
      </c>
      <c r="M38" s="20" t="str">
        <f ca="1">IFERROR(__xludf.DUMMYFUNCTION("""COMPUTED_VALUE"""),"Constitución formal de la Comisión y designación de sus autoridades.")</f>
        <v>Constitución formal de la Comisión y designación de sus autoridades.</v>
      </c>
      <c r="N38" s="20" t="str">
        <f ca="1">IFERROR(__xludf.DUMMYFUNCTION("""COMPUTED_VALUE"""),"NA")</f>
        <v>NA</v>
      </c>
      <c r="O38" s="20" t="str">
        <f ca="1">IFERROR(__xludf.DUMMYFUNCTION("""COMPUTED_VALUE"""),"NO")</f>
        <v>NO</v>
      </c>
      <c r="P38" s="20">
        <f ca="1">IFERROR(__xludf.DUMMYFUNCTION("""COMPUTED_VALUE"""),0)</f>
        <v>0</v>
      </c>
      <c r="Q38" s="113" t="str">
        <f ca="1">IFERROR(__xludf.DUMMYFUNCTION("""COMPUTED_VALUE"""),"https://gld.legislaturacba.gob.ar/_cdd/api/Documento/descargar?guid=98c71aea-eb0c-401c-b098-205988f7e333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v>
      </c>
      <c r="R38" s="113" t="str">
        <f ca="1">IFERROR(__xludf.DUMMYFUNCTION("""COMPUTED_VALUE"""),"https://www.youtube.com/watch?v=u2SzA8HwB1E")</f>
        <v>https://www.youtube.com/watch?v=u2SzA8HwB1E</v>
      </c>
      <c r="S38" s="113" t="str">
        <f ca="1">IFERROR(__xludf.DUMMYFUNCTION("""COMPUTED_VALUE"""),"https://gld.legislaturacba.gob.ar/Publics/Actas.aspx?id=Wn7zEuoaaXY=")</f>
        <v>https://gld.legislaturacba.gob.ar/Publics/Actas.aspx?id=Wn7zEuoaaXY=</v>
      </c>
      <c r="T38" s="99">
        <f t="shared" ca="1" si="0"/>
        <v>0</v>
      </c>
    </row>
    <row r="39" spans="1:20">
      <c r="A39" s="20">
        <f ca="1">IFERROR(__xludf.DUMMYFUNCTION("""COMPUTED_VALUE"""),38)</f>
        <v>38</v>
      </c>
      <c r="B39" s="20">
        <f ca="1">IFERROR(__xludf.DUMMYFUNCTION("""COMPUTED_VALUE"""),2020)</f>
        <v>2020</v>
      </c>
      <c r="C39" s="20" t="str">
        <f ca="1">IFERROR(__xludf.DUMMYFUNCTION("""COMPUTED_VALUE"""),"VIRTUAL")</f>
        <v>VIRTUAL</v>
      </c>
      <c r="D39" s="96">
        <f ca="1">IFERROR(__xludf.DUMMYFUNCTION("""COMPUTED_VALUE"""),43963)</f>
        <v>43963</v>
      </c>
      <c r="E39" s="20" t="str">
        <f ca="1">IFERROR(__xludf.DUMMYFUNCTION("""COMPUTED_VALUE"""),"NO")</f>
        <v>NO</v>
      </c>
      <c r="F39" s="20" t="str">
        <f ca="1">IFERROR(__xludf.DUMMYFUNCTION("""COMPUTED_VALUE"""),"DERECHOS HUMANOS Y DESARROLLO SOCIAL")</f>
        <v>DERECHOS HUMANOS Y DESARROLLO SOCIAL</v>
      </c>
      <c r="G39" s="20">
        <f ca="1">IFERROR(__xludf.DUMMYFUNCTION("""COMPUTED_VALUE"""),1)</f>
        <v>1</v>
      </c>
      <c r="H39" s="20">
        <f ca="1">IFERROR(__xludf.DUMMYFUNCTION("""COMPUTED_VALUE"""),1)</f>
        <v>1</v>
      </c>
      <c r="I39" s="20">
        <f ca="1">IFERROR(__xludf.DUMMYFUNCTION("""COMPUTED_VALUE"""),1)</f>
        <v>1</v>
      </c>
      <c r="J39" s="20" t="str">
        <f ca="1">IFERROR(__xludf.DUMMYFUNCTION("""COMPUTED_VALUE"""),"NC")</f>
        <v>NC</v>
      </c>
      <c r="K39" s="20" t="str">
        <f ca="1">IFERROR(__xludf.DUMMYFUNCTION("""COMPUTED_VALUE"""),"NA")</f>
        <v>NA</v>
      </c>
      <c r="L39" s="20" t="str">
        <f ca="1">IFERROR(__xludf.DUMMYFUNCTION("""COMPUTED_VALUE"""),"NA")</f>
        <v>NA</v>
      </c>
      <c r="M39" s="20" t="str">
        <f ca="1">IFERROR(__xludf.DUMMYFUNCTION("""COMPUTED_VALUE"""),"Temas vinculados al Programa PAICOR en el marco de la Pandemia COVID-19 y del Aislamiento Social, Preventivo y Obligatorio. Respuesta a pedidos de informe.")</f>
        <v>Temas vinculados al Programa PAICOR en el marco de la Pandemia COVID-19 y del Aislamiento Social, Preventivo y Obligatorio. Respuesta a pedidos de informe.</v>
      </c>
      <c r="N39" s="20" t="str">
        <f ca="1">IFERROR(__xludf.DUMMYFUNCTION("""COMPUTED_VALUE"""),"NA")</f>
        <v>NA</v>
      </c>
      <c r="O39" s="20" t="str">
        <f ca="1">IFERROR(__xludf.DUMMYFUNCTION("""COMPUTED_VALUE"""),"SI")</f>
        <v>SI</v>
      </c>
      <c r="P39" s="20">
        <f ca="1">IFERROR(__xludf.DUMMYFUNCTION("""COMPUTED_VALUE"""),1)</f>
        <v>1</v>
      </c>
      <c r="Q39" s="113" t="str">
        <f ca="1">IFERROR(__xludf.DUMMYFUNCTION("""COMPUTED_VALUE"""),"https://gld.legislaturacba.gob.ar/_cdd/api/Documento/descargar?guid=2d6d78ce-a5fa-49fa-ade2-abaee1014ce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v>
      </c>
      <c r="R39" s="113" t="str">
        <f ca="1">IFERROR(__xludf.DUMMYFUNCTION("""COMPUTED_VALUE"""),"https://www.youtube.com/watch?v=2l00sknI04g")</f>
        <v>https://www.youtube.com/watch?v=2l00sknI04g</v>
      </c>
      <c r="S39" s="113" t="str">
        <f ca="1">IFERROR(__xludf.DUMMYFUNCTION("""COMPUTED_VALUE"""),"https://gld.legislaturacba.gob.ar/Publics/Actas.aspx?id=FSbC1P5ngP8=")</f>
        <v>https://gld.legislaturacba.gob.ar/Publics/Actas.aspx?id=FSbC1P5ngP8=</v>
      </c>
      <c r="T39" s="99">
        <f t="shared" ca="1" si="0"/>
        <v>0</v>
      </c>
    </row>
    <row r="40" spans="1:20">
      <c r="A40" s="20">
        <f ca="1">IFERROR(__xludf.DUMMYFUNCTION("""COMPUTED_VALUE"""),39)</f>
        <v>39</v>
      </c>
      <c r="B40" s="20">
        <f ca="1">IFERROR(__xludf.DUMMYFUNCTION("""COMPUTED_VALUE"""),2020)</f>
        <v>2020</v>
      </c>
      <c r="C40" s="20" t="str">
        <f ca="1">IFERROR(__xludf.DUMMYFUNCTION("""COMPUTED_VALUE"""),"VIRTUAL")</f>
        <v>VIRTUAL</v>
      </c>
      <c r="D40" s="96">
        <f ca="1">IFERROR(__xludf.DUMMYFUNCTION("""COMPUTED_VALUE"""),43964)</f>
        <v>43964</v>
      </c>
      <c r="E40" s="20" t="str">
        <f ca="1">IFERROR(__xludf.DUMMYFUNCTION("""COMPUTED_VALUE"""),"NO")</f>
        <v>NO</v>
      </c>
      <c r="F40" s="20" t="str">
        <f ca="1">IFERROR(__xludf.DUMMYFUNCTION("""COMPUTED_VALUE"""),"AGRICULTURA, GANADERÍA Y RECURSOS RENOVABLES")</f>
        <v>AGRICULTURA, GANADERÍA Y RECURSOS RENOVABLES</v>
      </c>
      <c r="G40" s="20">
        <f ca="1">IFERROR(__xludf.DUMMYFUNCTION("""COMPUTED_VALUE"""),1)</f>
        <v>1</v>
      </c>
      <c r="H40" s="20">
        <f ca="1">IFERROR(__xludf.DUMMYFUNCTION("""COMPUTED_VALUE"""),1)</f>
        <v>1</v>
      </c>
      <c r="I40" s="20">
        <f ca="1">IFERROR(__xludf.DUMMYFUNCTION("""COMPUTED_VALUE"""),1)</f>
        <v>1</v>
      </c>
      <c r="J40" s="20" t="str">
        <f ca="1">IFERROR(__xludf.DUMMYFUNCTION("""COMPUTED_VALUE"""),"NC")</f>
        <v>NC</v>
      </c>
      <c r="K40" s="20" t="str">
        <f ca="1">IFERROR(__xludf.DUMMYFUNCTION("""COMPUTED_VALUE"""),"NA")</f>
        <v>NA</v>
      </c>
      <c r="L40" s="20" t="str">
        <f ca="1">IFERROR(__xludf.DUMMYFUNCTION("""COMPUTED_VALUE"""),"NA")</f>
        <v>NA</v>
      </c>
      <c r="M40" s="20" t="str">
        <f ca="1">IFERROR(__xludf.DUMMYFUNCTION("""COMPUTED_VALUE"""),"Temas vinculados al Ministerio de Agricultura y Ganadería, en el marco de la Pandemia COVID-19 y del Aislamiento Social, Preventivo y Obligatorio.")</f>
        <v>Temas vinculados al Ministerio de Agricultura y Ganadería, en el marco de la Pandemia COVID-19 y del Aislamiento Social, Preventivo y Obligatorio.</v>
      </c>
      <c r="N40" s="20" t="str">
        <f ca="1">IFERROR(__xludf.DUMMYFUNCTION("""COMPUTED_VALUE"""),"NA")</f>
        <v>NA</v>
      </c>
      <c r="O40" s="20" t="str">
        <f ca="1">IFERROR(__xludf.DUMMYFUNCTION("""COMPUTED_VALUE"""),"SI")</f>
        <v>SI</v>
      </c>
      <c r="P40" s="20">
        <f ca="1">IFERROR(__xludf.DUMMYFUNCTION("""COMPUTED_VALUE"""),2)</f>
        <v>2</v>
      </c>
      <c r="Q40" s="113" t="str">
        <f ca="1">IFERROR(__xludf.DUMMYFUNCTION("""COMPUTED_VALUE"""),"https://gld.legislaturacba.gob.ar/_cdd/api/Documento/descargar?guid=8d85c893-b14b-40b3-968e-2a47f332eae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v>
      </c>
      <c r="R40" s="113" t="str">
        <f ca="1">IFERROR(__xludf.DUMMYFUNCTION("""COMPUTED_VALUE"""),"https://www.youtube.com/watch?v=RfZnXExkPbo")</f>
        <v>https://www.youtube.com/watch?v=RfZnXExkPbo</v>
      </c>
      <c r="S40" s="113" t="str">
        <f ca="1">IFERROR(__xludf.DUMMYFUNCTION("""COMPUTED_VALUE"""),"https://gld.legislaturacba.gob.ar/Publics/Actas.aspx?id=qR7nflaeajk=")</f>
        <v>https://gld.legislaturacba.gob.ar/Publics/Actas.aspx?id=qR7nflaeajk=</v>
      </c>
      <c r="T40" s="99">
        <f t="shared" ca="1" si="0"/>
        <v>0</v>
      </c>
    </row>
    <row r="41" spans="1:20">
      <c r="A41" s="20">
        <f ca="1">IFERROR(__xludf.DUMMYFUNCTION("""COMPUTED_VALUE"""),40)</f>
        <v>40</v>
      </c>
      <c r="B41" s="20">
        <f ca="1">IFERROR(__xludf.DUMMYFUNCTION("""COMPUTED_VALUE"""),2020)</f>
        <v>2020</v>
      </c>
      <c r="C41" s="20" t="str">
        <f ca="1">IFERROR(__xludf.DUMMYFUNCTION("""COMPUTED_VALUE"""),"VIRTUAL")</f>
        <v>VIRTUAL</v>
      </c>
      <c r="D41" s="96">
        <f ca="1">IFERROR(__xludf.DUMMYFUNCTION("""COMPUTED_VALUE"""),43965)</f>
        <v>43965</v>
      </c>
      <c r="E41" s="20" t="str">
        <f ca="1">IFERROR(__xludf.DUMMYFUNCTION("""COMPUTED_VALUE"""),"NO")</f>
        <v>NO</v>
      </c>
      <c r="F41" s="20" t="str">
        <f ca="1">IFERROR(__xludf.DUMMYFUNCTION("""COMPUTED_VALUE"""),"ASUNTOS INSTITUCIONALES, MUNICIPALES Y COMUNALES")</f>
        <v>ASUNTOS INSTITUCIONALES, MUNICIPALES Y COMUNALES</v>
      </c>
      <c r="G41" s="20">
        <f ca="1">IFERROR(__xludf.DUMMYFUNCTION("""COMPUTED_VALUE"""),1)</f>
        <v>1</v>
      </c>
      <c r="H41" s="20">
        <f ca="1">IFERROR(__xludf.DUMMYFUNCTION("""COMPUTED_VALUE"""),1)</f>
        <v>1</v>
      </c>
      <c r="I41" s="20">
        <f ca="1">IFERROR(__xludf.DUMMYFUNCTION("""COMPUTED_VALUE"""),1)</f>
        <v>1</v>
      </c>
      <c r="J41" s="20" t="str">
        <f ca="1">IFERROR(__xludf.DUMMYFUNCTION("""COMPUTED_VALUE"""),"NC")</f>
        <v>NC</v>
      </c>
      <c r="K41" s="20" t="str">
        <f ca="1">IFERROR(__xludf.DUMMYFUNCTION("""COMPUTED_VALUE"""),"NA")</f>
        <v>NA</v>
      </c>
      <c r="L41" s="20" t="str">
        <f ca="1">IFERROR(__xludf.DUMMYFUNCTION("""COMPUTED_VALUE"""),"NA")</f>
        <v>NA</v>
      </c>
      <c r="M41" s="20" t="str">
        <f ca="1">IFERROR(__xludf.DUMMYFUNCTION("""COMPUTED_VALUE"""),"El rol de los municipios y comunas y los distintos protocolos elaborados por los Centros de Operaciones de Emergencia (COE), en el marco de la Pandemia COVID-19 y del Aislamiento Social, Preventivo y Obligatorio.")</f>
        <v>El rol de los municipios y comunas y los distintos protocolos elaborados por los Centros de Operaciones de Emergencia (COE), en el marco de la Pandemia COVID-19 y del Aislamiento Social, Preventivo y Obligatorio.</v>
      </c>
      <c r="N41" s="20" t="str">
        <f ca="1">IFERROR(__xludf.DUMMYFUNCTION("""COMPUTED_VALUE"""),"NA")</f>
        <v>NA</v>
      </c>
      <c r="O41" s="20" t="str">
        <f ca="1">IFERROR(__xludf.DUMMYFUNCTION("""COMPUTED_VALUE"""),"NO")</f>
        <v>NO</v>
      </c>
      <c r="P41" s="20">
        <f ca="1">IFERROR(__xludf.DUMMYFUNCTION("""COMPUTED_VALUE"""),0)</f>
        <v>0</v>
      </c>
      <c r="Q41" s="113" t="str">
        <f ca="1">IFERROR(__xludf.DUMMYFUNCTION("""COMPUTED_VALUE"""),"https://gld.legislaturacba.gob.ar/_cdd/api/Documento/descargar?guid=dd3c7cb3-ae64-4f3a-a839-ee652a4d9ac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v>
      </c>
      <c r="R41" s="113" t="str">
        <f ca="1">IFERROR(__xludf.DUMMYFUNCTION("""COMPUTED_VALUE"""),"https://www.youtube.com/watch?v=AWkJOiQ1eXY")</f>
        <v>https://www.youtube.com/watch?v=AWkJOiQ1eXY</v>
      </c>
      <c r="S41" s="113" t="str">
        <f ca="1">IFERROR(__xludf.DUMMYFUNCTION("""COMPUTED_VALUE"""),"https://gld.legislaturacba.gob.ar/Publics/Actas.aspx?id=DUDipVNTFbo=")</f>
        <v>https://gld.legislaturacba.gob.ar/Publics/Actas.aspx?id=DUDipVNTFbo=</v>
      </c>
      <c r="T41" s="99">
        <f t="shared" ca="1" si="0"/>
        <v>0</v>
      </c>
    </row>
    <row r="42" spans="1:20">
      <c r="A42" s="20">
        <f ca="1">IFERROR(__xludf.DUMMYFUNCTION("""COMPUTED_VALUE"""),41)</f>
        <v>41</v>
      </c>
      <c r="B42" s="20">
        <f ca="1">IFERROR(__xludf.DUMMYFUNCTION("""COMPUTED_VALUE"""),2020)</f>
        <v>2020</v>
      </c>
      <c r="C42" s="20" t="str">
        <f ca="1">IFERROR(__xludf.DUMMYFUNCTION("""COMPUTED_VALUE"""),"VIRTUAL")</f>
        <v>VIRTUAL</v>
      </c>
      <c r="D42" s="96">
        <f ca="1">IFERROR(__xludf.DUMMYFUNCTION("""COMPUTED_VALUE"""),43965)</f>
        <v>43965</v>
      </c>
      <c r="E42" s="20" t="str">
        <f ca="1">IFERROR(__xludf.DUMMYFUNCTION("""COMPUTED_VALUE"""),"SI")</f>
        <v>SI</v>
      </c>
      <c r="F42" s="20" t="str">
        <f ca="1">IFERROR(__xludf.DUMMYFUNCTION("""COMPUTED_VALUE"""),"ASUNTOS CONSTITUCIONALES, JUSTICIA Y ACUERDOS;LEGISLACIÓN GENERAL")</f>
        <v>ASUNTOS CONSTITUCIONALES, JUSTICIA Y ACUERDOS;LEGISLACIÓN GENERAL</v>
      </c>
      <c r="G42" s="20">
        <f ca="1">IFERROR(__xludf.DUMMYFUNCTION("""COMPUTED_VALUE"""),2)</f>
        <v>2</v>
      </c>
      <c r="H42" s="20">
        <f ca="1">IFERROR(__xludf.DUMMYFUNCTION("""COMPUTED_VALUE"""),1)</f>
        <v>1</v>
      </c>
      <c r="I42" s="20">
        <f ca="1">IFERROR(__xludf.DUMMYFUNCTION("""COMPUTED_VALUE"""),1)</f>
        <v>1</v>
      </c>
      <c r="J42" s="20" t="str">
        <f ca="1">IFERROR(__xludf.DUMMYFUNCTION("""COMPUTED_VALUE"""),"Ley")</f>
        <v>Ley</v>
      </c>
      <c r="K42" s="20">
        <f ca="1">IFERROR(__xludf.DUMMYFUNCTION("""COMPUTED_VALUE"""),30064)</f>
        <v>30064</v>
      </c>
      <c r="L42" s="20" t="str">
        <f ca="1">IFERROR(__xludf.DUMMYFUNCTION("""COMPUTED_VALUE"""),"Poder Legislativo Provincial")</f>
        <v>Poder Legislativo Provincial</v>
      </c>
      <c r="M42" s="20" t="str">
        <f ca="1">IFERROR(__xludf.DUMMYFUNCTION("""COMPUTED_VALUE"""),"Proyecto de Ley Nº 30064/L/20, modificando la Ley Nº 9380, que regula la utilización de videocámaras de seguridad.")</f>
        <v>Proyecto de Ley Nº 30064/L/20, modificando la Ley Nº 9380, que regula la utilización de videocámaras de seguridad.</v>
      </c>
      <c r="N42" s="20" t="str">
        <f ca="1">IFERROR(__xludf.DUMMYFUNCTION("""COMPUTED_VALUE"""),"NO")</f>
        <v>NO</v>
      </c>
      <c r="O42" s="20" t="str">
        <f ca="1">IFERROR(__xludf.DUMMYFUNCTION("""COMPUTED_VALUE"""),"NO")</f>
        <v>NO</v>
      </c>
      <c r="P42" s="20">
        <f ca="1">IFERROR(__xludf.DUMMYFUNCTION("""COMPUTED_VALUE"""),0)</f>
        <v>0</v>
      </c>
      <c r="Q42" s="113" t="str">
        <f ca="1">IFERROR(__xludf.DUMMYFUNCTION("""COMPUTED_VALUE"""),"https://gld.legislaturacba.gob.ar/_cdd/api/Documento/descargar?guid=ea93cbdd-5420-47ee-b815-571f5d0248f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v>
      </c>
      <c r="R42" s="113" t="str">
        <f ca="1">IFERROR(__xludf.DUMMYFUNCTION("""COMPUTED_VALUE"""),"https://www.youtube.com/watch?v=AhB6yRqsRLM")</f>
        <v>https://www.youtube.com/watch?v=AhB6yRqsRLM</v>
      </c>
      <c r="S42" s="113" t="str">
        <f ca="1">IFERROR(__xludf.DUMMYFUNCTION("""COMPUTED_VALUE"""),"https://gld.legislaturacba.gob.ar/Publics/Actas.aspx?id=5aTpKdkZ7Vc=;https://gld.legislaturacba.gob.ar/Publics/Actas.aspx?id=6IdxXWsVigc=")</f>
        <v>https://gld.legislaturacba.gob.ar/Publics/Actas.aspx?id=5aTpKdkZ7Vc=;https://gld.legislaturacba.gob.ar/Publics/Actas.aspx?id=6IdxXWsVigc=</v>
      </c>
      <c r="T42" s="99">
        <f t="shared" ca="1" si="0"/>
        <v>0</v>
      </c>
    </row>
    <row r="43" spans="1:20">
      <c r="A43" s="20">
        <f ca="1">IFERROR(__xludf.DUMMYFUNCTION("""COMPUTED_VALUE"""),42)</f>
        <v>42</v>
      </c>
      <c r="B43" s="20">
        <f ca="1">IFERROR(__xludf.DUMMYFUNCTION("""COMPUTED_VALUE"""),2020)</f>
        <v>2020</v>
      </c>
      <c r="C43" s="20" t="str">
        <f ca="1">IFERROR(__xludf.DUMMYFUNCTION("""COMPUTED_VALUE"""),"VIRTUAL")</f>
        <v>VIRTUAL</v>
      </c>
      <c r="D43" s="96">
        <f ca="1">IFERROR(__xludf.DUMMYFUNCTION("""COMPUTED_VALUE"""),43970)</f>
        <v>43970</v>
      </c>
      <c r="E43" s="20" t="str">
        <f ca="1">IFERROR(__xludf.DUMMYFUNCTION("""COMPUTED_VALUE"""),"SI")</f>
        <v>SI</v>
      </c>
      <c r="F43" s="20" t="str">
        <f ca="1">IFERROR(__xludf.DUMMYFUNCTION("""COMPUTED_VALUE"""),"OBRAS PÚBLICAS, VIVIENDA Y COMUNICACIONES;ECONOMÍA, PRESUPUESTO, GESTIÓN PÚBLICA E INNOVACIÓN")</f>
        <v>OBRAS PÚBLICAS, VIVIENDA Y COMUNICACIONES;ECONOMÍA, PRESUPUESTO, GESTIÓN PÚBLICA E INNOVACIÓN</v>
      </c>
      <c r="G43" s="20">
        <f ca="1">IFERROR(__xludf.DUMMYFUNCTION("""COMPUTED_VALUE"""),2)</f>
        <v>2</v>
      </c>
      <c r="H43" s="20">
        <f ca="1">IFERROR(__xludf.DUMMYFUNCTION("""COMPUTED_VALUE"""),2)</f>
        <v>2</v>
      </c>
      <c r="I43" s="20">
        <f ca="1">IFERROR(__xludf.DUMMYFUNCTION("""COMPUTED_VALUE"""),1)</f>
        <v>1</v>
      </c>
      <c r="J43" s="20" t="str">
        <f ca="1">IFERROR(__xludf.DUMMYFUNCTION("""COMPUTED_VALUE"""),"Ley")</f>
        <v>Ley</v>
      </c>
      <c r="K43" s="20">
        <f ca="1">IFERROR(__xludf.DUMMYFUNCTION("""COMPUTED_VALUE"""),29909)</f>
        <v>29909</v>
      </c>
      <c r="L43" s="20" t="str">
        <f ca="1">IFERROR(__xludf.DUMMYFUNCTION("""COMPUTED_VALUE"""),"Poder Ejecutivo Provincial")</f>
        <v>Poder Ejecutivo Provincial</v>
      </c>
      <c r="M43" s="20" t="str">
        <f ca="1">IFERROR(__xludf.DUMMYFUNCTION("""COMPUTED_VALUE"""),"Proyecto de Ley Nº 29909/E/20, declarando de utilidad pública y sujeto a expropiación una fracción de terreno del inmueble ubicado en parte de Establecimiento La Negrita, Pedanía Reducción, Departamento Juárez Celman, para la ejecución de la obra “Ensanch"&amp;"e de Traza Camino t-188-07”.")</f>
        <v>Proyecto de Ley Nº 29909/E/20, declarando de utilidad pública y sujeto a expropiación una fracción de terreno del inmueble ubicado en parte de Establecimiento La Negrita, Pedanía Reducción, Departamento Juárez Celman, para la ejecución de la obra “Ensanche de Traza Camino t-188-07”.</v>
      </c>
      <c r="N43" s="20" t="str">
        <f ca="1">IFERROR(__xludf.DUMMYFUNCTION("""COMPUTED_VALUE"""),"SI")</f>
        <v>SI</v>
      </c>
      <c r="O43" s="20" t="str">
        <f ca="1">IFERROR(__xludf.DUMMYFUNCTION("""COMPUTED_VALUE"""),"NO")</f>
        <v>NO</v>
      </c>
      <c r="P43" s="20">
        <f ca="1">IFERROR(__xludf.DUMMYFUNCTION("""COMPUTED_VALUE"""),0)</f>
        <v>0</v>
      </c>
      <c r="Q43" s="113" t="str">
        <f ca="1">IFERROR(__xludf.DUMMYFUNCTION("""COMPUTED_VALUE"""),"https://gld.legislaturacba.gob.ar/_cdd/api/Documento/descargar?guid=546a3f4b-234d-4089-b3f8-065456663065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v>
      </c>
      <c r="R43" s="20" t="str">
        <f ca="1">IFERROR(__xludf.DUMMYFUNCTION("""COMPUTED_VALUE"""),"NA")</f>
        <v>NA</v>
      </c>
      <c r="S43" s="113" t="str">
        <f ca="1">IFERROR(__xludf.DUMMYFUNCTION("""COMPUTED_VALUE"""),"https://gld.legislaturacba.gob.ar/Publics/Actas.aspx?id=AQL7pGfFENQ=;https://gld.legislaturacba.gob.ar/Publics/Actas.aspx?id=Ph0rko7w0Ks=")</f>
        <v>https://gld.legislaturacba.gob.ar/Publics/Actas.aspx?id=AQL7pGfFENQ=;https://gld.legislaturacba.gob.ar/Publics/Actas.aspx?id=Ph0rko7w0Ks=</v>
      </c>
      <c r="T43" s="99">
        <f t="shared" ca="1" si="0"/>
        <v>0</v>
      </c>
    </row>
    <row r="44" spans="1:20">
      <c r="A44" s="20">
        <f ca="1">IFERROR(__xludf.DUMMYFUNCTION("""COMPUTED_VALUE"""),43)</f>
        <v>43</v>
      </c>
      <c r="B44" s="20">
        <f ca="1">IFERROR(__xludf.DUMMYFUNCTION("""COMPUTED_VALUE"""),2020)</f>
        <v>2020</v>
      </c>
      <c r="C44" s="20" t="str">
        <f ca="1">IFERROR(__xludf.DUMMYFUNCTION("""COMPUTED_VALUE"""),"VIRTUAL")</f>
        <v>VIRTUAL</v>
      </c>
      <c r="D44" s="96">
        <f ca="1">IFERROR(__xludf.DUMMYFUNCTION("""COMPUTED_VALUE"""),43970)</f>
        <v>43970</v>
      </c>
      <c r="E44" s="20" t="str">
        <f ca="1">IFERROR(__xludf.DUMMYFUNCTION("""COMPUTED_VALUE"""),"NO")</f>
        <v>NO</v>
      </c>
      <c r="F44" s="20" t="str">
        <f ca="1">IFERROR(__xludf.DUMMYFUNCTION("""COMPUTED_VALUE"""),"SERVICIOS PÚBLICOS")</f>
        <v>SERVICIOS PÚBLICOS</v>
      </c>
      <c r="G44" s="20">
        <f ca="1">IFERROR(__xludf.DUMMYFUNCTION("""COMPUTED_VALUE"""),1)</f>
        <v>1</v>
      </c>
      <c r="H44" s="20">
        <f ca="1">IFERROR(__xludf.DUMMYFUNCTION("""COMPUTED_VALUE"""),1)</f>
        <v>1</v>
      </c>
      <c r="I44" s="20">
        <f ca="1">IFERROR(__xludf.DUMMYFUNCTION("""COMPUTED_VALUE"""),1)</f>
        <v>1</v>
      </c>
      <c r="J44" s="20" t="str">
        <f ca="1">IFERROR(__xludf.DUMMYFUNCTION("""COMPUTED_VALUE"""),"NC")</f>
        <v>NC</v>
      </c>
      <c r="K44" s="20" t="str">
        <f ca="1">IFERROR(__xludf.DUMMYFUNCTION("""COMPUTED_VALUE"""),"NA")</f>
        <v>NA</v>
      </c>
      <c r="L44" s="20" t="str">
        <f ca="1">IFERROR(__xludf.DUMMYFUNCTION("""COMPUTED_VALUE"""),"NA")</f>
        <v>NA</v>
      </c>
      <c r="M44" s="20" t="str">
        <f ca="1">IFERROR(__xludf.DUMMYFUNCTION("""COMPUTED_VALUE"""),"Temas varios relativos al Ente Regulador de Servicios Públicos (ERSEP) en el marco de la Pandemia COVID-19 y del Aislamiento Social, Preventivo y Obligatorio.")</f>
        <v>Temas varios relativos al Ente Regulador de Servicios Públicos (ERSEP) en el marco de la Pandemia COVID-19 y del Aislamiento Social, Preventivo y Obligatorio.</v>
      </c>
      <c r="N44" s="20" t="str">
        <f ca="1">IFERROR(__xludf.DUMMYFUNCTION("""COMPUTED_VALUE"""),"NA")</f>
        <v>NA</v>
      </c>
      <c r="O44" s="20" t="str">
        <f ca="1">IFERROR(__xludf.DUMMYFUNCTION("""COMPUTED_VALUE"""),"SI")</f>
        <v>SI</v>
      </c>
      <c r="P44" s="20">
        <f ca="1">IFERROR(__xludf.DUMMYFUNCTION("""COMPUTED_VALUE"""),3)</f>
        <v>3</v>
      </c>
      <c r="Q44" s="113" t="str">
        <f ca="1">IFERROR(__xludf.DUMMYFUNCTION("""COMPUTED_VALUE"""),"https://gld.legislaturacba.gob.ar/_cdd/api/Documento/descargar?guid=e9851b20-6a5c-46f6-8aa8-3a4022e78010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v>
      </c>
      <c r="R44" s="20" t="str">
        <f ca="1">IFERROR(__xludf.DUMMYFUNCTION("""COMPUTED_VALUE"""),"NA")</f>
        <v>NA</v>
      </c>
      <c r="S44" s="113" t="str">
        <f ca="1">IFERROR(__xludf.DUMMYFUNCTION("""COMPUTED_VALUE"""),"https://gld.legislaturacba.gob.ar/Publics/Actas.aspx?id=dVHyxoNfHEg=")</f>
        <v>https://gld.legislaturacba.gob.ar/Publics/Actas.aspx?id=dVHyxoNfHEg=</v>
      </c>
      <c r="T44" s="99">
        <f t="shared" ca="1" si="0"/>
        <v>0</v>
      </c>
    </row>
    <row r="45" spans="1:20">
      <c r="A45" s="20">
        <f ca="1">IFERROR(__xludf.DUMMYFUNCTION("""COMPUTED_VALUE"""),44)</f>
        <v>44</v>
      </c>
      <c r="B45" s="20">
        <f ca="1">IFERROR(__xludf.DUMMYFUNCTION("""COMPUTED_VALUE"""),2020)</f>
        <v>2020</v>
      </c>
      <c r="C45" s="20" t="str">
        <f ca="1">IFERROR(__xludf.DUMMYFUNCTION("""COMPUTED_VALUE"""),"VIRTUAL")</f>
        <v>VIRTUAL</v>
      </c>
      <c r="D45" s="96">
        <f ca="1">IFERROR(__xludf.DUMMYFUNCTION("""COMPUTED_VALUE"""),43971)</f>
        <v>43971</v>
      </c>
      <c r="E45" s="20" t="str">
        <f ca="1">IFERROR(__xludf.DUMMYFUNCTION("""COMPUTED_VALUE"""),"NO")</f>
        <v>NO</v>
      </c>
      <c r="F45" s="20" t="str">
        <f ca="1">IFERROR(__xludf.DUMMYFUNCTION("""COMPUTED_VALUE"""),"DEPORTES Y RECREACIÓN")</f>
        <v>DEPORTES Y RECREACIÓN</v>
      </c>
      <c r="G45" s="20">
        <f ca="1">IFERROR(__xludf.DUMMYFUNCTION("""COMPUTED_VALUE"""),1)</f>
        <v>1</v>
      </c>
      <c r="H45" s="20">
        <f ca="1">IFERROR(__xludf.DUMMYFUNCTION("""COMPUTED_VALUE"""),1)</f>
        <v>1</v>
      </c>
      <c r="I45" s="20">
        <f ca="1">IFERROR(__xludf.DUMMYFUNCTION("""COMPUTED_VALUE"""),1)</f>
        <v>1</v>
      </c>
      <c r="J45" s="20" t="str">
        <f ca="1">IFERROR(__xludf.DUMMYFUNCTION("""COMPUTED_VALUE"""),"Ley")</f>
        <v>Ley</v>
      </c>
      <c r="K45" s="20">
        <f ca="1">IFERROR(__xludf.DUMMYFUNCTION("""COMPUTED_VALUE"""),30091)</f>
        <v>30091</v>
      </c>
      <c r="L45" s="20" t="str">
        <f ca="1">IFERROR(__xludf.DUMMYFUNCTION("""COMPUTED_VALUE"""),"Poder Legislativo Provincial")</f>
        <v>Poder Legislativo Provincial</v>
      </c>
      <c r="M45" s="20" t="str">
        <f ca="1">IFERROR(__xludf.DUMMYFUNCTION("""COMPUTED_VALUE"""),"Proyecto de Ley Nº 30091, modificando el artículo 1º de la Ley Nº 10003, suspendiendo hasta el 31 de marzo de 2021 las ejecuciones judiciales que persigan la subasta de bienes inmuebles de las asociaciones civiles, clubes o entidades sin fines de lucro.")</f>
        <v>Proyecto de Ley Nº 30091, modificando el artículo 1º de la Ley Nº 10003, suspendiendo hasta el 31 de marzo de 2021 las ejecuciones judiciales que persigan la subasta de bienes inmuebles de las asociaciones civiles, clubes o entidades sin fines de lucro.</v>
      </c>
      <c r="N45" s="20" t="str">
        <f ca="1">IFERROR(__xludf.DUMMYFUNCTION("""COMPUTED_VALUE"""),"NO")</f>
        <v>NO</v>
      </c>
      <c r="O45" s="20" t="str">
        <f ca="1">IFERROR(__xludf.DUMMYFUNCTION("""COMPUTED_VALUE"""),"NO")</f>
        <v>NO</v>
      </c>
      <c r="P45" s="20">
        <f ca="1">IFERROR(__xludf.DUMMYFUNCTION("""COMPUTED_VALUE"""),0)</f>
        <v>0</v>
      </c>
      <c r="Q45" s="20" t="str">
        <f ca="1">IFERROR(__xludf.DUMMYFUNCTION("""COMPUTED_VALUE"""),"NA")</f>
        <v>NA</v>
      </c>
      <c r="R45" s="20" t="str">
        <f ca="1">IFERROR(__xludf.DUMMYFUNCTION("""COMPUTED_VALUE"""),"NA")</f>
        <v>NA</v>
      </c>
      <c r="S45" s="113" t="str">
        <f ca="1">IFERROR(__xludf.DUMMYFUNCTION("""COMPUTED_VALUE"""),"https://gld.legislaturacba.gob.ar/Publics/Actas.aspx?id=MsIhocb7vlw=")</f>
        <v>https://gld.legislaturacba.gob.ar/Publics/Actas.aspx?id=MsIhocb7vlw=</v>
      </c>
      <c r="T45" s="99">
        <f t="shared" ca="1" si="0"/>
        <v>0</v>
      </c>
    </row>
    <row r="46" spans="1:20">
      <c r="A46" s="20">
        <f ca="1">IFERROR(__xludf.DUMMYFUNCTION("""COMPUTED_VALUE"""),45)</f>
        <v>45</v>
      </c>
      <c r="B46" s="20">
        <f ca="1">IFERROR(__xludf.DUMMYFUNCTION("""COMPUTED_VALUE"""),2020)</f>
        <v>2020</v>
      </c>
      <c r="C46" s="20" t="str">
        <f ca="1">IFERROR(__xludf.DUMMYFUNCTION("""COMPUTED_VALUE"""),"VIRTUAL")</f>
        <v>VIRTUAL</v>
      </c>
      <c r="D46" s="96">
        <f ca="1">IFERROR(__xludf.DUMMYFUNCTION("""COMPUTED_VALUE"""),43972)</f>
        <v>43972</v>
      </c>
      <c r="E46" s="20" t="str">
        <f ca="1">IFERROR(__xludf.DUMMYFUNCTION("""COMPUTED_VALUE"""),"NO")</f>
        <v>NO</v>
      </c>
      <c r="F46" s="20" t="str">
        <f ca="1">IFERROR(__xludf.DUMMYFUNCTION("""COMPUTED_VALUE"""),"TURISMO Y SU RELACIÓN CON EL DESARROLLO REGIONAL")</f>
        <v>TURISMO Y SU RELACIÓN CON EL DESARROLLO REGIONAL</v>
      </c>
      <c r="G46" s="20">
        <f ca="1">IFERROR(__xludf.DUMMYFUNCTION("""COMPUTED_VALUE"""),1)</f>
        <v>1</v>
      </c>
      <c r="H46" s="20">
        <f ca="1">IFERROR(__xludf.DUMMYFUNCTION("""COMPUTED_VALUE"""),1)</f>
        <v>1</v>
      </c>
      <c r="I46" s="20">
        <f ca="1">IFERROR(__xludf.DUMMYFUNCTION("""COMPUTED_VALUE"""),1)</f>
        <v>1</v>
      </c>
      <c r="J46" s="20" t="str">
        <f ca="1">IFERROR(__xludf.DUMMYFUNCTION("""COMPUTED_VALUE"""),"NC")</f>
        <v>NC</v>
      </c>
      <c r="K46" s="20" t="str">
        <f ca="1">IFERROR(__xludf.DUMMYFUNCTION("""COMPUTED_VALUE"""),"NA")</f>
        <v>NA</v>
      </c>
      <c r="L46" s="20" t="str">
        <f ca="1">IFERROR(__xludf.DUMMYFUNCTION("""COMPUTED_VALUE"""),"NA")</f>
        <v>NA</v>
      </c>
      <c r="M46" s="20" t="str">
        <f ca="1">IFERROR(__xludf.DUMMYFUNCTION("""COMPUTED_VALUE"""),"Situación actual del sector turístico en el marco de la Pandemia COVID-19 y del Aislamiento Social, Preventivo y Obligatorio.")</f>
        <v>Situación actual del sector turístico en el marco de la Pandemia COVID-19 y del Aislamiento Social, Preventivo y Obligatorio.</v>
      </c>
      <c r="N46" s="20" t="str">
        <f ca="1">IFERROR(__xludf.DUMMYFUNCTION("""COMPUTED_VALUE"""),"NA")</f>
        <v>NA</v>
      </c>
      <c r="O46" s="20" t="str">
        <f ca="1">IFERROR(__xludf.DUMMYFUNCTION("""COMPUTED_VALUE"""),"SI")</f>
        <v>SI</v>
      </c>
      <c r="P46" s="20">
        <f ca="1">IFERROR(__xludf.DUMMYFUNCTION("""COMPUTED_VALUE"""),1)</f>
        <v>1</v>
      </c>
      <c r="Q46" s="20" t="str">
        <f ca="1">IFERROR(__xludf.DUMMYFUNCTION("""COMPUTED_VALUE"""),"NA")</f>
        <v>NA</v>
      </c>
      <c r="R46" s="113" t="str">
        <f ca="1">IFERROR(__xludf.DUMMYFUNCTION("""COMPUTED_VALUE"""),"https://www.youtube.com/watch?v=22MzWnk5Qwo")</f>
        <v>https://www.youtube.com/watch?v=22MzWnk5Qwo</v>
      </c>
      <c r="S46" s="113" t="str">
        <f ca="1">IFERROR(__xludf.DUMMYFUNCTION("""COMPUTED_VALUE"""),"https://gld.legislaturacba.gob.ar/Publics/Actas.aspx?id=pH2vAN9G27Q=")</f>
        <v>https://gld.legislaturacba.gob.ar/Publics/Actas.aspx?id=pH2vAN9G27Q=</v>
      </c>
      <c r="T46" s="99">
        <f t="shared" ca="1" si="0"/>
        <v>0</v>
      </c>
    </row>
    <row r="47" spans="1:20">
      <c r="A47" s="20">
        <f ca="1">IFERROR(__xludf.DUMMYFUNCTION("""COMPUTED_VALUE"""),46)</f>
        <v>46</v>
      </c>
      <c r="B47" s="20">
        <f ca="1">IFERROR(__xludf.DUMMYFUNCTION("""COMPUTED_VALUE"""),2020)</f>
        <v>2020</v>
      </c>
      <c r="C47" s="20" t="str">
        <f ca="1">IFERROR(__xludf.DUMMYFUNCTION("""COMPUTED_VALUE"""),"VIRTUAL")</f>
        <v>VIRTUAL</v>
      </c>
      <c r="D47" s="96">
        <f ca="1">IFERROR(__xludf.DUMMYFUNCTION("""COMPUTED_VALUE"""),43977)</f>
        <v>43977</v>
      </c>
      <c r="E47" s="20" t="str">
        <f ca="1">IFERROR(__xludf.DUMMYFUNCTION("""COMPUTED_VALUE"""),"NO")</f>
        <v>NO</v>
      </c>
      <c r="F47" s="20" t="str">
        <f ca="1">IFERROR(__xludf.DUMMYFUNCTION("""COMPUTED_VALUE"""),"EDUCACIÓN, CULTURA, CIENCIA, TECNOLOGÍA E INFORMÁTICA")</f>
        <v>EDUCACIÓN, CULTURA, CIENCIA, TECNOLOGÍA E INFORMÁTICA</v>
      </c>
      <c r="G47" s="20">
        <f ca="1">IFERROR(__xludf.DUMMYFUNCTION("""COMPUTED_VALUE"""),1)</f>
        <v>1</v>
      </c>
      <c r="H47" s="20">
        <f ca="1">IFERROR(__xludf.DUMMYFUNCTION("""COMPUTED_VALUE"""),2)</f>
        <v>2</v>
      </c>
      <c r="I47" s="20">
        <f ca="1">IFERROR(__xludf.DUMMYFUNCTION("""COMPUTED_VALUE"""),1)</f>
        <v>1</v>
      </c>
      <c r="J47" s="20" t="str">
        <f ca="1">IFERROR(__xludf.DUMMYFUNCTION("""COMPUTED_VALUE"""),"Ley")</f>
        <v>Ley</v>
      </c>
      <c r="K47" s="20">
        <f ca="1">IFERROR(__xludf.DUMMYFUNCTION("""COMPUTED_VALUE"""),29816)</f>
        <v>29816</v>
      </c>
      <c r="L47" s="20" t="str">
        <f ca="1">IFERROR(__xludf.DUMMYFUNCTION("""COMPUTED_VALUE"""),"Poder Ejecutivo Provincial")</f>
        <v>Poder Ejecutivo Provincial</v>
      </c>
      <c r="M47" s="20" t="str">
        <f ca="1">IFERROR(__xludf.DUMMYFUNCTION("""COMPUTED_VALUE"""),"Proyecto de Ley Nº 29816/E/19, designando con el nombre Antonio Seguí al Centro de Arte Contemporáneo que funciona en el inmueble propiedad de la Provincia ubicado en Av. Ramón J. Cárcano 1750 de la ciudad de Córdoba.")</f>
        <v>Proyecto de Ley Nº 29816/E/19, designando con el nombre Antonio Seguí al Centro de Arte Contemporáneo que funciona en el inmueble propiedad de la Provincia ubicado en Av. Ramón J. Cárcano 1750 de la ciudad de Córdoba.</v>
      </c>
      <c r="N47" s="20" t="str">
        <f ca="1">IFERROR(__xludf.DUMMYFUNCTION("""COMPUTED_VALUE"""),"NO")</f>
        <v>NO</v>
      </c>
      <c r="O47" s="20" t="str">
        <f ca="1">IFERROR(__xludf.DUMMYFUNCTION("""COMPUTED_VALUE"""),"NO")</f>
        <v>NO</v>
      </c>
      <c r="P47" s="20">
        <f ca="1">IFERROR(__xludf.DUMMYFUNCTION("""COMPUTED_VALUE"""),0)</f>
        <v>0</v>
      </c>
      <c r="Q47" s="20" t="str">
        <f ca="1">IFERROR(__xludf.DUMMYFUNCTION("""COMPUTED_VALUE"""),"NA")</f>
        <v>NA</v>
      </c>
      <c r="R47" s="113" t="str">
        <f ca="1">IFERROR(__xludf.DUMMYFUNCTION("""COMPUTED_VALUE"""),"https://www.youtube.com/watch?v=XzsipIZasEc")</f>
        <v>https://www.youtube.com/watch?v=XzsipIZasEc</v>
      </c>
      <c r="S47" s="113" t="str">
        <f ca="1">IFERROR(__xludf.DUMMYFUNCTION("""COMPUTED_VALUE"""),"https://gld.legislaturacba.gob.ar/Publics/Actas.aspx?id=EXfKU0xc7rc=")</f>
        <v>https://gld.legislaturacba.gob.ar/Publics/Actas.aspx?id=EXfKU0xc7rc=</v>
      </c>
      <c r="T47" s="99">
        <f t="shared" ca="1" si="0"/>
        <v>0</v>
      </c>
    </row>
    <row r="48" spans="1:20">
      <c r="A48" s="20">
        <f ca="1">IFERROR(__xludf.DUMMYFUNCTION("""COMPUTED_VALUE"""),47)</f>
        <v>47</v>
      </c>
      <c r="B48" s="20">
        <f ca="1">IFERROR(__xludf.DUMMYFUNCTION("""COMPUTED_VALUE"""),2020)</f>
        <v>2020</v>
      </c>
      <c r="C48" s="20" t="str">
        <f ca="1">IFERROR(__xludf.DUMMYFUNCTION("""COMPUTED_VALUE"""),"VIRTUAL")</f>
        <v>VIRTUAL</v>
      </c>
      <c r="D48" s="96">
        <f ca="1">IFERROR(__xludf.DUMMYFUNCTION("""COMPUTED_VALUE"""),43977)</f>
        <v>43977</v>
      </c>
      <c r="E48" s="20" t="str">
        <f ca="1">IFERROR(__xludf.DUMMYFUNCTION("""COMPUTED_VALUE"""),"NO")</f>
        <v>NO</v>
      </c>
      <c r="F48" s="20" t="str">
        <f ca="1">IFERROR(__xludf.DUMMYFUNCTION("""COMPUTED_VALUE"""),"MERCOSUR, COMERCIO INTERIOR Y EXTERIOR")</f>
        <v>MERCOSUR, COMERCIO INTERIOR Y EXTERIOR</v>
      </c>
      <c r="G48" s="20">
        <f ca="1">IFERROR(__xludf.DUMMYFUNCTION("""COMPUTED_VALUE"""),1)</f>
        <v>1</v>
      </c>
      <c r="H48" s="20">
        <f ca="1">IFERROR(__xludf.DUMMYFUNCTION("""COMPUTED_VALUE"""),1)</f>
        <v>1</v>
      </c>
      <c r="I48" s="20">
        <f ca="1">IFERROR(__xludf.DUMMYFUNCTION("""COMPUTED_VALUE"""),1)</f>
        <v>1</v>
      </c>
      <c r="J48" s="20" t="str">
        <f ca="1">IFERROR(__xludf.DUMMYFUNCTION("""COMPUTED_VALUE"""),"NC")</f>
        <v>NC</v>
      </c>
      <c r="K48" s="20" t="str">
        <f ca="1">IFERROR(__xludf.DUMMYFUNCTION("""COMPUTED_VALUE"""),"NA")</f>
        <v>NA</v>
      </c>
      <c r="L48" s="20" t="str">
        <f ca="1">IFERROR(__xludf.DUMMYFUNCTION("""COMPUTED_VALUE"""),"NA")</f>
        <v>NA</v>
      </c>
      <c r="M48" s="20" t="str">
        <f ca="1">IFERROR(__xludf.DUMMYFUNCTION("""COMPUTED_VALUE"""),"Armado de un cronograma de actividades y de visitas a la Comisión.")</f>
        <v>Armado de un cronograma de actividades y de visitas a la Comisión.</v>
      </c>
      <c r="N48" s="20" t="str">
        <f ca="1">IFERROR(__xludf.DUMMYFUNCTION("""COMPUTED_VALUE"""),"NA")</f>
        <v>NA</v>
      </c>
      <c r="O48" s="20" t="str">
        <f ca="1">IFERROR(__xludf.DUMMYFUNCTION("""COMPUTED_VALUE"""),"NO")</f>
        <v>NO</v>
      </c>
      <c r="P48" s="20">
        <f ca="1">IFERROR(__xludf.DUMMYFUNCTION("""COMPUTED_VALUE"""),0)</f>
        <v>0</v>
      </c>
      <c r="Q48" s="113" t="str">
        <f ca="1">IFERROR(__xludf.DUMMYFUNCTION("""COMPUTED_VALUE"""),"https://gld.legislaturacba.gob.ar/_cdd/api/Documento/descargar?guid=f58b17fc-c34e-4434-8c74-68829a8ac602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v>
      </c>
      <c r="R48" s="20" t="str">
        <f ca="1">IFERROR(__xludf.DUMMYFUNCTION("""COMPUTED_VALUE"""),"NA")</f>
        <v>NA</v>
      </c>
      <c r="S48" s="113" t="str">
        <f ca="1">IFERROR(__xludf.DUMMYFUNCTION("""COMPUTED_VALUE"""),"https://gld.legislaturacba.gob.ar/Publics/Actas.aspx?id=7XiWl0SmqtE=")</f>
        <v>https://gld.legislaturacba.gob.ar/Publics/Actas.aspx?id=7XiWl0SmqtE=</v>
      </c>
      <c r="T48" s="99">
        <f t="shared" ca="1" si="0"/>
        <v>0</v>
      </c>
    </row>
    <row r="49" spans="1:20">
      <c r="A49" s="20">
        <f ca="1">IFERROR(__xludf.DUMMYFUNCTION("""COMPUTED_VALUE"""),48)</f>
        <v>48</v>
      </c>
      <c r="B49" s="20">
        <f ca="1">IFERROR(__xludf.DUMMYFUNCTION("""COMPUTED_VALUE"""),2020)</f>
        <v>2020</v>
      </c>
      <c r="C49" s="20" t="str">
        <f ca="1">IFERROR(__xludf.DUMMYFUNCTION("""COMPUTED_VALUE"""),"VIRTUAL")</f>
        <v>VIRTUAL</v>
      </c>
      <c r="D49" s="96">
        <f ca="1">IFERROR(__xludf.DUMMYFUNCTION("""COMPUTED_VALUE"""),43978)</f>
        <v>43978</v>
      </c>
      <c r="E49" s="20" t="str">
        <f ca="1">IFERROR(__xludf.DUMMYFUNCTION("""COMPUTED_VALUE"""),"NO")</f>
        <v>NO</v>
      </c>
      <c r="F49" s="20" t="str">
        <f ca="1">IFERROR(__xludf.DUMMYFUNCTION("""COMPUTED_VALUE"""),"DEPORTES Y RECREACIÓN")</f>
        <v>DEPORTES Y RECREACIÓN</v>
      </c>
      <c r="G49" s="20">
        <f ca="1">IFERROR(__xludf.DUMMYFUNCTION("""COMPUTED_VALUE"""),1)</f>
        <v>1</v>
      </c>
      <c r="H49" s="20">
        <f ca="1">IFERROR(__xludf.DUMMYFUNCTION("""COMPUTED_VALUE"""),1)</f>
        <v>1</v>
      </c>
      <c r="I49" s="20">
        <f ca="1">IFERROR(__xludf.DUMMYFUNCTION("""COMPUTED_VALUE"""),1)</f>
        <v>1</v>
      </c>
      <c r="J49" s="20" t="str">
        <f ca="1">IFERROR(__xludf.DUMMYFUNCTION("""COMPUTED_VALUE"""),"NC")</f>
        <v>NC</v>
      </c>
      <c r="K49" s="20">
        <f ca="1">IFERROR(__xludf.DUMMYFUNCTION("""COMPUTED_VALUE"""),30091)</f>
        <v>30091</v>
      </c>
      <c r="L49" s="20" t="str">
        <f ca="1">IFERROR(__xludf.DUMMYFUNCTION("""COMPUTED_VALUE"""),"Poder Legislativo Provincial")</f>
        <v>Poder Legislativo Provincial</v>
      </c>
      <c r="M49" s="20" t="str">
        <f ca="1">IFERROR(__xludf.DUMMYFUNCTION("""COMPUTED_VALUE"""),"Proyecto de Ley Nº 30091/L/20, modificando el artículo 1º de la Ley Nº 10003, suspendiendo hasta el 31 de marzo de 2021 las ejecuciones judiciales que persigan la subasta de bienes inmuebles de las asociaciones civiles, clubes o entidades sin fines de luc"&amp;"ro.")</f>
        <v>Proyecto de Ley Nº 30091/L/20, modificando el artículo 1º de la Ley Nº 10003, suspendiendo hasta el 31 de marzo de 2021 las ejecuciones judiciales que persigan la subasta de bienes inmuebles de las asociaciones civiles, clubes o entidades sin fines de lucro.</v>
      </c>
      <c r="N49" s="20" t="str">
        <f ca="1">IFERROR(__xludf.DUMMYFUNCTION("""COMPUTED_VALUE"""),"SI")</f>
        <v>SI</v>
      </c>
      <c r="O49" s="20" t="str">
        <f ca="1">IFERROR(__xludf.DUMMYFUNCTION("""COMPUTED_VALUE"""),"NO")</f>
        <v>NO</v>
      </c>
      <c r="P49" s="20">
        <f ca="1">IFERROR(__xludf.DUMMYFUNCTION("""COMPUTED_VALUE"""),0)</f>
        <v>0</v>
      </c>
      <c r="Q49" s="20" t="str">
        <f ca="1">IFERROR(__xludf.DUMMYFUNCTION("""COMPUTED_VALUE"""),"NA")</f>
        <v>NA</v>
      </c>
      <c r="R49" s="113" t="str">
        <f ca="1">IFERROR(__xludf.DUMMYFUNCTION("""COMPUTED_VALUE"""),"https://www.youtube.com/watch?v=djS9MQlIzg8")</f>
        <v>https://www.youtube.com/watch?v=djS9MQlIzg8</v>
      </c>
      <c r="S49" s="113" t="str">
        <f ca="1">IFERROR(__xludf.DUMMYFUNCTION("""COMPUTED_VALUE"""),"https://gld.legislaturacba.gob.ar/Publics/Actas.aspx?id=9drLIh305UY=")</f>
        <v>https://gld.legislaturacba.gob.ar/Publics/Actas.aspx?id=9drLIh305UY=</v>
      </c>
      <c r="T49" s="99">
        <f t="shared" ca="1" si="0"/>
        <v>0</v>
      </c>
    </row>
    <row r="50" spans="1:20">
      <c r="A50" s="20">
        <f ca="1">IFERROR(__xludf.DUMMYFUNCTION("""COMPUTED_VALUE"""),49)</f>
        <v>49</v>
      </c>
      <c r="B50" s="20">
        <f ca="1">IFERROR(__xludf.DUMMYFUNCTION("""COMPUTED_VALUE"""),2020)</f>
        <v>2020</v>
      </c>
      <c r="C50" s="20" t="str">
        <f ca="1">IFERROR(__xludf.DUMMYFUNCTION("""COMPUTED_VALUE"""),"VIRTUAL")</f>
        <v>VIRTUAL</v>
      </c>
      <c r="D50" s="96">
        <f ca="1">IFERROR(__xludf.DUMMYFUNCTION("""COMPUTED_VALUE"""),43979)</f>
        <v>43979</v>
      </c>
      <c r="E50" s="20" t="str">
        <f ca="1">IFERROR(__xludf.DUMMYFUNCTION("""COMPUTED_VALUE"""),"SI")</f>
        <v>SI</v>
      </c>
      <c r="F50" s="20" t="str">
        <f ca="1">IFERROR(__xludf.DUMMYFUNCTION("""COMPUTED_VALUE"""),"ASUNTOS CONSTITUCIONALES, JUSTICIA Y ACUERDOS;LEGISLACIÓN GENERAL")</f>
        <v>ASUNTOS CONSTITUCIONALES, JUSTICIA Y ACUERDOS;LEGISLACIÓN GENERAL</v>
      </c>
      <c r="G50" s="20">
        <f ca="1">IFERROR(__xludf.DUMMYFUNCTION("""COMPUTED_VALUE"""),2)</f>
        <v>2</v>
      </c>
      <c r="H50" s="20">
        <f ca="1">IFERROR(__xludf.DUMMYFUNCTION("""COMPUTED_VALUE"""),1)</f>
        <v>1</v>
      </c>
      <c r="I50" s="20">
        <f ca="1">IFERROR(__xludf.DUMMYFUNCTION("""COMPUTED_VALUE"""),1)</f>
        <v>1</v>
      </c>
      <c r="J50" s="20" t="str">
        <f ca="1">IFERROR(__xludf.DUMMYFUNCTION("""COMPUTED_VALUE"""),"Ley")</f>
        <v>Ley</v>
      </c>
      <c r="K50" s="20">
        <f ca="1">IFERROR(__xludf.DUMMYFUNCTION("""COMPUTED_VALUE"""),30064)</f>
        <v>30064</v>
      </c>
      <c r="L50" s="20" t="str">
        <f ca="1">IFERROR(__xludf.DUMMYFUNCTION("""COMPUTED_VALUE"""),"Poder Legislativo Provincial")</f>
        <v>Poder Legislativo Provincial</v>
      </c>
      <c r="M50" s="20" t="str">
        <f ca="1">IFERROR(__xludf.DUMMYFUNCTION("""COMPUTED_VALUE"""),"Proyecto de Ley Nº 30064/L/20, modificando la Ley Nº 9380, que regula la utilización de videocámaras de seguridad.")</f>
        <v>Proyecto de Ley Nº 30064/L/20, modificando la Ley Nº 9380, que regula la utilización de videocámaras de seguridad.</v>
      </c>
      <c r="N50" s="20" t="str">
        <f ca="1">IFERROR(__xludf.DUMMYFUNCTION("""COMPUTED_VALUE"""),"SI")</f>
        <v>SI</v>
      </c>
      <c r="O50" s="20" t="str">
        <f ca="1">IFERROR(__xludf.DUMMYFUNCTION("""COMPUTED_VALUE"""),"NO")</f>
        <v>NO</v>
      </c>
      <c r="P50" s="20">
        <f ca="1">IFERROR(__xludf.DUMMYFUNCTION("""COMPUTED_VALUE"""),0)</f>
        <v>0</v>
      </c>
      <c r="Q50" s="113" t="str">
        <f ca="1">IFERROR(__xludf.DUMMYFUNCTION("""COMPUTED_VALUE"""),"https://gld.legislaturacba.gob.ar/_cdd/api/Documento/descargar?guid=df31e48c-9b85-4cd4-a8e4-47f1baa32e1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v>
      </c>
      <c r="R50" s="113" t="str">
        <f ca="1">IFERROR(__xludf.DUMMYFUNCTION("""COMPUTED_VALUE"""),"https://www.youtube.com/watch?v=aL7VO4R-0B0")</f>
        <v>https://www.youtube.com/watch?v=aL7VO4R-0B0</v>
      </c>
      <c r="S50" s="113" t="str">
        <f ca="1">IFERROR(__xludf.DUMMYFUNCTION("""COMPUTED_VALUE"""),"https://gld.legislaturacba.gob.ar/Publics/Actas.aspx?id=nGfd4U-JHDo=;https://gld.legislaturacba.gob.ar/Publics/Actas.aspx?id=6pHcN_GfMzI=")</f>
        <v>https://gld.legislaturacba.gob.ar/Publics/Actas.aspx?id=nGfd4U-JHDo=;https://gld.legislaturacba.gob.ar/Publics/Actas.aspx?id=6pHcN_GfMzI=</v>
      </c>
      <c r="T50" s="99">
        <f t="shared" ca="1" si="0"/>
        <v>0</v>
      </c>
    </row>
    <row r="51" spans="1:20">
      <c r="A51" s="20">
        <f ca="1">IFERROR(__xludf.DUMMYFUNCTION("""COMPUTED_VALUE"""),50)</f>
        <v>50</v>
      </c>
      <c r="B51" s="20">
        <f ca="1">IFERROR(__xludf.DUMMYFUNCTION("""COMPUTED_VALUE"""),2020)</f>
        <v>2020</v>
      </c>
      <c r="C51" s="20" t="str">
        <f ca="1">IFERROR(__xludf.DUMMYFUNCTION("""COMPUTED_VALUE"""),"VIRTUAL")</f>
        <v>VIRTUAL</v>
      </c>
      <c r="D51" s="96">
        <f ca="1">IFERROR(__xludf.DUMMYFUNCTION("""COMPUTED_VALUE"""),43979)</f>
        <v>43979</v>
      </c>
      <c r="E51" s="20" t="str">
        <f ca="1">IFERROR(__xludf.DUMMYFUNCTION("""COMPUTED_VALUE"""),"NO")</f>
        <v>NO</v>
      </c>
      <c r="F51" s="20" t="str">
        <f ca="1">IFERROR(__xludf.DUMMYFUNCTION("""COMPUTED_VALUE"""),"ASUNTOS CONSTITUCIONALES, JUSTICIA Y ACUERDOS")</f>
        <v>ASUNTOS CONSTITUCIONALES, JUSTICIA Y ACUERDOS</v>
      </c>
      <c r="G51" s="20">
        <f ca="1">IFERROR(__xludf.DUMMYFUNCTION("""COMPUTED_VALUE"""),1)</f>
        <v>1</v>
      </c>
      <c r="H51" s="20">
        <f ca="1">IFERROR(__xludf.DUMMYFUNCTION("""COMPUTED_VALUE"""),2)</f>
        <v>2</v>
      </c>
      <c r="I51" s="20">
        <f ca="1">IFERROR(__xludf.DUMMYFUNCTION("""COMPUTED_VALUE"""),1)</f>
        <v>1</v>
      </c>
      <c r="J51" s="20" t="str">
        <f ca="1">IFERROR(__xludf.DUMMYFUNCTION("""COMPUTED_VALUE"""),"Pliego")</f>
        <v>Pliego</v>
      </c>
      <c r="K51" s="20">
        <f ca="1">IFERROR(__xludf.DUMMYFUNCTION("""COMPUTED_VALUE"""),29695)</f>
        <v>29695</v>
      </c>
      <c r="L51" s="20" t="str">
        <f ca="1">IFERROR(__xludf.DUMMYFUNCTION("""COMPUTED_VALUE"""),"Poder Ejecutivo Provincial")</f>
        <v>Poder Ejecutivo Provincial</v>
      </c>
      <c r="M51" s="20" t="str">
        <f ca="1">IFERROR(__xludf.DUMMYFUNCTION("""COMPUTED_VALUE"""),"Pliego Nº 29695/P/19, solicitando acuerdo para designar al abogado JORGE ENRIQUE CASTRO Vocal de Cámara en la Cámara en lo Civil y Comercial, del Trabajo y Familia de la Séptima Circunscripción Judicial con asiento en la ciudad de Cruz del Eje.")</f>
        <v>Pliego Nº 29695/P/19, solicitando acuerdo para designar al abogado JORGE ENRIQUE CASTRO Vocal de Cámara en la Cámara en lo Civil y Comercial, del Trabajo y Familia de la Séptima Circunscripción Judicial con asiento en la ciudad de Cruz del Eje.</v>
      </c>
      <c r="N51" s="20" t="str">
        <f ca="1">IFERROR(__xludf.DUMMYFUNCTION("""COMPUTED_VALUE"""),"SI")</f>
        <v>SI</v>
      </c>
      <c r="O51" s="20" t="str">
        <f ca="1">IFERROR(__xludf.DUMMYFUNCTION("""COMPUTED_VALUE"""),"NO")</f>
        <v>NO</v>
      </c>
      <c r="P51" s="20">
        <f ca="1">IFERROR(__xludf.DUMMYFUNCTION("""COMPUTED_VALUE"""),0)</f>
        <v>0</v>
      </c>
      <c r="Q51" s="113" t="str">
        <f ca="1">IFERROR(__xludf.DUMMYFUNCTION("""COMPUTED_VALUE"""),"https://gld.legislaturacba.gob.ar/_cdd/api/Documento/descargar?guid=32d39f83-ecf7-4da3-b083-0ceb22feae7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v>
      </c>
      <c r="R51" s="113" t="str">
        <f ca="1">IFERROR(__xludf.DUMMYFUNCTION("""COMPUTED_VALUE"""),"https://www.youtube.com/watch?v=aL7VO4R-0B0&amp;t=782s")</f>
        <v>https://www.youtube.com/watch?v=aL7VO4R-0B0&amp;t=782s</v>
      </c>
      <c r="S51" s="113" t="str">
        <f ca="1">IFERROR(__xludf.DUMMYFUNCTION("""COMPUTED_VALUE"""),"https://gld.legislaturacba.gob.ar/Publics/Actas.aspx?id=lWx-ooIJv_A=")</f>
        <v>https://gld.legislaturacba.gob.ar/Publics/Actas.aspx?id=lWx-ooIJv_A=</v>
      </c>
      <c r="T51" s="99">
        <f t="shared" ca="1" si="0"/>
        <v>0</v>
      </c>
    </row>
    <row r="52" spans="1:20">
      <c r="A52" s="20">
        <f ca="1">IFERROR(__xludf.DUMMYFUNCTION("""COMPUTED_VALUE"""),51)</f>
        <v>51</v>
      </c>
      <c r="B52" s="20">
        <f ca="1">IFERROR(__xludf.DUMMYFUNCTION("""COMPUTED_VALUE"""),2020)</f>
        <v>2020</v>
      </c>
      <c r="C52" s="20" t="str">
        <f ca="1">IFERROR(__xludf.DUMMYFUNCTION("""COMPUTED_VALUE"""),"VIRTUAL")</f>
        <v>VIRTUAL</v>
      </c>
      <c r="D52" s="96">
        <f ca="1">IFERROR(__xludf.DUMMYFUNCTION("""COMPUTED_VALUE"""),43979)</f>
        <v>43979</v>
      </c>
      <c r="E52" s="20" t="str">
        <f ca="1">IFERROR(__xludf.DUMMYFUNCTION("""COMPUTED_VALUE"""),"NO")</f>
        <v>NO</v>
      </c>
      <c r="F52" s="20" t="str">
        <f ca="1">IFERROR(__xludf.DUMMYFUNCTION("""COMPUTED_VALUE"""),"INDUSTRIA Y MINERÍA")</f>
        <v>INDUSTRIA Y MINERÍA</v>
      </c>
      <c r="G52" s="20">
        <f ca="1">IFERROR(__xludf.DUMMYFUNCTION("""COMPUTED_VALUE"""),1)</f>
        <v>1</v>
      </c>
      <c r="H52" s="20">
        <f ca="1">IFERROR(__xludf.DUMMYFUNCTION("""COMPUTED_VALUE"""),1)</f>
        <v>1</v>
      </c>
      <c r="I52" s="20">
        <f ca="1">IFERROR(__xludf.DUMMYFUNCTION("""COMPUTED_VALUE"""),1)</f>
        <v>1</v>
      </c>
      <c r="J52" s="20" t="str">
        <f ca="1">IFERROR(__xludf.DUMMYFUNCTION("""COMPUTED_VALUE"""),"NC")</f>
        <v>NC</v>
      </c>
      <c r="K52" s="20" t="str">
        <f ca="1">IFERROR(__xludf.DUMMYFUNCTION("""COMPUTED_VALUE"""),"NA")</f>
        <v>NA</v>
      </c>
      <c r="L52" s="20" t="str">
        <f ca="1">IFERROR(__xludf.DUMMYFUNCTION("""COMPUTED_VALUE"""),"NA")</f>
        <v>NA</v>
      </c>
      <c r="M52" s="20" t="str">
        <f ca="1">IFERROR(__xludf.DUMMYFUNCTION("""COMPUTED_VALUE"""),"Constitución formal de la comisión y designación de sus autoridades.")</f>
        <v>Constitución formal de la comisión y designación de sus autoridades.</v>
      </c>
      <c r="N52" s="20" t="str">
        <f ca="1">IFERROR(__xludf.DUMMYFUNCTION("""COMPUTED_VALUE"""),"NA")</f>
        <v>NA</v>
      </c>
      <c r="O52" s="20" t="str">
        <f ca="1">IFERROR(__xludf.DUMMYFUNCTION("""COMPUTED_VALUE"""),"NO")</f>
        <v>NO</v>
      </c>
      <c r="P52" s="20">
        <f ca="1">IFERROR(__xludf.DUMMYFUNCTION("""COMPUTED_VALUE"""),0)</f>
        <v>0</v>
      </c>
      <c r="Q52" s="113" t="str">
        <f ca="1">IFERROR(__xludf.DUMMYFUNCTION("""COMPUTED_VALUE"""),"https://gld.legislaturacba.gob.ar/_cdd/api/Documento/descargar?guid=0722b897-5f54-4486-b76b-5df633c04365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v>
      </c>
      <c r="R52" s="20" t="str">
        <f ca="1">IFERROR(__xludf.DUMMYFUNCTION("""COMPUTED_VALUE"""),"NA")</f>
        <v>NA</v>
      </c>
      <c r="S52" s="113" t="str">
        <f ca="1">IFERROR(__xludf.DUMMYFUNCTION("""COMPUTED_VALUE"""),"https://gld.legislaturacba.gob.ar/Publics/Actas.aspx?id=40IZo5e99lI=")</f>
        <v>https://gld.legislaturacba.gob.ar/Publics/Actas.aspx?id=40IZo5e99lI=</v>
      </c>
      <c r="T52" s="99">
        <f t="shared" ca="1" si="0"/>
        <v>0</v>
      </c>
    </row>
    <row r="53" spans="1:20">
      <c r="A53" s="20">
        <f ca="1">IFERROR(__xludf.DUMMYFUNCTION("""COMPUTED_VALUE"""),52)</f>
        <v>52</v>
      </c>
      <c r="B53" s="20">
        <f ca="1">IFERROR(__xludf.DUMMYFUNCTION("""COMPUTED_VALUE"""),2020)</f>
        <v>2020</v>
      </c>
      <c r="C53" s="20" t="str">
        <f ca="1">IFERROR(__xludf.DUMMYFUNCTION("""COMPUTED_VALUE"""),"VIRTUAL")</f>
        <v>VIRTUAL</v>
      </c>
      <c r="D53" s="96">
        <f ca="1">IFERROR(__xludf.DUMMYFUNCTION("""COMPUTED_VALUE"""),43984)</f>
        <v>43984</v>
      </c>
      <c r="E53" s="20" t="str">
        <f ca="1">IFERROR(__xludf.DUMMYFUNCTION("""COMPUTED_VALUE"""),"NO")</f>
        <v>NO</v>
      </c>
      <c r="F53" s="20" t="str">
        <f ca="1">IFERROR(__xludf.DUMMYFUNCTION("""COMPUTED_VALUE"""),"ASUNTOS ECOLÓGICOS")</f>
        <v>ASUNTOS ECOLÓGICOS</v>
      </c>
      <c r="G53" s="20">
        <f ca="1">IFERROR(__xludf.DUMMYFUNCTION("""COMPUTED_VALUE"""),1)</f>
        <v>1</v>
      </c>
      <c r="H53" s="20">
        <f ca="1">IFERROR(__xludf.DUMMYFUNCTION("""COMPUTED_VALUE"""),3)</f>
        <v>3</v>
      </c>
      <c r="I53" s="20">
        <f ca="1">IFERROR(__xludf.DUMMYFUNCTION("""COMPUTED_VALUE"""),1)</f>
        <v>1</v>
      </c>
      <c r="J53" s="20" t="str">
        <f ca="1">IFERROR(__xludf.DUMMYFUNCTION("""COMPUTED_VALUE"""),"NC")</f>
        <v>NC</v>
      </c>
      <c r="K53" s="20" t="str">
        <f ca="1">IFERROR(__xludf.DUMMYFUNCTION("""COMPUTED_VALUE"""),"NA")</f>
        <v>NA</v>
      </c>
      <c r="L53" s="20" t="str">
        <f ca="1">IFERROR(__xludf.DUMMYFUNCTION("""COMPUTED_VALUE"""),"NA")</f>
        <v>NA</v>
      </c>
      <c r="M53" s="20" t="str">
        <f ca="1">IFERROR(__xludf.DUMMYFUNCTION("""COMPUTED_VALUE"""),"Análisis del anteproyecto de resolución modificatorio del Reglamento Interno de la Legislatura en relación al cambio de nombre de la Comisión.")</f>
        <v>Análisis del anteproyecto de resolución modificatorio del Reglamento Interno de la Legislatura en relación al cambio de nombre de la Comisión.</v>
      </c>
      <c r="N53" s="20" t="str">
        <f ca="1">IFERROR(__xludf.DUMMYFUNCTION("""COMPUTED_VALUE"""),"NA")</f>
        <v>NA</v>
      </c>
      <c r="O53" s="20" t="str">
        <f ca="1">IFERROR(__xludf.DUMMYFUNCTION("""COMPUTED_VALUE"""),"SI")</f>
        <v>SI</v>
      </c>
      <c r="P53" s="20">
        <f ca="1">IFERROR(__xludf.DUMMYFUNCTION("""COMPUTED_VALUE"""),4)</f>
        <v>4</v>
      </c>
      <c r="Q53" s="113" t="str">
        <f ca="1">IFERROR(__xludf.DUMMYFUNCTION("""COMPUTED_VALUE"""),"https://gld.legislaturacba.gob.ar/_cdd/api/Documento/descargar?guid=2ca336f9-d841-4c3d-a678-303106ec4b2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v>
      </c>
      <c r="R53" s="113" t="str">
        <f ca="1">IFERROR(__xludf.DUMMYFUNCTION("""COMPUTED_VALUE"""),"https://www.youtube.com/watch?v=XvQJYkgwKV8")</f>
        <v>https://www.youtube.com/watch?v=XvQJYkgwKV8</v>
      </c>
      <c r="S53" s="113" t="str">
        <f ca="1">IFERROR(__xludf.DUMMYFUNCTION("""COMPUTED_VALUE"""),"https://gld.legislaturacba.gob.ar/Publics/Actas.aspx?id=yw6LckpotcU=")</f>
        <v>https://gld.legislaturacba.gob.ar/Publics/Actas.aspx?id=yw6LckpotcU=</v>
      </c>
      <c r="T53" s="99">
        <f t="shared" ca="1" si="0"/>
        <v>0</v>
      </c>
    </row>
    <row r="54" spans="1:20">
      <c r="A54" s="20">
        <f ca="1">IFERROR(__xludf.DUMMYFUNCTION("""COMPUTED_VALUE"""),53)</f>
        <v>53</v>
      </c>
      <c r="B54" s="20">
        <f ca="1">IFERROR(__xludf.DUMMYFUNCTION("""COMPUTED_VALUE"""),2020)</f>
        <v>2020</v>
      </c>
      <c r="C54" s="20" t="str">
        <f ca="1">IFERROR(__xludf.DUMMYFUNCTION("""COMPUTED_VALUE"""),"VIRTUAL")</f>
        <v>VIRTUAL</v>
      </c>
      <c r="D54" s="96">
        <f ca="1">IFERROR(__xludf.DUMMYFUNCTION("""COMPUTED_VALUE"""),43984)</f>
        <v>43984</v>
      </c>
      <c r="E54" s="20" t="str">
        <f ca="1">IFERROR(__xludf.DUMMYFUNCTION("""COMPUTED_VALUE"""),"SI")</f>
        <v>SI</v>
      </c>
      <c r="F54" s="20" t="str">
        <f ca="1">IFERROR(__xludf.DUMMYFUNCTION("""COMPUTED_VALUE"""),"SEGUIMIENTO DE LA EMISIÓN DE TÍTULOS DE DEUDA;ECONOMÍA, PRESUPUESTO, GESTIÓN PÚBLICA E INNOVACIÓN")</f>
        <v>SEGUIMIENTO DE LA EMISIÓN DE TÍTULOS DE DEUDA;ECONOMÍA, PRESUPUESTO, GESTIÓN PÚBLICA E INNOVACIÓN</v>
      </c>
      <c r="G54" s="20">
        <f ca="1">IFERROR(__xludf.DUMMYFUNCTION("""COMPUTED_VALUE"""),2)</f>
        <v>2</v>
      </c>
      <c r="H54" s="20">
        <f ca="1">IFERROR(__xludf.DUMMYFUNCTION("""COMPUTED_VALUE"""),2)</f>
        <v>2</v>
      </c>
      <c r="I54" s="20">
        <f ca="1">IFERROR(__xludf.DUMMYFUNCTION("""COMPUTED_VALUE"""),1)</f>
        <v>1</v>
      </c>
      <c r="J54" s="20" t="str">
        <f ca="1">IFERROR(__xludf.DUMMYFUNCTION("""COMPUTED_VALUE"""),"NC")</f>
        <v>NC</v>
      </c>
      <c r="K54" s="20" t="str">
        <f ca="1">IFERROR(__xludf.DUMMYFUNCTION("""COMPUTED_VALUE"""),"NA")</f>
        <v>NA</v>
      </c>
      <c r="L54" s="20" t="str">
        <f ca="1">IFERROR(__xludf.DUMMYFUNCTION("""COMPUTED_VALUE"""),"NA")</f>
        <v>NA</v>
      </c>
      <c r="M54" s="20" t="str">
        <f ca="1">IFERROR(__xludf.DUMMYFUNCTION("""COMPUTED_VALUE"""),"Constitución formal de la Comisión de Seguimiento de la Emisión de Títulos de Deuda.")</f>
        <v>Constitución formal de la Comisión de Seguimiento de la Emisión de Títulos de Deuda.</v>
      </c>
      <c r="N54" s="20" t="str">
        <f ca="1">IFERROR(__xludf.DUMMYFUNCTION("""COMPUTED_VALUE"""),"NA")</f>
        <v>NA</v>
      </c>
      <c r="O54" s="20" t="str">
        <f ca="1">IFERROR(__xludf.DUMMYFUNCTION("""COMPUTED_VALUE"""),"SI")</f>
        <v>SI</v>
      </c>
      <c r="P54" s="20">
        <f ca="1">IFERROR(__xludf.DUMMYFUNCTION("""COMPUTED_VALUE"""),4)</f>
        <v>4</v>
      </c>
      <c r="Q54" s="113" t="str">
        <f ca="1">IFERROR(__xludf.DUMMYFUNCTION("""COMPUTED_VALUE"""),"https://gld.legislaturacba.gob.ar/_cdd/api/Documento/descargar?guid=0e04a994-cfc1-470e-bc1d-1afbbfd913a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v>
      </c>
      <c r="R54" s="20" t="str">
        <f ca="1">IFERROR(__xludf.DUMMYFUNCTION("""COMPUTED_VALUE"""),"NA")</f>
        <v>NA</v>
      </c>
      <c r="S54" s="20" t="str">
        <f ca="1">IFERROR(__xludf.DUMMYFUNCTION("""COMPUTED_VALUE"""),"NA;https://gld.legislaturacba.gob.ar/Publics/Actas.aspx?id=_yEQxNXdbRM=")</f>
        <v>NA;https://gld.legislaturacba.gob.ar/Publics/Actas.aspx?id=_yEQxNXdbRM=</v>
      </c>
      <c r="T54" s="99">
        <f t="shared" ca="1" si="0"/>
        <v>1</v>
      </c>
    </row>
    <row r="55" spans="1:20">
      <c r="A55" s="20">
        <f ca="1">IFERROR(__xludf.DUMMYFUNCTION("""COMPUTED_VALUE"""),54)</f>
        <v>54</v>
      </c>
      <c r="B55" s="20">
        <f ca="1">IFERROR(__xludf.DUMMYFUNCTION("""COMPUTED_VALUE"""),2020)</f>
        <v>2020</v>
      </c>
      <c r="C55" s="20" t="str">
        <f ca="1">IFERROR(__xludf.DUMMYFUNCTION("""COMPUTED_VALUE"""),"VIRTUAL")</f>
        <v>VIRTUAL</v>
      </c>
      <c r="D55" s="96">
        <f ca="1">IFERROR(__xludf.DUMMYFUNCTION("""COMPUTED_VALUE"""),43984)</f>
        <v>43984</v>
      </c>
      <c r="E55" s="20" t="str">
        <f ca="1">IFERROR(__xludf.DUMMYFUNCTION("""COMPUTED_VALUE"""),"NO")</f>
        <v>NO</v>
      </c>
      <c r="F55" s="20" t="str">
        <f ca="1">IFERROR(__xludf.DUMMYFUNCTION("""COMPUTED_VALUE"""),"PROMOCIÓN Y DEFENSA DE LOS DERECHOS DE LA NIÑEZ, ADOLESCENCIA Y FAMILIA")</f>
        <v>PROMOCIÓN Y DEFENSA DE LOS DERECHOS DE LA NIÑEZ, ADOLESCENCIA Y FAMILIA</v>
      </c>
      <c r="G55" s="20">
        <f ca="1">IFERROR(__xludf.DUMMYFUNCTION("""COMPUTED_VALUE"""),1)</f>
        <v>1</v>
      </c>
      <c r="H55" s="20">
        <f ca="1">IFERROR(__xludf.DUMMYFUNCTION("""COMPUTED_VALUE"""),1)</f>
        <v>1</v>
      </c>
      <c r="I55" s="20">
        <f ca="1">IFERROR(__xludf.DUMMYFUNCTION("""COMPUTED_VALUE"""),1)</f>
        <v>1</v>
      </c>
      <c r="J55" s="20" t="str">
        <f ca="1">IFERROR(__xludf.DUMMYFUNCTION("""COMPUTED_VALUE"""),"NC")</f>
        <v>NC</v>
      </c>
      <c r="K55" s="20" t="str">
        <f ca="1">IFERROR(__xludf.DUMMYFUNCTION("""COMPUTED_VALUE"""),"NA")</f>
        <v>NA</v>
      </c>
      <c r="L55" s="20" t="str">
        <f ca="1">IFERROR(__xludf.DUMMYFUNCTION("""COMPUTED_VALUE"""),"NA")</f>
        <v>NA</v>
      </c>
      <c r="M55" s="20" t="str">
        <f ca="1">IFERROR(__xludf.DUMMYFUNCTION("""COMPUTED_VALUE"""),"Constitución formal de la Comisión y designación de sus autoridades.")</f>
        <v>Constitución formal de la Comisión y designación de sus autoridades.</v>
      </c>
      <c r="N55" s="20" t="str">
        <f ca="1">IFERROR(__xludf.DUMMYFUNCTION("""COMPUTED_VALUE"""),"NA")</f>
        <v>NA</v>
      </c>
      <c r="O55" s="20" t="str">
        <f ca="1">IFERROR(__xludf.DUMMYFUNCTION("""COMPUTED_VALUE"""),"NO")</f>
        <v>NO</v>
      </c>
      <c r="P55" s="20">
        <f ca="1">IFERROR(__xludf.DUMMYFUNCTION("""COMPUTED_VALUE"""),0)</f>
        <v>0</v>
      </c>
      <c r="Q55" s="113" t="str">
        <f ca="1">IFERROR(__xludf.DUMMYFUNCTION("""COMPUTED_VALUE"""),"https://gld.legislaturacba.gob.ar/_cdd/api/Documento/descargar?guid=615cc204-b7a6-4826-a947-5e6fa2e95bb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v>
      </c>
      <c r="R55" s="113" t="str">
        <f ca="1">IFERROR(__xludf.DUMMYFUNCTION("""COMPUTED_VALUE"""),"https://www.youtube.com/watch?v=VP2Goa6bZWs")</f>
        <v>https://www.youtube.com/watch?v=VP2Goa6bZWs</v>
      </c>
      <c r="S55" s="113" t="str">
        <f ca="1">IFERROR(__xludf.DUMMYFUNCTION("""COMPUTED_VALUE"""),"https://gld.legislaturacba.gob.ar/Publics/Actas.aspx?id=KpIydxfBSiQ=")</f>
        <v>https://gld.legislaturacba.gob.ar/Publics/Actas.aspx?id=KpIydxfBSiQ=</v>
      </c>
      <c r="T55" s="99">
        <f t="shared" ca="1" si="0"/>
        <v>0</v>
      </c>
    </row>
    <row r="56" spans="1:20">
      <c r="A56" s="20">
        <f ca="1">IFERROR(__xludf.DUMMYFUNCTION("""COMPUTED_VALUE"""),55)</f>
        <v>55</v>
      </c>
      <c r="B56" s="20">
        <f ca="1">IFERROR(__xludf.DUMMYFUNCTION("""COMPUTED_VALUE"""),2020)</f>
        <v>2020</v>
      </c>
      <c r="C56" s="20" t="str">
        <f ca="1">IFERROR(__xludf.DUMMYFUNCTION("""COMPUTED_VALUE"""),"VIRTUAL")</f>
        <v>VIRTUAL</v>
      </c>
      <c r="D56" s="96">
        <f ca="1">IFERROR(__xludf.DUMMYFUNCTION("""COMPUTED_VALUE"""),43986)</f>
        <v>43986</v>
      </c>
      <c r="E56" s="20" t="str">
        <f ca="1">IFERROR(__xludf.DUMMYFUNCTION("""COMPUTED_VALUE"""),"NO")</f>
        <v>NO</v>
      </c>
      <c r="F56" s="20" t="str">
        <f ca="1">IFERROR(__xludf.DUMMYFUNCTION("""COMPUTED_VALUE"""),"PROMOCIÓN Y DESARROLLO DE LAS COMUNIDADES REGIONALES")</f>
        <v>PROMOCIÓN Y DESARROLLO DE LAS COMUNIDADES REGIONALES</v>
      </c>
      <c r="G56" s="20">
        <f ca="1">IFERROR(__xludf.DUMMYFUNCTION("""COMPUTED_VALUE"""),1)</f>
        <v>1</v>
      </c>
      <c r="H56" s="20">
        <f ca="1">IFERROR(__xludf.DUMMYFUNCTION("""COMPUTED_VALUE"""),1)</f>
        <v>1</v>
      </c>
      <c r="I56" s="20">
        <f ca="1">IFERROR(__xludf.DUMMYFUNCTION("""COMPUTED_VALUE"""),1)</f>
        <v>1</v>
      </c>
      <c r="J56" s="20" t="str">
        <f ca="1">IFERROR(__xludf.DUMMYFUNCTION("""COMPUTED_VALUE"""),"NC")</f>
        <v>NC</v>
      </c>
      <c r="K56" s="20" t="str">
        <f ca="1">IFERROR(__xludf.DUMMYFUNCTION("""COMPUTED_VALUE"""),"NA")</f>
        <v>NA</v>
      </c>
      <c r="L56" s="20" t="str">
        <f ca="1">IFERROR(__xludf.DUMMYFUNCTION("""COMPUTED_VALUE"""),"NA")</f>
        <v>NA</v>
      </c>
      <c r="M56" s="20" t="str">
        <f ca="1">IFERROR(__xludf.DUMMYFUNCTION("""COMPUTED_VALUE"""),"El rol de las Comunidades Regionales en el contexto de la pandemia. Experiencias y desafíos.")</f>
        <v>El rol de las Comunidades Regionales en el contexto de la pandemia. Experiencias y desafíos.</v>
      </c>
      <c r="N56" s="20" t="str">
        <f ca="1">IFERROR(__xludf.DUMMYFUNCTION("""COMPUTED_VALUE"""),"NA")</f>
        <v>NA</v>
      </c>
      <c r="O56" s="20" t="str">
        <f ca="1">IFERROR(__xludf.DUMMYFUNCTION("""COMPUTED_VALUE"""),"NO")</f>
        <v>NO</v>
      </c>
      <c r="P56" s="20">
        <f ca="1">IFERROR(__xludf.DUMMYFUNCTION("""COMPUTED_VALUE"""),0)</f>
        <v>0</v>
      </c>
      <c r="Q56" s="113" t="str">
        <f ca="1">IFERROR(__xludf.DUMMYFUNCTION("""COMPUTED_VALUE"""),"https://gld.legislaturacba.gob.ar/_cdd/api/Documento/descargar?guid=c51cf52a-f95f-47da-aebb-6b07cd92adc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v>
      </c>
      <c r="R56" s="113" t="str">
        <f ca="1">IFERROR(__xludf.DUMMYFUNCTION("""COMPUTED_VALUE"""),"https://www.youtube.com/watch?v=wUo-YGm8jxA")</f>
        <v>https://www.youtube.com/watch?v=wUo-YGm8jxA</v>
      </c>
      <c r="S56" s="113" t="str">
        <f ca="1">IFERROR(__xludf.DUMMYFUNCTION("""COMPUTED_VALUE"""),"https://gld.legislaturacba.gob.ar/Publics/Actas.aspx?id=adSWnGOJjr0=")</f>
        <v>https://gld.legislaturacba.gob.ar/Publics/Actas.aspx?id=adSWnGOJjr0=</v>
      </c>
      <c r="T56" s="99">
        <f t="shared" ca="1" si="0"/>
        <v>0</v>
      </c>
    </row>
    <row r="57" spans="1:20">
      <c r="A57" s="20">
        <f ca="1">IFERROR(__xludf.DUMMYFUNCTION("""COMPUTED_VALUE"""),56)</f>
        <v>56</v>
      </c>
      <c r="B57" s="20">
        <f ca="1">IFERROR(__xludf.DUMMYFUNCTION("""COMPUTED_VALUE"""),2020)</f>
        <v>2020</v>
      </c>
      <c r="C57" s="20" t="str">
        <f ca="1">IFERROR(__xludf.DUMMYFUNCTION("""COMPUTED_VALUE"""),"VIRTUAL")</f>
        <v>VIRTUAL</v>
      </c>
      <c r="D57" s="96">
        <f ca="1">IFERROR(__xludf.DUMMYFUNCTION("""COMPUTED_VALUE"""),43986)</f>
        <v>43986</v>
      </c>
      <c r="E57" s="20" t="str">
        <f ca="1">IFERROR(__xludf.DUMMYFUNCTION("""COMPUTED_VALUE"""),"NO")</f>
        <v>NO</v>
      </c>
      <c r="F57" s="20" t="str">
        <f ca="1">IFERROR(__xludf.DUMMYFUNCTION("""COMPUTED_VALUE"""),"ASUNTOS CONSTITUCIONALES, JUSTICIA Y ACUERDOS")</f>
        <v>ASUNTOS CONSTITUCIONALES, JUSTICIA Y ACUERDOS</v>
      </c>
      <c r="G57" s="20">
        <f ca="1">IFERROR(__xludf.DUMMYFUNCTION("""COMPUTED_VALUE"""),1)</f>
        <v>1</v>
      </c>
      <c r="H57" s="20">
        <f ca="1">IFERROR(__xludf.DUMMYFUNCTION("""COMPUTED_VALUE"""),3)</f>
        <v>3</v>
      </c>
      <c r="I57" s="20">
        <f ca="1">IFERROR(__xludf.DUMMYFUNCTION("""COMPUTED_VALUE"""),1)</f>
        <v>1</v>
      </c>
      <c r="J57" s="20" t="str">
        <f ca="1">IFERROR(__xludf.DUMMYFUNCTION("""COMPUTED_VALUE"""),"Pliego")</f>
        <v>Pliego</v>
      </c>
      <c r="K57" s="20">
        <f ca="1">IFERROR(__xludf.DUMMYFUNCTION("""COMPUTED_VALUE"""),29845)</f>
        <v>29845</v>
      </c>
      <c r="L57" s="20" t="str">
        <f ca="1">IFERROR(__xludf.DUMMYFUNCTION("""COMPUTED_VALUE"""),"Poder Ejecutivo Provincial")</f>
        <v>Poder Ejecutivo Provincial</v>
      </c>
      <c r="M57" s="20" t="str">
        <f ca="1">IFERROR(__xludf.DUMMYFUNCTION("""COMPUTED_VALUE"""),"Pliego Nº 29845/P/19, solicitando acuerdo para designar al abogado JORGE JOSÉ AÍTA TAGLE Vocal de Cámara en la Cámara en lo Civil y Comercial y de Familia de 1a Nominación de la Segunda Circunscripción Judicial con asiento en la ciudad de Río Cuarto.")</f>
        <v>Pliego Nº 29845/P/19, solicitando acuerdo para designar al abogado JORGE JOSÉ AÍTA TAGLE Vocal de Cámara en la Cámara en lo Civil y Comercial y de Familia de 1a Nominación de la Segunda Circunscripción Judicial con asiento en la ciudad de Río Cuarto.</v>
      </c>
      <c r="N57" s="20" t="str">
        <f ca="1">IFERROR(__xludf.DUMMYFUNCTION("""COMPUTED_VALUE"""),"SI")</f>
        <v>SI</v>
      </c>
      <c r="O57" s="20" t="str">
        <f ca="1">IFERROR(__xludf.DUMMYFUNCTION("""COMPUTED_VALUE"""),"NO")</f>
        <v>NO</v>
      </c>
      <c r="P57" s="20">
        <f ca="1">IFERROR(__xludf.DUMMYFUNCTION("""COMPUTED_VALUE"""),0)</f>
        <v>0</v>
      </c>
      <c r="Q57" s="113" t="str">
        <f ca="1">IFERROR(__xludf.DUMMYFUNCTION("""COMPUTED_VALUE"""),"https://gld.legislaturacba.gob.ar/_cdd/api/Documento/descargar?guid=131ad45b-8e7f-4a11-9e96-3cd32f92942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v>
      </c>
      <c r="R57" s="113" t="str">
        <f ca="1">IFERROR(__xludf.DUMMYFUNCTION("""COMPUTED_VALUE"""),"https://www.youtube.com/watch?v=8agLeR4ew_Q")</f>
        <v>https://www.youtube.com/watch?v=8agLeR4ew_Q</v>
      </c>
      <c r="S57" s="113" t="str">
        <f ca="1">IFERROR(__xludf.DUMMYFUNCTION("""COMPUTED_VALUE"""),"https://gld.legislaturacba.gob.ar/Publics/Actas.aspx?id=7fiRyVaVZFQ=")</f>
        <v>https://gld.legislaturacba.gob.ar/Publics/Actas.aspx?id=7fiRyVaVZFQ=</v>
      </c>
      <c r="T57" s="99">
        <f t="shared" ca="1" si="0"/>
        <v>0</v>
      </c>
    </row>
    <row r="58" spans="1:20">
      <c r="A58" s="20">
        <f ca="1">IFERROR(__xludf.DUMMYFUNCTION("""COMPUTED_VALUE"""),57)</f>
        <v>57</v>
      </c>
      <c r="B58" s="20">
        <f ca="1">IFERROR(__xludf.DUMMYFUNCTION("""COMPUTED_VALUE"""),2020)</f>
        <v>2020</v>
      </c>
      <c r="C58" s="20" t="str">
        <f ca="1">IFERROR(__xludf.DUMMYFUNCTION("""COMPUTED_VALUE"""),"VIRTUAL")</f>
        <v>VIRTUAL</v>
      </c>
      <c r="D58" s="96">
        <f ca="1">IFERROR(__xludf.DUMMYFUNCTION("""COMPUTED_VALUE"""),43991)</f>
        <v>43991</v>
      </c>
      <c r="E58" s="20" t="str">
        <f ca="1">IFERROR(__xludf.DUMMYFUNCTION("""COMPUTED_VALUE"""),"NO")</f>
        <v>NO</v>
      </c>
      <c r="F58" s="20" t="str">
        <f ca="1">IFERROR(__xludf.DUMMYFUNCTION("""COMPUTED_VALUE"""),"DEPORTES Y RECREACIÓN")</f>
        <v>DEPORTES Y RECREACIÓN</v>
      </c>
      <c r="G58" s="20">
        <f ca="1">IFERROR(__xludf.DUMMYFUNCTION("""COMPUTED_VALUE"""),1)</f>
        <v>1</v>
      </c>
      <c r="H58" s="20">
        <f ca="1">IFERROR(__xludf.DUMMYFUNCTION("""COMPUTED_VALUE"""),1)</f>
        <v>1</v>
      </c>
      <c r="I58" s="20">
        <f ca="1">IFERROR(__xludf.DUMMYFUNCTION("""COMPUTED_VALUE"""),1)</f>
        <v>1</v>
      </c>
      <c r="J58" s="20" t="str">
        <f ca="1">IFERROR(__xludf.DUMMYFUNCTION("""COMPUTED_VALUE"""),"NC")</f>
        <v>NC</v>
      </c>
      <c r="K58" s="20" t="str">
        <f ca="1">IFERROR(__xludf.DUMMYFUNCTION("""COMPUTED_VALUE"""),"NA")</f>
        <v>NA</v>
      </c>
      <c r="L58" s="20" t="str">
        <f ca="1">IFERROR(__xludf.DUMMYFUNCTION("""COMPUTED_VALUE"""),"NA")</f>
        <v>NA</v>
      </c>
      <c r="M58" s="20" t="str">
        <f ca="1">IFERROR(__xludf.DUMMYFUNCTION("""COMPUTED_VALUE"""),"Situación de los clubes en el contexto de la pandemia. Programa de Asistencia Económica a Clubes. Protocolos para el regreso de diferentes actividades deportivas.")</f>
        <v>Situación de los clubes en el contexto de la pandemia. Programa de Asistencia Económica a Clubes. Protocolos para el regreso de diferentes actividades deportivas.</v>
      </c>
      <c r="N58" s="20" t="str">
        <f ca="1">IFERROR(__xludf.DUMMYFUNCTION("""COMPUTED_VALUE"""),"NA")</f>
        <v>NA</v>
      </c>
      <c r="O58" s="20" t="str">
        <f ca="1">IFERROR(__xludf.DUMMYFUNCTION("""COMPUTED_VALUE"""),"SI")</f>
        <v>SI</v>
      </c>
      <c r="P58" s="20">
        <f ca="1">IFERROR(__xludf.DUMMYFUNCTION("""COMPUTED_VALUE"""),1)</f>
        <v>1</v>
      </c>
      <c r="Q58" s="113" t="str">
        <f ca="1">IFERROR(__xludf.DUMMYFUNCTION("""COMPUTED_VALUE"""),"https://gld.legislaturacba.gob.ar/_cdd/api/Documento/descargar?guid=c019a8ba-64ac-4c02-890e-163dcdcc9d59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v>
      </c>
      <c r="R58" s="113" t="str">
        <f ca="1">IFERROR(__xludf.DUMMYFUNCTION("""COMPUTED_VALUE"""),"https://www.youtube.com/watch?v=XhawY8_f6FM")</f>
        <v>https://www.youtube.com/watch?v=XhawY8_f6FM</v>
      </c>
      <c r="S58" s="113" t="str">
        <f ca="1">IFERROR(__xludf.DUMMYFUNCTION("""COMPUTED_VALUE"""),"https://gld.legislaturacba.gob.ar/Publics/Actas.aspx?id=0WwcRr7pXDQ=")</f>
        <v>https://gld.legislaturacba.gob.ar/Publics/Actas.aspx?id=0WwcRr7pXDQ=</v>
      </c>
      <c r="T58" s="99">
        <f t="shared" ca="1" si="0"/>
        <v>0</v>
      </c>
    </row>
    <row r="59" spans="1:20">
      <c r="A59" s="20">
        <f ca="1">IFERROR(__xludf.DUMMYFUNCTION("""COMPUTED_VALUE"""),58)</f>
        <v>58</v>
      </c>
      <c r="B59" s="20">
        <f ca="1">IFERROR(__xludf.DUMMYFUNCTION("""COMPUTED_VALUE"""),2020)</f>
        <v>2020</v>
      </c>
      <c r="C59" s="20" t="str">
        <f ca="1">IFERROR(__xludf.DUMMYFUNCTION("""COMPUTED_VALUE"""),"VIRTUAL")</f>
        <v>VIRTUAL</v>
      </c>
      <c r="D59" s="96">
        <f ca="1">IFERROR(__xludf.DUMMYFUNCTION("""COMPUTED_VALUE"""),43991)</f>
        <v>43991</v>
      </c>
      <c r="E59" s="20" t="str">
        <f ca="1">IFERROR(__xludf.DUMMYFUNCTION("""COMPUTED_VALUE"""),"NO")</f>
        <v>NO</v>
      </c>
      <c r="F59" s="20" t="str">
        <f ca="1">IFERROR(__xludf.DUMMYFUNCTION("""COMPUTED_VALUE"""),"DERECHOS HUMANOS Y DESARROLLO SOCIAL")</f>
        <v>DERECHOS HUMANOS Y DESARROLLO SOCIAL</v>
      </c>
      <c r="G59" s="20">
        <f ca="1">IFERROR(__xludf.DUMMYFUNCTION("""COMPUTED_VALUE"""),1)</f>
        <v>1</v>
      </c>
      <c r="H59" s="20">
        <f ca="1">IFERROR(__xludf.DUMMYFUNCTION("""COMPUTED_VALUE"""),1)</f>
        <v>1</v>
      </c>
      <c r="I59" s="20">
        <f ca="1">IFERROR(__xludf.DUMMYFUNCTION("""COMPUTED_VALUE"""),1)</f>
        <v>1</v>
      </c>
      <c r="J59" s="20" t="str">
        <f ca="1">IFERROR(__xludf.DUMMYFUNCTION("""COMPUTED_VALUE"""),"NC")</f>
        <v>NC</v>
      </c>
      <c r="K59" s="20" t="str">
        <f ca="1">IFERROR(__xludf.DUMMYFUNCTION("""COMPUTED_VALUE"""),"NA")</f>
        <v>NA</v>
      </c>
      <c r="L59" s="20" t="str">
        <f ca="1">IFERROR(__xludf.DUMMYFUNCTION("""COMPUTED_VALUE"""),"NA")</f>
        <v>NA</v>
      </c>
      <c r="M59" s="20" t="str">
        <f ca="1">IFERROR(__xludf.DUMMYFUNCTION("""COMPUTED_VALUE"""),"Programas del Ministerio de Desarrollo Social en el marco de la coyuntura actual. Respuestas a pedidos de informe.")</f>
        <v>Programas del Ministerio de Desarrollo Social en el marco de la coyuntura actual. Respuestas a pedidos de informe.</v>
      </c>
      <c r="N59" s="20" t="str">
        <f ca="1">IFERROR(__xludf.DUMMYFUNCTION("""COMPUTED_VALUE"""),"NA")</f>
        <v>NA</v>
      </c>
      <c r="O59" s="20" t="str">
        <f ca="1">IFERROR(__xludf.DUMMYFUNCTION("""COMPUTED_VALUE"""),"SI")</f>
        <v>SI</v>
      </c>
      <c r="P59" s="20">
        <f ca="1">IFERROR(__xludf.DUMMYFUNCTION("""COMPUTED_VALUE"""),2)</f>
        <v>2</v>
      </c>
      <c r="Q59" s="113" t="str">
        <f ca="1">IFERROR(__xludf.DUMMYFUNCTION("""COMPUTED_VALUE"""),"https://gld.legislaturacba.gob.ar/_cdd/api/Documento/descargar?guid=f0d55832-9fc4-4442-8f26-0d91b5d92dc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v>
      </c>
      <c r="R59" s="113" t="str">
        <f ca="1">IFERROR(__xludf.DUMMYFUNCTION("""COMPUTED_VALUE"""),"https://www.youtube.com/watch?v=SkrYOJFqb18")</f>
        <v>https://www.youtube.com/watch?v=SkrYOJFqb18</v>
      </c>
      <c r="S59" s="113" t="str">
        <f ca="1">IFERROR(__xludf.DUMMYFUNCTION("""COMPUTED_VALUE"""),"https://gld.legislaturacba.gob.ar/Publics/Actas.aspx?id=REr3OAO908s=")</f>
        <v>https://gld.legislaturacba.gob.ar/Publics/Actas.aspx?id=REr3OAO908s=</v>
      </c>
      <c r="T59" s="99">
        <f t="shared" ca="1" si="0"/>
        <v>0</v>
      </c>
    </row>
    <row r="60" spans="1:20">
      <c r="A60" s="20">
        <f ca="1">IFERROR(__xludf.DUMMYFUNCTION("""COMPUTED_VALUE"""),59)</f>
        <v>59</v>
      </c>
      <c r="B60" s="20">
        <f ca="1">IFERROR(__xludf.DUMMYFUNCTION("""COMPUTED_VALUE"""),2020)</f>
        <v>2020</v>
      </c>
      <c r="C60" s="20" t="str">
        <f ca="1">IFERROR(__xludf.DUMMYFUNCTION("""COMPUTED_VALUE"""),"VIRTUAL")</f>
        <v>VIRTUAL</v>
      </c>
      <c r="D60" s="96">
        <f ca="1">IFERROR(__xludf.DUMMYFUNCTION("""COMPUTED_VALUE"""),43993)</f>
        <v>43993</v>
      </c>
      <c r="E60" s="20" t="str">
        <f ca="1">IFERROR(__xludf.DUMMYFUNCTION("""COMPUTED_VALUE"""),"NO")</f>
        <v>NO</v>
      </c>
      <c r="F60" s="20" t="str">
        <f ca="1">IFERROR(__xludf.DUMMYFUNCTION("""COMPUTED_VALUE"""),"ASUNTOS ECOLÓGICOS")</f>
        <v>ASUNTOS ECOLÓGICOS</v>
      </c>
      <c r="G60" s="20">
        <f ca="1">IFERROR(__xludf.DUMMYFUNCTION("""COMPUTED_VALUE"""),1)</f>
        <v>1</v>
      </c>
      <c r="H60" s="20">
        <f ca="1">IFERROR(__xludf.DUMMYFUNCTION("""COMPUTED_VALUE"""),2)</f>
        <v>2</v>
      </c>
      <c r="I60" s="20">
        <f ca="1">IFERROR(__xludf.DUMMYFUNCTION("""COMPUTED_VALUE"""),1)</f>
        <v>1</v>
      </c>
      <c r="J60" s="20" t="str">
        <f ca="1">IFERROR(__xludf.DUMMYFUNCTION("""COMPUTED_VALUE"""),"NC")</f>
        <v>NC</v>
      </c>
      <c r="K60" s="20" t="str">
        <f ca="1">IFERROR(__xludf.DUMMYFUNCTION("""COMPUTED_VALUE"""),"NA")</f>
        <v>NA</v>
      </c>
      <c r="L60" s="20" t="str">
        <f ca="1">IFERROR(__xludf.DUMMYFUNCTION("""COMPUTED_VALUE"""),"NA")</f>
        <v>NA</v>
      </c>
      <c r="M60" s="20" t="str">
        <f ca="1">IFERROR(__xludf.DUMMYFUNCTION("""COMPUTED_VALUE"""),"Anteproyecto de digesto ambiental.")</f>
        <v>Anteproyecto de digesto ambiental.</v>
      </c>
      <c r="N60" s="20" t="str">
        <f ca="1">IFERROR(__xludf.DUMMYFUNCTION("""COMPUTED_VALUE"""),"NA")</f>
        <v>NA</v>
      </c>
      <c r="O60" s="20" t="str">
        <f ca="1">IFERROR(__xludf.DUMMYFUNCTION("""COMPUTED_VALUE"""),"SI")</f>
        <v>SI</v>
      </c>
      <c r="P60" s="20">
        <f ca="1">IFERROR(__xludf.DUMMYFUNCTION("""COMPUTED_VALUE"""),2)</f>
        <v>2</v>
      </c>
      <c r="Q60" s="113" t="str">
        <f ca="1">IFERROR(__xludf.DUMMYFUNCTION("""COMPUTED_VALUE"""),"https://gld.legislaturacba.gob.ar/_cdd/api/Documento/descargar?guid=357607ea-0323-4746-8e95-60834981475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v>
      </c>
      <c r="R60" s="113" t="str">
        <f ca="1">IFERROR(__xludf.DUMMYFUNCTION("""COMPUTED_VALUE"""),"https://www.youtube.com/watch?v=84hysprcySM")</f>
        <v>https://www.youtube.com/watch?v=84hysprcySM</v>
      </c>
      <c r="S60" s="113" t="str">
        <f ca="1">IFERROR(__xludf.DUMMYFUNCTION("""COMPUTED_VALUE"""),"https://gld.legislaturacba.gob.ar/Publics/Actas.aspx?id=CWofJDIRJh0=")</f>
        <v>https://gld.legislaturacba.gob.ar/Publics/Actas.aspx?id=CWofJDIRJh0=</v>
      </c>
      <c r="T60" s="99">
        <f t="shared" ca="1" si="0"/>
        <v>0</v>
      </c>
    </row>
    <row r="61" spans="1:20">
      <c r="A61" s="20">
        <f ca="1">IFERROR(__xludf.DUMMYFUNCTION("""COMPUTED_VALUE"""),60)</f>
        <v>60</v>
      </c>
      <c r="B61" s="20">
        <f ca="1">IFERROR(__xludf.DUMMYFUNCTION("""COMPUTED_VALUE"""),2020)</f>
        <v>2020</v>
      </c>
      <c r="C61" s="20" t="str">
        <f ca="1">IFERROR(__xludf.DUMMYFUNCTION("""COMPUTED_VALUE"""),"VIRTUAL")</f>
        <v>VIRTUAL</v>
      </c>
      <c r="D61" s="96">
        <f ca="1">IFERROR(__xludf.DUMMYFUNCTION("""COMPUTED_VALUE"""),43993)</f>
        <v>43993</v>
      </c>
      <c r="E61" s="20" t="str">
        <f ca="1">IFERROR(__xludf.DUMMYFUNCTION("""COMPUTED_VALUE"""),"SI")</f>
        <v>SI</v>
      </c>
      <c r="F61" s="20"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G61" s="20">
        <f ca="1">IFERROR(__xludf.DUMMYFUNCTION("""COMPUTED_VALUE"""),2)</f>
        <v>2</v>
      </c>
      <c r="H61" s="20">
        <f ca="1">IFERROR(__xludf.DUMMYFUNCTION("""COMPUTED_VALUE"""),1)</f>
        <v>1</v>
      </c>
      <c r="I61" s="20">
        <f ca="1">IFERROR(__xludf.DUMMYFUNCTION("""COMPUTED_VALUE"""),1)</f>
        <v>1</v>
      </c>
      <c r="J61" s="20" t="str">
        <f ca="1">IFERROR(__xludf.DUMMYFUNCTION("""COMPUTED_VALUE"""),"NC")</f>
        <v>NC</v>
      </c>
      <c r="K61" s="20" t="str">
        <f ca="1">IFERROR(__xludf.DUMMYFUNCTION("""COMPUTED_VALUE"""),"NA")</f>
        <v>NA</v>
      </c>
      <c r="L61" s="20" t="str">
        <f ca="1">IFERROR(__xludf.DUMMYFUNCTION("""COMPUTED_VALUE"""),"NA")</f>
        <v>NA</v>
      </c>
      <c r="M61" s="20" t="str">
        <f ca="1">IFERROR(__xludf.DUMMYFUNCTION("""COMPUTED_VALUE"""),"Una mirada en el pasado, para poder trabajar el presente y mejorar el futuro de la niñez en el consumo de drogas. Programa de Asistencia Interdisciplinaria de Consumo y Abuso Sexual.")</f>
        <v>Una mirada en el pasado, para poder trabajar el presente y mejorar el futuro de la niñez en el consumo de drogas. Programa de Asistencia Interdisciplinaria de Consumo y Abuso Sexual.</v>
      </c>
      <c r="N61" s="20" t="str">
        <f ca="1">IFERROR(__xludf.DUMMYFUNCTION("""COMPUTED_VALUE"""),"NA")</f>
        <v>NA</v>
      </c>
      <c r="O61" s="20" t="str">
        <f ca="1">IFERROR(__xludf.DUMMYFUNCTION("""COMPUTED_VALUE"""),"SI")</f>
        <v>SI</v>
      </c>
      <c r="P61" s="20">
        <f ca="1">IFERROR(__xludf.DUMMYFUNCTION("""COMPUTED_VALUE"""),1)</f>
        <v>1</v>
      </c>
      <c r="Q61" s="113" t="str">
        <f ca="1">IFERROR(__xludf.DUMMYFUNCTION("""COMPUTED_VALUE"""),"https://gld.legislaturacba.gob.ar/_cdd/api/Documento/descargar?guid=b604f468-2270-4f9f-bb76-e10cc7d0f6f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v>
      </c>
      <c r="R61" s="20" t="str">
        <f ca="1">IFERROR(__xludf.DUMMYFUNCTION("""COMPUTED_VALUE"""),"NA")</f>
        <v>NA</v>
      </c>
      <c r="S61" s="113" t="str">
        <f ca="1">IFERROR(__xludf.DUMMYFUNCTION("""COMPUTED_VALUE"""),"https://gld.legislaturacba.gob.ar/Publics/Actas.aspx?id=fkfnXSWbB_U=;https://gld.legislaturacba.gob.ar/Publics/Actas.aspx?id=8lFGCx5eMV4=")</f>
        <v>https://gld.legislaturacba.gob.ar/Publics/Actas.aspx?id=fkfnXSWbB_U=;https://gld.legislaturacba.gob.ar/Publics/Actas.aspx?id=8lFGCx5eMV4=</v>
      </c>
      <c r="T61" s="99">
        <f t="shared" ca="1" si="0"/>
        <v>0</v>
      </c>
    </row>
    <row r="62" spans="1:20">
      <c r="A62" s="20">
        <f ca="1">IFERROR(__xludf.DUMMYFUNCTION("""COMPUTED_VALUE"""),61)</f>
        <v>61</v>
      </c>
      <c r="B62" s="20">
        <f ca="1">IFERROR(__xludf.DUMMYFUNCTION("""COMPUTED_VALUE"""),2020)</f>
        <v>2020</v>
      </c>
      <c r="C62" s="20" t="str">
        <f ca="1">IFERROR(__xludf.DUMMYFUNCTION("""COMPUTED_VALUE"""),"VIRTUAL")</f>
        <v>VIRTUAL</v>
      </c>
      <c r="D62" s="96">
        <f ca="1">IFERROR(__xludf.DUMMYFUNCTION("""COMPUTED_VALUE"""),43998)</f>
        <v>43998</v>
      </c>
      <c r="E62" s="20" t="str">
        <f ca="1">IFERROR(__xludf.DUMMYFUNCTION("""COMPUTED_VALUE"""),"NO")</f>
        <v>NO</v>
      </c>
      <c r="F62" s="20" t="str">
        <f ca="1">IFERROR(__xludf.DUMMYFUNCTION("""COMPUTED_VALUE"""),"LEGISLACIÓN DEL TRABAJO, PREVISIÓN Y SEGURIDAD SOCIAL")</f>
        <v>LEGISLACIÓN DEL TRABAJO, PREVISIÓN Y SEGURIDAD SOCIAL</v>
      </c>
      <c r="G62" s="20">
        <f ca="1">IFERROR(__xludf.DUMMYFUNCTION("""COMPUTED_VALUE"""),1)</f>
        <v>1</v>
      </c>
      <c r="H62" s="20">
        <f ca="1">IFERROR(__xludf.DUMMYFUNCTION("""COMPUTED_VALUE"""),1)</f>
        <v>1</v>
      </c>
      <c r="I62" s="20">
        <f ca="1">IFERROR(__xludf.DUMMYFUNCTION("""COMPUTED_VALUE"""),1)</f>
        <v>1</v>
      </c>
      <c r="J62" s="20" t="str">
        <f ca="1">IFERROR(__xludf.DUMMYFUNCTION("""COMPUTED_VALUE"""),"Resolución")</f>
        <v>Resolución</v>
      </c>
      <c r="K62" s="20">
        <f ca="1">IFERROR(__xludf.DUMMYFUNCTION("""COMPUTED_VALUE"""),30541)</f>
        <v>30541</v>
      </c>
      <c r="L62" s="20" t="str">
        <f ca="1">IFERROR(__xludf.DUMMYFUNCTION("""COMPUTED_VALUE"""),"Poder Legislativo Provincial")</f>
        <v>Poder Legislativo Provincial</v>
      </c>
      <c r="M62" s="20" t="str">
        <f ca="1">IFERROR(__xludf.DUMMYFUNCTION("""COMPUTED_VALUE"""),"Proyecto de Resolución Nº 30541/L/20, iniciado por el Bloque de la UCR, solicitando informe al Poder Ejecutivo (Art. 102 CP), a través del Ministerio de Finanzas y la Caja de Jubilaciones, Pensiones y Retiros de Córdoba.")</f>
        <v>Proyecto de Resolución Nº 30541/L/20, iniciado por el Bloque de la UCR, solicitando informe al Poder Ejecutivo (Art. 102 CP), a través del Ministerio de Finanzas y la Caja de Jubilaciones, Pensiones y Retiros de Córdoba.</v>
      </c>
      <c r="N62" s="20" t="str">
        <f ca="1">IFERROR(__xludf.DUMMYFUNCTION("""COMPUTED_VALUE"""),"SI")</f>
        <v>SI</v>
      </c>
      <c r="O62" s="20" t="str">
        <f ca="1">IFERROR(__xludf.DUMMYFUNCTION("""COMPUTED_VALUE"""),"NO")</f>
        <v>NO</v>
      </c>
      <c r="P62" s="20">
        <f ca="1">IFERROR(__xludf.DUMMYFUNCTION("""COMPUTED_VALUE"""),0)</f>
        <v>0</v>
      </c>
      <c r="Q62" s="113" t="str">
        <f ca="1">IFERROR(__xludf.DUMMYFUNCTION("""COMPUTED_VALUE"""),"https://gld.legislaturacba.gob.ar/_cdd/api/Documento/descargar?guid=4eaee552-ae5d-4e81-9110-1dd0f06e51a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v>
      </c>
      <c r="R62" s="113" t="str">
        <f ca="1">IFERROR(__xludf.DUMMYFUNCTION("""COMPUTED_VALUE"""),"https://www.youtube.com/watch?v=Sy-Ceyf86pc")</f>
        <v>https://www.youtube.com/watch?v=Sy-Ceyf86pc</v>
      </c>
      <c r="S62" s="113" t="str">
        <f ca="1">IFERROR(__xludf.DUMMYFUNCTION("""COMPUTED_VALUE"""),"https://gld.legislaturacba.gob.ar/Publics/Actas.aspx?id=BU5agbT93g0=")</f>
        <v>https://gld.legislaturacba.gob.ar/Publics/Actas.aspx?id=BU5agbT93g0=</v>
      </c>
      <c r="T62" s="99">
        <f t="shared" ca="1" si="0"/>
        <v>0</v>
      </c>
    </row>
    <row r="63" spans="1:20">
      <c r="A63" s="20">
        <f ca="1">IFERROR(__xludf.DUMMYFUNCTION("""COMPUTED_VALUE"""),62)</f>
        <v>62</v>
      </c>
      <c r="B63" s="20">
        <f ca="1">IFERROR(__xludf.DUMMYFUNCTION("""COMPUTED_VALUE"""),2020)</f>
        <v>2020</v>
      </c>
      <c r="C63" s="20" t="str">
        <f ca="1">IFERROR(__xludf.DUMMYFUNCTION("""COMPUTED_VALUE"""),"VIRTUAL")</f>
        <v>VIRTUAL</v>
      </c>
      <c r="D63" s="96">
        <f ca="1">IFERROR(__xludf.DUMMYFUNCTION("""COMPUTED_VALUE"""),43998)</f>
        <v>43998</v>
      </c>
      <c r="E63" s="20" t="str">
        <f ca="1">IFERROR(__xludf.DUMMYFUNCTION("""COMPUTED_VALUE"""),"SI")</f>
        <v>SI</v>
      </c>
      <c r="F63" s="20" t="str">
        <f ca="1">IFERROR(__xludf.DUMMYFUNCTION("""COMPUTED_VALUE"""),"SALUD HUMANA;LEGISLACIÓN GENERAL")</f>
        <v>SALUD HUMANA;LEGISLACIÓN GENERAL</v>
      </c>
      <c r="G63" s="20">
        <f ca="1">IFERROR(__xludf.DUMMYFUNCTION("""COMPUTED_VALUE"""),2)</f>
        <v>2</v>
      </c>
      <c r="H63" s="20">
        <f ca="1">IFERROR(__xludf.DUMMYFUNCTION("""COMPUTED_VALUE"""),1)</f>
        <v>1</v>
      </c>
      <c r="I63" s="20">
        <f ca="1">IFERROR(__xludf.DUMMYFUNCTION("""COMPUTED_VALUE"""),1)</f>
        <v>1</v>
      </c>
      <c r="J63" s="20" t="str">
        <f ca="1">IFERROR(__xludf.DUMMYFUNCTION("""COMPUTED_VALUE"""),"Ley")</f>
        <v>Ley</v>
      </c>
      <c r="K63" s="20">
        <f ca="1">IFERROR(__xludf.DUMMYFUNCTION("""COMPUTED_VALUE"""),30555)</f>
        <v>30555</v>
      </c>
      <c r="L63" s="20" t="str">
        <f ca="1">IFERROR(__xludf.DUMMYFUNCTION("""COMPUTED_VALUE"""),"Poder Ejecutivo Provincial")</f>
        <v>Poder Ejecutivo Provincial</v>
      </c>
      <c r="M63" s="20" t="str">
        <f ca="1">IFERROR(__xludf.DUMMYFUNCTION("""COMPUTED_VALUE"""),"Proyecto de Ley Nº 30555/E/20, adhiriendo a la Ley Nacional Nº 27548, Programa de Protección al Personal de Salud.")</f>
        <v>Proyecto de Ley Nº 30555/E/20, adhiriendo a la Ley Nacional Nº 27548, Programa de Protección al Personal de Salud.</v>
      </c>
      <c r="N63" s="20" t="str">
        <f ca="1">IFERROR(__xludf.DUMMYFUNCTION("""COMPUTED_VALUE"""),"SI")</f>
        <v>SI</v>
      </c>
      <c r="O63" s="20" t="str">
        <f ca="1">IFERROR(__xludf.DUMMYFUNCTION("""COMPUTED_VALUE"""),"SI")</f>
        <v>SI</v>
      </c>
      <c r="P63" s="20">
        <f ca="1">IFERROR(__xludf.DUMMYFUNCTION("""COMPUTED_VALUE"""),7)</f>
        <v>7</v>
      </c>
      <c r="Q63" s="113" t="str">
        <f ca="1">IFERROR(__xludf.DUMMYFUNCTION("""COMPUTED_VALUE"""),"https://gld.legislaturacba.gob.ar/_cdd/api/Documento/descargar?guid=3dac04fd-c8c3-48c2-a399-4d80c15ab19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v>
      </c>
      <c r="R63" s="20" t="str">
        <f ca="1">IFERROR(__xludf.DUMMYFUNCTION("""COMPUTED_VALUE"""),"NA")</f>
        <v>NA</v>
      </c>
      <c r="S63" s="113" t="str">
        <f ca="1">IFERROR(__xludf.DUMMYFUNCTION("""COMPUTED_VALUE"""),"https://gld.legislaturacba.gob.ar/Publics/Actas.aspx?id=oEuuZUfnAtw=;https://gld.legislaturacba.gob.ar/Publics/Actas.aspx?id=4RVXc8Iwp_w=")</f>
        <v>https://gld.legislaturacba.gob.ar/Publics/Actas.aspx?id=oEuuZUfnAtw=;https://gld.legislaturacba.gob.ar/Publics/Actas.aspx?id=4RVXc8Iwp_w=</v>
      </c>
      <c r="T63" s="99">
        <f t="shared" ca="1" si="0"/>
        <v>0</v>
      </c>
    </row>
    <row r="64" spans="1:20">
      <c r="A64" s="20">
        <f ca="1">IFERROR(__xludf.DUMMYFUNCTION("""COMPUTED_VALUE"""),63)</f>
        <v>63</v>
      </c>
      <c r="B64" s="20">
        <f ca="1">IFERROR(__xludf.DUMMYFUNCTION("""COMPUTED_VALUE"""),2020)</f>
        <v>2020</v>
      </c>
      <c r="C64" s="20" t="str">
        <f ca="1">IFERROR(__xludf.DUMMYFUNCTION("""COMPUTED_VALUE"""),"VIRTUAL")</f>
        <v>VIRTUAL</v>
      </c>
      <c r="D64" s="96">
        <f ca="1">IFERROR(__xludf.DUMMYFUNCTION("""COMPUTED_VALUE"""),43999)</f>
        <v>43999</v>
      </c>
      <c r="E64" s="20" t="str">
        <f ca="1">IFERROR(__xludf.DUMMYFUNCTION("""COMPUTED_VALUE"""),"NO")</f>
        <v>NO</v>
      </c>
      <c r="F64" s="20" t="str">
        <f ca="1">IFERROR(__xludf.DUMMYFUNCTION("""COMPUTED_VALUE"""),"AGRICULTURA, GANADERÍA Y RECURSOS RENOVABLES")</f>
        <v>AGRICULTURA, GANADERÍA Y RECURSOS RENOVABLES</v>
      </c>
      <c r="G64" s="20">
        <f ca="1">IFERROR(__xludf.DUMMYFUNCTION("""COMPUTED_VALUE"""),1)</f>
        <v>1</v>
      </c>
      <c r="H64" s="20">
        <f ca="1">IFERROR(__xludf.DUMMYFUNCTION("""COMPUTED_VALUE"""),2)</f>
        <v>2</v>
      </c>
      <c r="I64" s="20">
        <f ca="1">IFERROR(__xludf.DUMMYFUNCTION("""COMPUTED_VALUE"""),1)</f>
        <v>1</v>
      </c>
      <c r="J64" s="20" t="str">
        <f ca="1">IFERROR(__xludf.DUMMYFUNCTION("""COMPUTED_VALUE"""),"Declaración")</f>
        <v>Declaración</v>
      </c>
      <c r="K64" s="20">
        <f ca="1">IFERROR(__xludf.DUMMYFUNCTION("""COMPUTED_VALUE"""),30546)</f>
        <v>30546</v>
      </c>
      <c r="L64" s="20" t="str">
        <f ca="1">IFERROR(__xludf.DUMMYFUNCTION("""COMPUTED_VALUE"""),"Poder Legislativo Provincial")</f>
        <v>Poder Legislativo Provincial</v>
      </c>
      <c r="M64" s="20" t="str">
        <f ca="1">IFERROR(__xludf.DUMMYFUNCTION("""COMPUTED_VALUE"""),"Proyecto de Declaración Nº 30546/L/20, iniciado por la legisladora Irazuzta, expresando su repudio y preocupación ante el anuncio del Gobierno Nacional de la intervención de la empresa Vicentín SAIC.")</f>
        <v>Proyecto de Declaración Nº 30546/L/20, iniciado por la legisladora Irazuzta, expresando su repudio y preocupación ante el anuncio del Gobierno Nacional de la intervención de la empresa Vicentín SAIC.</v>
      </c>
      <c r="N64" s="20" t="str">
        <f ca="1">IFERROR(__xludf.DUMMYFUNCTION("""COMPUTED_VALUE"""),"NO")</f>
        <v>NO</v>
      </c>
      <c r="O64" s="20" t="str">
        <f ca="1">IFERROR(__xludf.DUMMYFUNCTION("""COMPUTED_VALUE"""),"NO")</f>
        <v>NO</v>
      </c>
      <c r="P64" s="20">
        <f ca="1">IFERROR(__xludf.DUMMYFUNCTION("""COMPUTED_VALUE"""),0)</f>
        <v>0</v>
      </c>
      <c r="Q64" s="113" t="str">
        <f ca="1">IFERROR(__xludf.DUMMYFUNCTION("""COMPUTED_VALUE"""),"https://gld.legislaturacba.gob.ar/_cdd/api/Documento/descargar?guid=d405d3e3-e5a8-4d31-abeb-61092f2910e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v>
      </c>
      <c r="R64" s="20" t="str">
        <f ca="1">IFERROR(__xludf.DUMMYFUNCTION("""COMPUTED_VALUE"""),"NA")</f>
        <v>NA</v>
      </c>
      <c r="S64" s="113" t="str">
        <f ca="1">IFERROR(__xludf.DUMMYFUNCTION("""COMPUTED_VALUE"""),"https://gld.legislaturacba.gob.ar/Publics/Actas.aspx?id=g4UxmTFTTPk=")</f>
        <v>https://gld.legislaturacba.gob.ar/Publics/Actas.aspx?id=g4UxmTFTTPk=</v>
      </c>
      <c r="T64" s="99">
        <f t="shared" ca="1" si="0"/>
        <v>0</v>
      </c>
    </row>
    <row r="65" spans="1:20">
      <c r="A65" s="20">
        <f ca="1">IFERROR(__xludf.DUMMYFUNCTION("""COMPUTED_VALUE"""),64)</f>
        <v>64</v>
      </c>
      <c r="B65" s="20">
        <f ca="1">IFERROR(__xludf.DUMMYFUNCTION("""COMPUTED_VALUE"""),2020)</f>
        <v>2020</v>
      </c>
      <c r="C65" s="20" t="str">
        <f ca="1">IFERROR(__xludf.DUMMYFUNCTION("""COMPUTED_VALUE"""),"VIRTUAL")</f>
        <v>VIRTUAL</v>
      </c>
      <c r="D65" s="96">
        <f ca="1">IFERROR(__xludf.DUMMYFUNCTION("""COMPUTED_VALUE"""),44000)</f>
        <v>44000</v>
      </c>
      <c r="E65" s="20" t="str">
        <f ca="1">IFERROR(__xludf.DUMMYFUNCTION("""COMPUTED_VALUE"""),"NO")</f>
        <v>NO</v>
      </c>
      <c r="F65" s="20" t="str">
        <f ca="1">IFERROR(__xludf.DUMMYFUNCTION("""COMPUTED_VALUE"""),"ASUNTOS INSTITUCIONALES, MUNICIPALES Y COMUNALES")</f>
        <v>ASUNTOS INSTITUCIONALES, MUNICIPALES Y COMUNALES</v>
      </c>
      <c r="G65" s="20">
        <f ca="1">IFERROR(__xludf.DUMMYFUNCTION("""COMPUTED_VALUE"""),1)</f>
        <v>1</v>
      </c>
      <c r="H65" s="20">
        <f ca="1">IFERROR(__xludf.DUMMYFUNCTION("""COMPUTED_VALUE"""),1)</f>
        <v>1</v>
      </c>
      <c r="I65" s="20">
        <f ca="1">IFERROR(__xludf.DUMMYFUNCTION("""COMPUTED_VALUE"""),1)</f>
        <v>1</v>
      </c>
      <c r="J65" s="20" t="str">
        <f ca="1">IFERROR(__xludf.DUMMYFUNCTION("""COMPUTED_VALUE"""),"NC")</f>
        <v>NC</v>
      </c>
      <c r="K65" s="20" t="str">
        <f ca="1">IFERROR(__xludf.DUMMYFUNCTION("""COMPUTED_VALUE"""),"NA")</f>
        <v>NA</v>
      </c>
      <c r="L65" s="20" t="str">
        <f ca="1">IFERROR(__xludf.DUMMYFUNCTION("""COMPUTED_VALUE"""),"NA")</f>
        <v>NA</v>
      </c>
      <c r="M65" s="20" t="str">
        <f ca="1">IFERROR(__xludf.DUMMYFUNCTION("""COMPUTED_VALUE"""),"Radios municipales y comunales. Detalle de municipios y comunas que tienen sus radios aprobados y aquellos que aún no lo tienen.")</f>
        <v>Radios municipales y comunales. Detalle de municipios y comunas que tienen sus radios aprobados y aquellos que aún no lo tienen.</v>
      </c>
      <c r="N65" s="20" t="str">
        <f ca="1">IFERROR(__xludf.DUMMYFUNCTION("""COMPUTED_VALUE"""),"NA")</f>
        <v>NA</v>
      </c>
      <c r="O65" s="20" t="str">
        <f ca="1">IFERROR(__xludf.DUMMYFUNCTION("""COMPUTED_VALUE"""),"NO")</f>
        <v>NO</v>
      </c>
      <c r="P65" s="20">
        <f ca="1">IFERROR(__xludf.DUMMYFUNCTION("""COMPUTED_VALUE"""),0)</f>
        <v>0</v>
      </c>
      <c r="Q65" s="113" t="str">
        <f ca="1">IFERROR(__xludf.DUMMYFUNCTION("""COMPUTED_VALUE"""),"https://gld.legislaturacba.gob.ar/_cdd/api/Documento/descargar?guid=63bb2f64-e4fd-4f32-9cac-d1351596f972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v>
      </c>
      <c r="R65" s="113" t="str">
        <f ca="1">IFERROR(__xludf.DUMMYFUNCTION("""COMPUTED_VALUE"""),"https://www.youtube.com/watch?v=ZOlUUKojTGA")</f>
        <v>https://www.youtube.com/watch?v=ZOlUUKojTGA</v>
      </c>
      <c r="S65" s="113" t="str">
        <f ca="1">IFERROR(__xludf.DUMMYFUNCTION("""COMPUTED_VALUE"""),"https://gld.legislaturacba.gob.ar/Publics/Actas.aspx?id=kKiuMZyZFnY=")</f>
        <v>https://gld.legislaturacba.gob.ar/Publics/Actas.aspx?id=kKiuMZyZFnY=</v>
      </c>
      <c r="T65" s="99">
        <f t="shared" ca="1" si="0"/>
        <v>0</v>
      </c>
    </row>
    <row r="66" spans="1:20">
      <c r="A66" s="20">
        <f ca="1">IFERROR(__xludf.DUMMYFUNCTION("""COMPUTED_VALUE"""),65)</f>
        <v>65</v>
      </c>
      <c r="B66" s="20">
        <f ca="1">IFERROR(__xludf.DUMMYFUNCTION("""COMPUTED_VALUE"""),2020)</f>
        <v>2020</v>
      </c>
      <c r="C66" s="20" t="str">
        <f ca="1">IFERROR(__xludf.DUMMYFUNCTION("""COMPUTED_VALUE"""),"VIRTUAL")</f>
        <v>VIRTUAL</v>
      </c>
      <c r="D66" s="96">
        <f ca="1">IFERROR(__xludf.DUMMYFUNCTION("""COMPUTED_VALUE"""),44000)</f>
        <v>44000</v>
      </c>
      <c r="E66" s="20" t="str">
        <f ca="1">IFERROR(__xludf.DUMMYFUNCTION("""COMPUTED_VALUE"""),"NO")</f>
        <v>NO</v>
      </c>
      <c r="F66" s="20" t="str">
        <f ca="1">IFERROR(__xludf.DUMMYFUNCTION("""COMPUTED_VALUE"""),"ASUNTOS CONSTITUCIONALES, JUSTICIA Y ACUERDOS")</f>
        <v>ASUNTOS CONSTITUCIONALES, JUSTICIA Y ACUERDOS</v>
      </c>
      <c r="G66" s="20">
        <f ca="1">IFERROR(__xludf.DUMMYFUNCTION("""COMPUTED_VALUE"""),1)</f>
        <v>1</v>
      </c>
      <c r="H66" s="20">
        <f ca="1">IFERROR(__xludf.DUMMYFUNCTION("""COMPUTED_VALUE"""),2)</f>
        <v>2</v>
      </c>
      <c r="I66" s="20">
        <f ca="1">IFERROR(__xludf.DUMMYFUNCTION("""COMPUTED_VALUE"""),1)</f>
        <v>1</v>
      </c>
      <c r="J66" s="20" t="str">
        <f ca="1">IFERROR(__xludf.DUMMYFUNCTION("""COMPUTED_VALUE"""),"Pliego")</f>
        <v>Pliego</v>
      </c>
      <c r="K66" s="20">
        <f ca="1">IFERROR(__xludf.DUMMYFUNCTION("""COMPUTED_VALUE"""),30427)</f>
        <v>30427</v>
      </c>
      <c r="L66" s="20" t="str">
        <f ca="1">IFERROR(__xludf.DUMMYFUNCTION("""COMPUTED_VALUE"""),"Poder Ejecutivo Provincial")</f>
        <v>Poder Ejecutivo Provincial</v>
      </c>
      <c r="M66" s="20" t="str">
        <f ca="1">IFERROR(__xludf.DUMMYFUNCTION("""COMPUTED_VALUE"""),"Pliego Nº 30427/P/20, remitido por el Poder Ejecutivo, solicitando acuerdo para designar al Ab. Esteban José Diaz Reyna, como Vocal de Cámara en lo Criminal y Correccional en la Cámara en lo Criminal y Correccional de Sexta Nominación con sede en la ciuda"&amp;"d de Córdoba.")</f>
        <v>Pliego Nº 30427/P/20, remitido por el Poder Ejecutivo, solicitando acuerdo para designar al Ab. Esteban José Diaz Reyna, como Vocal de Cámara en lo Criminal y Correccional en la Cámara en lo Criminal y Correccional de Sexta Nominación con sede en la ciudad de Córdoba.</v>
      </c>
      <c r="N66" s="20" t="str">
        <f ca="1">IFERROR(__xludf.DUMMYFUNCTION("""COMPUTED_VALUE"""),"SI")</f>
        <v>SI</v>
      </c>
      <c r="O66" s="20" t="str">
        <f ca="1">IFERROR(__xludf.DUMMYFUNCTION("""COMPUTED_VALUE"""),"NO")</f>
        <v>NO</v>
      </c>
      <c r="P66" s="20">
        <f ca="1">IFERROR(__xludf.DUMMYFUNCTION("""COMPUTED_VALUE"""),0)</f>
        <v>0</v>
      </c>
      <c r="Q66" s="113" t="str">
        <f ca="1">IFERROR(__xludf.DUMMYFUNCTION("""COMPUTED_VALUE"""),"https://gld.legislaturacba.gob.ar/_cdd/api/Documento/descargar?guid=0a8c7f65-0522-450c-9f62-d0b8d15c9ea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v>
      </c>
      <c r="R66" s="20" t="str">
        <f ca="1">IFERROR(__xludf.DUMMYFUNCTION("""COMPUTED_VALUE"""),"NA")</f>
        <v>NA</v>
      </c>
      <c r="S66" s="113" t="str">
        <f ca="1">IFERROR(__xludf.DUMMYFUNCTION("""COMPUTED_VALUE"""),"https://gld.legislaturacba.gob.ar/Publics/Actas.aspx?id=EwKsGWind_M=")</f>
        <v>https://gld.legislaturacba.gob.ar/Publics/Actas.aspx?id=EwKsGWind_M=</v>
      </c>
      <c r="T66" s="99">
        <f t="shared" ca="1" si="0"/>
        <v>0</v>
      </c>
    </row>
    <row r="67" spans="1:20">
      <c r="A67" s="20">
        <f ca="1">IFERROR(__xludf.DUMMYFUNCTION("""COMPUTED_VALUE"""),66)</f>
        <v>66</v>
      </c>
      <c r="B67" s="20">
        <f ca="1">IFERROR(__xludf.DUMMYFUNCTION("""COMPUTED_VALUE"""),2020)</f>
        <v>2020</v>
      </c>
      <c r="C67" s="20" t="str">
        <f ca="1">IFERROR(__xludf.DUMMYFUNCTION("""COMPUTED_VALUE"""),"VIRTUAL")</f>
        <v>VIRTUAL</v>
      </c>
      <c r="D67" s="96">
        <f ca="1">IFERROR(__xludf.DUMMYFUNCTION("""COMPUTED_VALUE"""),44005)</f>
        <v>44005</v>
      </c>
      <c r="E67" s="20" t="str">
        <f ca="1">IFERROR(__xludf.DUMMYFUNCTION("""COMPUTED_VALUE"""),"NO")</f>
        <v>NO</v>
      </c>
      <c r="F67" s="20" t="str">
        <f ca="1">IFERROR(__xludf.DUMMYFUNCTION("""COMPUTED_VALUE"""),"PROMOCIÓN Y DESARROLLO DE ECONOMÍAS REGIONALES Y PYMES")</f>
        <v>PROMOCIÓN Y DESARROLLO DE ECONOMÍAS REGIONALES Y PYMES</v>
      </c>
      <c r="G67" s="20">
        <f ca="1">IFERROR(__xludf.DUMMYFUNCTION("""COMPUTED_VALUE"""),1)</f>
        <v>1</v>
      </c>
      <c r="H67" s="20">
        <f ca="1">IFERROR(__xludf.DUMMYFUNCTION("""COMPUTED_VALUE"""),1)</f>
        <v>1</v>
      </c>
      <c r="I67" s="20">
        <f ca="1">IFERROR(__xludf.DUMMYFUNCTION("""COMPUTED_VALUE"""),1)</f>
        <v>1</v>
      </c>
      <c r="J67" s="20" t="str">
        <f ca="1">IFERROR(__xludf.DUMMYFUNCTION("""COMPUTED_VALUE"""),"NC")</f>
        <v>NC</v>
      </c>
      <c r="K67" s="20" t="str">
        <f ca="1">IFERROR(__xludf.DUMMYFUNCTION("""COMPUTED_VALUE"""),"NA")</f>
        <v>NA</v>
      </c>
      <c r="L67" s="20" t="str">
        <f ca="1">IFERROR(__xludf.DUMMYFUNCTION("""COMPUTED_VALUE"""),"NA")</f>
        <v>NA</v>
      </c>
      <c r="M67" s="20" t="str">
        <f ca="1">IFERROR(__xludf.DUMMYFUNCTION("""COMPUTED_VALUE"""),"Cronograma de actividades de la Comisión.")</f>
        <v>Cronograma de actividades de la Comisión.</v>
      </c>
      <c r="N67" s="20" t="str">
        <f ca="1">IFERROR(__xludf.DUMMYFUNCTION("""COMPUTED_VALUE"""),"NA")</f>
        <v>NA</v>
      </c>
      <c r="O67" s="20" t="str">
        <f ca="1">IFERROR(__xludf.DUMMYFUNCTION("""COMPUTED_VALUE"""),"NO")</f>
        <v>NO</v>
      </c>
      <c r="P67" s="20">
        <f ca="1">IFERROR(__xludf.DUMMYFUNCTION("""COMPUTED_VALUE"""),0)</f>
        <v>0</v>
      </c>
      <c r="Q67" s="113" t="str">
        <f ca="1">IFERROR(__xludf.DUMMYFUNCTION("""COMPUTED_VALUE"""),"https://gld.legislaturacba.gob.ar/_cdd/api/Documento/descargar?guid=cf16829e-1471-42e3-bd2a-82d89a5655c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v>
      </c>
      <c r="R67" s="20" t="str">
        <f ca="1">IFERROR(__xludf.DUMMYFUNCTION("""COMPUTED_VALUE"""),"NA")</f>
        <v>NA</v>
      </c>
      <c r="S67" s="113" t="str">
        <f ca="1">IFERROR(__xludf.DUMMYFUNCTION("""COMPUTED_VALUE"""),"https://gld.legislaturacba.gob.ar/Publics/Actas.aspx?id=0a-VWLGzTlE=")</f>
        <v>https://gld.legislaturacba.gob.ar/Publics/Actas.aspx?id=0a-VWLGzTlE=</v>
      </c>
      <c r="T67" s="99">
        <f t="shared" ca="1" si="0"/>
        <v>0</v>
      </c>
    </row>
    <row r="68" spans="1:20">
      <c r="A68" s="20">
        <f ca="1">IFERROR(__xludf.DUMMYFUNCTION("""COMPUTED_VALUE"""),67)</f>
        <v>67</v>
      </c>
      <c r="B68" s="20">
        <f ca="1">IFERROR(__xludf.DUMMYFUNCTION("""COMPUTED_VALUE"""),2020)</f>
        <v>2020</v>
      </c>
      <c r="C68" s="20" t="str">
        <f ca="1">IFERROR(__xludf.DUMMYFUNCTION("""COMPUTED_VALUE"""),"VIRTUAL")</f>
        <v>VIRTUAL</v>
      </c>
      <c r="D68" s="96">
        <f ca="1">IFERROR(__xludf.DUMMYFUNCTION("""COMPUTED_VALUE"""),44005)</f>
        <v>44005</v>
      </c>
      <c r="E68" s="20" t="str">
        <f ca="1">IFERROR(__xludf.DUMMYFUNCTION("""COMPUTED_VALUE"""),"SI")</f>
        <v>SI</v>
      </c>
      <c r="F68" s="20" t="str">
        <f ca="1">IFERROR(__xludf.DUMMYFUNCTION("""COMPUTED_VALUE"""),"ECONOMÍA, PRESUPUESTO, GESTIÓN PÚBLICA E INNOVACIÓN;SERVICIOS PÚBLICOS")</f>
        <v>ECONOMÍA, PRESUPUESTO, GESTIÓN PÚBLICA E INNOVACIÓN;SERVICIOS PÚBLICOS</v>
      </c>
      <c r="G68" s="20">
        <f ca="1">IFERROR(__xludf.DUMMYFUNCTION("""COMPUTED_VALUE"""),2)</f>
        <v>2</v>
      </c>
      <c r="H68" s="20">
        <f ca="1">IFERROR(__xludf.DUMMYFUNCTION("""COMPUTED_VALUE"""),1)</f>
        <v>1</v>
      </c>
      <c r="I68" s="20">
        <f ca="1">IFERROR(__xludf.DUMMYFUNCTION("""COMPUTED_VALUE"""),1)</f>
        <v>1</v>
      </c>
      <c r="J68" s="20" t="str">
        <f ca="1">IFERROR(__xludf.DUMMYFUNCTION("""COMPUTED_VALUE"""),"Ley")</f>
        <v>Ley</v>
      </c>
      <c r="K68" s="20">
        <f ca="1">IFERROR(__xludf.DUMMYFUNCTION("""COMPUTED_VALUE"""),21237)</f>
        <v>21237</v>
      </c>
      <c r="L68" s="20" t="str">
        <f ca="1">IFERROR(__xludf.DUMMYFUNCTION("""COMPUTED_VALUE"""),"Poder Legislativo Provincial")</f>
        <v>Poder Legislativo Provincial</v>
      </c>
      <c r="M68" s="20" t="str">
        <f ca="1">IFERROR(__xludf.DUMMYFUNCTION("""COMPUTED_VALUE"""),"Proyecto de Ley Nº 21237/L/17, iniciado por el Legislador González, estableciendo que las empresas prestatarias de servicios públicos deben emitir boletas y facturas en soporte digital para ser remitidas a los usuarios por correo electrónico, y en el caso"&amp;" de los no videntes tendrán que hacerlo en sistema Braile.")</f>
        <v>Proyecto de Ley Nº 21237/L/17, iniciado por el Legislador González, estableciendo que las empresas prestatarias de servicios públicos deben emitir boletas y facturas en soporte digital para ser remitidas a los usuarios por correo electrónico, y en el caso de los no videntes tendrán que hacerlo en sistema Braile.</v>
      </c>
      <c r="N68" s="20" t="str">
        <f ca="1">IFERROR(__xludf.DUMMYFUNCTION("""COMPUTED_VALUE"""),"NO")</f>
        <v>NO</v>
      </c>
      <c r="O68" s="20" t="str">
        <f ca="1">IFERROR(__xludf.DUMMYFUNCTION("""COMPUTED_VALUE"""),"SI")</f>
        <v>SI</v>
      </c>
      <c r="P68" s="20">
        <f ca="1">IFERROR(__xludf.DUMMYFUNCTION("""COMPUTED_VALUE"""),1)</f>
        <v>1</v>
      </c>
      <c r="Q68" s="20" t="str">
        <f ca="1">IFERROR(__xludf.DUMMYFUNCTION("""COMPUTED_VALUE"""),"NA")</f>
        <v>NA</v>
      </c>
      <c r="R68" s="20" t="str">
        <f ca="1">IFERROR(__xludf.DUMMYFUNCTION("""COMPUTED_VALUE"""),"NA")</f>
        <v>NA</v>
      </c>
      <c r="S68" s="113" t="str">
        <f ca="1">IFERROR(__xludf.DUMMYFUNCTION("""COMPUTED_VALUE"""),"https://gld.legislaturacba.gob.ar/Publics/Actas.aspx?id=Hleew-X62sI=;https://gld.legislaturacba.gob.ar/Publics/Actas.aspx?id=ISpnyBqW7dU=")</f>
        <v>https://gld.legislaturacba.gob.ar/Publics/Actas.aspx?id=Hleew-X62sI=;https://gld.legislaturacba.gob.ar/Publics/Actas.aspx?id=ISpnyBqW7dU=</v>
      </c>
      <c r="T68" s="99">
        <f t="shared" ca="1" si="0"/>
        <v>0</v>
      </c>
    </row>
    <row r="69" spans="1:20">
      <c r="A69" s="20">
        <f ca="1">IFERROR(__xludf.DUMMYFUNCTION("""COMPUTED_VALUE"""),68)</f>
        <v>68</v>
      </c>
      <c r="B69" s="20">
        <f ca="1">IFERROR(__xludf.DUMMYFUNCTION("""COMPUTED_VALUE"""),2020)</f>
        <v>2020</v>
      </c>
      <c r="C69" s="20" t="str">
        <f ca="1">IFERROR(__xludf.DUMMYFUNCTION("""COMPUTED_VALUE"""),"VIRTUAL")</f>
        <v>VIRTUAL</v>
      </c>
      <c r="D69" s="96">
        <f ca="1">IFERROR(__xludf.DUMMYFUNCTION("""COMPUTED_VALUE"""),44006)</f>
        <v>44006</v>
      </c>
      <c r="E69" s="20" t="str">
        <f ca="1">IFERROR(__xludf.DUMMYFUNCTION("""COMPUTED_VALUE"""),"NO")</f>
        <v>NO</v>
      </c>
      <c r="F69" s="20" t="str">
        <f ca="1">IFERROR(__xludf.DUMMYFUNCTION("""COMPUTED_VALUE"""),"EQUIDAD Y LUCHA CONTRA LA VIOLENCIA DE GÉNERO")</f>
        <v>EQUIDAD Y LUCHA CONTRA LA VIOLENCIA DE GÉNERO</v>
      </c>
      <c r="G69" s="20">
        <f ca="1">IFERROR(__xludf.DUMMYFUNCTION("""COMPUTED_VALUE"""),1)</f>
        <v>1</v>
      </c>
      <c r="H69" s="20">
        <f ca="1">IFERROR(__xludf.DUMMYFUNCTION("""COMPUTED_VALUE"""),1)</f>
        <v>1</v>
      </c>
      <c r="I69" s="20">
        <f ca="1">IFERROR(__xludf.DUMMYFUNCTION("""COMPUTED_VALUE"""),1)</f>
        <v>1</v>
      </c>
      <c r="J69" s="20" t="str">
        <f ca="1">IFERROR(__xludf.DUMMYFUNCTION("""COMPUTED_VALUE"""),"NC")</f>
        <v>NC</v>
      </c>
      <c r="K69" s="20" t="str">
        <f ca="1">IFERROR(__xludf.DUMMYFUNCTION("""COMPUTED_VALUE"""),"NA")</f>
        <v>NA</v>
      </c>
      <c r="L69" s="20" t="str">
        <f ca="1">IFERROR(__xludf.DUMMYFUNCTION("""COMPUTED_VALUE"""),"NA")</f>
        <v>NA</v>
      </c>
      <c r="M69" s="20" t="str">
        <f ca="1">IFERROR(__xludf.DUMMYFUNCTION("""COMPUTED_VALUE"""),"Funcionamiento del Centro Integral de Varones en situación de Violencia.")</f>
        <v>Funcionamiento del Centro Integral de Varones en situación de Violencia.</v>
      </c>
      <c r="N69" s="20" t="str">
        <f ca="1">IFERROR(__xludf.DUMMYFUNCTION("""COMPUTED_VALUE"""),"NA")</f>
        <v>NA</v>
      </c>
      <c r="O69" s="20" t="str">
        <f ca="1">IFERROR(__xludf.DUMMYFUNCTION("""COMPUTED_VALUE"""),"SI")</f>
        <v>SI</v>
      </c>
      <c r="P69" s="20">
        <f ca="1">IFERROR(__xludf.DUMMYFUNCTION("""COMPUTED_VALUE"""),1)</f>
        <v>1</v>
      </c>
      <c r="Q69" s="113" t="str">
        <f ca="1">IFERROR(__xludf.DUMMYFUNCTION("""COMPUTED_VALUE"""),"https://gld.legislaturacba.gob.ar/_cdd/api/Documento/descargar?guid=68698ae6-aeb4-4230-baf4-fda788d5c2d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v>
      </c>
      <c r="R69" s="20" t="str">
        <f ca="1">IFERROR(__xludf.DUMMYFUNCTION("""COMPUTED_VALUE"""),"NA")</f>
        <v>NA</v>
      </c>
      <c r="S69" s="113" t="str">
        <f ca="1">IFERROR(__xludf.DUMMYFUNCTION("""COMPUTED_VALUE"""),"https://gld.legislaturacba.gob.ar/Publics/Actas.aspx?id=7MfUxNhD-8g=")</f>
        <v>https://gld.legislaturacba.gob.ar/Publics/Actas.aspx?id=7MfUxNhD-8g=</v>
      </c>
      <c r="T69" s="99">
        <f t="shared" ca="1" si="0"/>
        <v>0</v>
      </c>
    </row>
    <row r="70" spans="1:20">
      <c r="A70" s="20">
        <f ca="1">IFERROR(__xludf.DUMMYFUNCTION("""COMPUTED_VALUE"""),69)</f>
        <v>69</v>
      </c>
      <c r="B70" s="20">
        <f ca="1">IFERROR(__xludf.DUMMYFUNCTION("""COMPUTED_VALUE"""),2020)</f>
        <v>2020</v>
      </c>
      <c r="C70" s="20" t="str">
        <f ca="1">IFERROR(__xludf.DUMMYFUNCTION("""COMPUTED_VALUE"""),"VIRTUAL")</f>
        <v>VIRTUAL</v>
      </c>
      <c r="D70" s="96">
        <f ca="1">IFERROR(__xludf.DUMMYFUNCTION("""COMPUTED_VALUE"""),44007)</f>
        <v>44007</v>
      </c>
      <c r="E70" s="20" t="str">
        <f ca="1">IFERROR(__xludf.DUMMYFUNCTION("""COMPUTED_VALUE"""),"SI")</f>
        <v>SI</v>
      </c>
      <c r="F70" s="20" t="str">
        <f ca="1">IFERROR(__xludf.DUMMYFUNCTION("""COMPUTED_VALUE"""),"ASUNTOS CONSTITUCIONALES, JUSTICIA Y ACUERDOS;LEGISLACIÓN GENERAL;DERECHOS HUMANOS Y DESARROLLO SOCIAL")</f>
        <v>ASUNTOS CONSTITUCIONALES, JUSTICIA Y ACUERDOS;LEGISLACIÓN GENERAL;DERECHOS HUMANOS Y DESARROLLO SOCIAL</v>
      </c>
      <c r="G70" s="20">
        <f ca="1">IFERROR(__xludf.DUMMYFUNCTION("""COMPUTED_VALUE"""),3)</f>
        <v>3</v>
      </c>
      <c r="H70" s="20">
        <f ca="1">IFERROR(__xludf.DUMMYFUNCTION("""COMPUTED_VALUE"""),4)</f>
        <v>4</v>
      </c>
      <c r="I70" s="20">
        <f ca="1">IFERROR(__xludf.DUMMYFUNCTION("""COMPUTED_VALUE"""),1)</f>
        <v>1</v>
      </c>
      <c r="J70" s="20" t="str">
        <f ca="1">IFERROR(__xludf.DUMMYFUNCTION("""COMPUTED_VALUE"""),"Resolución")</f>
        <v>Resolución</v>
      </c>
      <c r="K70" s="20">
        <f ca="1">IFERROR(__xludf.DUMMYFUNCTION("""COMPUTED_VALUE"""),30104)</f>
        <v>30104</v>
      </c>
      <c r="L70" s="20" t="str">
        <f ca="1">IFERROR(__xludf.DUMMYFUNCTION("""COMPUTED_VALUE"""),"Poder Legislativo Provincial")</f>
        <v>Poder Legislativo Provincial</v>
      </c>
      <c r="M70" s="20" t="str">
        <f ca="1">IFERROR(__xludf.DUMMYFUNCTION("""COMPUTED_VALUE"""),"Proyecto de Resolución 30104/R/20, iniciado por la Legisladora Díaz García, solicitando al Poder Ejecutivo informe sobre cuestiones referidas a la prisión domiciliaria de la Sra. Flavia Saganias.")</f>
        <v>Proyecto de Resolución 30104/R/20, iniciado por la Legisladora Díaz García, solicitando al Poder Ejecutivo informe sobre cuestiones referidas a la prisión domiciliaria de la Sra. Flavia Saganias.</v>
      </c>
      <c r="N70" s="20" t="str">
        <f ca="1">IFERROR(__xludf.DUMMYFUNCTION("""COMPUTED_VALUE"""),"NO")</f>
        <v>NO</v>
      </c>
      <c r="O70" s="20" t="str">
        <f ca="1">IFERROR(__xludf.DUMMYFUNCTION("""COMPUTED_VALUE"""),"SI")</f>
        <v>SI</v>
      </c>
      <c r="P70" s="20">
        <f ca="1">IFERROR(__xludf.DUMMYFUNCTION("""COMPUTED_VALUE"""),2)</f>
        <v>2</v>
      </c>
      <c r="Q70" s="113" t="str">
        <f ca="1">IFERROR(__xludf.DUMMYFUNCTION("""COMPUTED_VALUE"""),"https://gld.legislaturacba.gob.ar/_cdd/api/Documento/descargar?guid=5ac5ff56-17bb-4faa-936d-95f2bceb15a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v>
      </c>
      <c r="R70" s="113" t="str">
        <f ca="1">IFERROR(__xludf.DUMMYFUNCTION("""COMPUTED_VALUE"""),"https://www.youtube.com/watch?v=nPxpGApgkYs")</f>
        <v>https://www.youtube.com/watch?v=nPxpGApgkYs</v>
      </c>
      <c r="S70" s="113" t="str">
        <f ca="1">IFERROR(__xludf.DUMMYFUNCTION("""COMPUTED_VALUE"""),"https://gld.legislaturacba.gob.ar/Publics/Actas.aspx?id=gvWgld1E_58=;https://gld.legislaturacba.gob.ar/Publics/Actas.aspx?id=0ZRIEIuurWE=;https://gld.legislaturacba.gob.ar/Publics/Actas.aspx?id=IXdwozlhmSI=")</f>
        <v>https://gld.legislaturacba.gob.ar/Publics/Actas.aspx?id=gvWgld1E_58=;https://gld.legislaturacba.gob.ar/Publics/Actas.aspx?id=0ZRIEIuurWE=;https://gld.legislaturacba.gob.ar/Publics/Actas.aspx?id=IXdwozlhmSI=</v>
      </c>
      <c r="T70" s="99">
        <f t="shared" ca="1" si="0"/>
        <v>0</v>
      </c>
    </row>
    <row r="71" spans="1:20">
      <c r="A71" s="20">
        <f ca="1">IFERROR(__xludf.DUMMYFUNCTION("""COMPUTED_VALUE"""),70)</f>
        <v>70</v>
      </c>
      <c r="B71" s="20">
        <f ca="1">IFERROR(__xludf.DUMMYFUNCTION("""COMPUTED_VALUE"""),2020)</f>
        <v>2020</v>
      </c>
      <c r="C71" s="20" t="str">
        <f ca="1">IFERROR(__xludf.DUMMYFUNCTION("""COMPUTED_VALUE"""),"VIRTUAL")</f>
        <v>VIRTUAL</v>
      </c>
      <c r="D71" s="96">
        <f ca="1">IFERROR(__xludf.DUMMYFUNCTION("""COMPUTED_VALUE"""),44007)</f>
        <v>44007</v>
      </c>
      <c r="E71" s="20" t="str">
        <f ca="1">IFERROR(__xludf.DUMMYFUNCTION("""COMPUTED_VALUE"""),"NO")</f>
        <v>NO</v>
      </c>
      <c r="F71" s="20" t="str">
        <f ca="1">IFERROR(__xludf.DUMMYFUNCTION("""COMPUTED_VALUE"""),"ASUNTOS ECOLÓGICOS")</f>
        <v>ASUNTOS ECOLÓGICOS</v>
      </c>
      <c r="G71" s="20">
        <f ca="1">IFERROR(__xludf.DUMMYFUNCTION("""COMPUTED_VALUE"""),1)</f>
        <v>1</v>
      </c>
      <c r="H71" s="20">
        <f ca="1">IFERROR(__xludf.DUMMYFUNCTION("""COMPUTED_VALUE"""),4)</f>
        <v>4</v>
      </c>
      <c r="I71" s="20">
        <f ca="1">IFERROR(__xludf.DUMMYFUNCTION("""COMPUTED_VALUE"""),1)</f>
        <v>1</v>
      </c>
      <c r="J71" s="20" t="str">
        <f ca="1">IFERROR(__xludf.DUMMYFUNCTION("""COMPUTED_VALUE"""),"Resolución")</f>
        <v>Resolución</v>
      </c>
      <c r="K71" s="20">
        <f ca="1">IFERROR(__xludf.DUMMYFUNCTION("""COMPUTED_VALUE"""),29875)</f>
        <v>29875</v>
      </c>
      <c r="L71" s="20" t="str">
        <f ca="1">IFERROR(__xludf.DUMMYFUNCTION("""COMPUTED_VALUE"""),"Poder Legislativo Provincial")</f>
        <v>Poder Legislativo Provincial</v>
      </c>
      <c r="M71" s="20" t="str">
        <f ca="1">IFERROR(__xludf.DUMMYFUNCTION("""COMPUTED_VALUE"""),"Proyecto de Resolución 29875/R/20, iniciado por el Leg. Arduh, solicitando al Poder Ejecutivo informe sobre el impacto ambiental generado por el escape de ácido nítrico de la Petroquímica Río Tercero al cauce del río, acciones realizadas, controles y polí"&amp;"ticas de prevención.")</f>
        <v>Proyecto de Resolución 29875/R/20, iniciado por el Leg. Arduh, solicitando al Poder Ejecutivo informe sobre el impacto ambiental generado por el escape de ácido nítrico de la Petroquímica Río Tercero al cauce del río, acciones realizadas, controles y políticas de prevención.</v>
      </c>
      <c r="N71" s="20" t="str">
        <f ca="1">IFERROR(__xludf.DUMMYFUNCTION("""COMPUTED_VALUE"""),"NO")</f>
        <v>NO</v>
      </c>
      <c r="O71" s="20" t="str">
        <f ca="1">IFERROR(__xludf.DUMMYFUNCTION("""COMPUTED_VALUE"""),"SI")</f>
        <v>SI</v>
      </c>
      <c r="P71" s="20">
        <f ca="1">IFERROR(__xludf.DUMMYFUNCTION("""COMPUTED_VALUE"""),2)</f>
        <v>2</v>
      </c>
      <c r="Q71" s="113" t="str">
        <f ca="1">IFERROR(__xludf.DUMMYFUNCTION("""COMPUTED_VALUE"""),"https://gld.legislaturacba.gob.ar/_cdd/api/Documento/descargar?guid=19c5bc89-4f34-4f7e-ad04-e522310541d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v>
      </c>
      <c r="R71" s="20" t="str">
        <f ca="1">IFERROR(__xludf.DUMMYFUNCTION("""COMPUTED_VALUE"""),"NA")</f>
        <v>NA</v>
      </c>
      <c r="S71" s="113" t="str">
        <f ca="1">IFERROR(__xludf.DUMMYFUNCTION("""COMPUTED_VALUE"""),"https://gld.legislaturacba.gob.ar/Publics/Actas.aspx?id=hpVfcUhJmFk=")</f>
        <v>https://gld.legislaturacba.gob.ar/Publics/Actas.aspx?id=hpVfcUhJmFk=</v>
      </c>
      <c r="T71" s="99">
        <f t="shared" ca="1" si="0"/>
        <v>0</v>
      </c>
    </row>
    <row r="72" spans="1:20">
      <c r="A72" s="20">
        <f ca="1">IFERROR(__xludf.DUMMYFUNCTION("""COMPUTED_VALUE"""),71)</f>
        <v>71</v>
      </c>
      <c r="B72" s="20">
        <f ca="1">IFERROR(__xludf.DUMMYFUNCTION("""COMPUTED_VALUE"""),2020)</f>
        <v>2020</v>
      </c>
      <c r="C72" s="20" t="str">
        <f ca="1">IFERROR(__xludf.DUMMYFUNCTION("""COMPUTED_VALUE"""),"VIRTUAL")</f>
        <v>VIRTUAL</v>
      </c>
      <c r="D72" s="96">
        <f ca="1">IFERROR(__xludf.DUMMYFUNCTION("""COMPUTED_VALUE"""),44012)</f>
        <v>44012</v>
      </c>
      <c r="E72" s="20" t="str">
        <f ca="1">IFERROR(__xludf.DUMMYFUNCTION("""COMPUTED_VALUE"""),"SI")</f>
        <v>SI</v>
      </c>
      <c r="F72" s="20" t="str">
        <f ca="1">IFERROR(__xludf.DUMMYFUNCTION("""COMPUTED_VALUE"""),"LEGISLACIÓN DEL TRABAJO, PREVISIÓN Y SEGURIDAD SOCIAL;PROMOCIÓN Y DESARROLLO DE ECONOMÍAS REGIONALES Y PYMES;INDUSTRIA Y MINERÍA")</f>
        <v>LEGISLACIÓN DEL TRABAJO, PREVISIÓN Y SEGURIDAD SOCIAL;PROMOCIÓN Y DESARROLLO DE ECONOMÍAS REGIONALES Y PYMES;INDUSTRIA Y MINERÍA</v>
      </c>
      <c r="G72" s="20">
        <f ca="1">IFERROR(__xludf.DUMMYFUNCTION("""COMPUTED_VALUE"""),3)</f>
        <v>3</v>
      </c>
      <c r="H72" s="20">
        <f ca="1">IFERROR(__xludf.DUMMYFUNCTION("""COMPUTED_VALUE"""),1)</f>
        <v>1</v>
      </c>
      <c r="I72" s="20">
        <f ca="1">IFERROR(__xludf.DUMMYFUNCTION("""COMPUTED_VALUE"""),1)</f>
        <v>1</v>
      </c>
      <c r="J72" s="20" t="str">
        <f ca="1">IFERROR(__xludf.DUMMYFUNCTION("""COMPUTED_VALUE"""),"NC")</f>
        <v>NC</v>
      </c>
      <c r="K72" s="20" t="str">
        <f ca="1">IFERROR(__xludf.DUMMYFUNCTION("""COMPUTED_VALUE"""),"NA")</f>
        <v>NA</v>
      </c>
      <c r="L72" s="20" t="str">
        <f ca="1">IFERROR(__xludf.DUMMYFUNCTION("""COMPUTED_VALUE"""),"NA")</f>
        <v>NA</v>
      </c>
      <c r="M72" s="20" t="str">
        <f ca="1">IFERROR(__xludf.DUMMYFUNCTION("""COMPUTED_VALUE"""),"Situación del sector de la industria de la alimentación en el marco de la pandemia del Coronavirus.")</f>
        <v>Situación del sector de la industria de la alimentación en el marco de la pandemia del Coronavirus.</v>
      </c>
      <c r="N72" s="20" t="str">
        <f ca="1">IFERROR(__xludf.DUMMYFUNCTION("""COMPUTED_VALUE"""),"NA")</f>
        <v>NA</v>
      </c>
      <c r="O72" s="20" t="str">
        <f ca="1">IFERROR(__xludf.DUMMYFUNCTION("""COMPUTED_VALUE"""),"SI")</f>
        <v>SI</v>
      </c>
      <c r="P72" s="20">
        <f ca="1">IFERROR(__xludf.DUMMYFUNCTION("""COMPUTED_VALUE"""),1)</f>
        <v>1</v>
      </c>
      <c r="Q72" s="113" t="str">
        <f ca="1">IFERROR(__xludf.DUMMYFUNCTION("""COMPUTED_VALUE"""),"https://gld.legislaturacba.gob.ar/_cdd/api/Documento/descargar?guid=f5870aa7-24fd-4760-8457-e01534ca6e3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v>
      </c>
      <c r="R72" s="113" t="str">
        <f ca="1">IFERROR(__xludf.DUMMYFUNCTION("""COMPUTED_VALUE"""),"https://www.youtube.com/watch?v=igViBMdzCQw")</f>
        <v>https://www.youtube.com/watch?v=igViBMdzCQw</v>
      </c>
      <c r="S72" s="113" t="str">
        <f ca="1">IFERROR(__xludf.DUMMYFUNCTION("""COMPUTED_VALUE"""),"https://gld.legislaturacba.gob.ar/Publics/Actas.aspx?id=L0n68cPZPfM=;https://gld.legislaturacba.gob.ar/Publics/Actas.aspx?id=TdYLB8CURzo=;https://gld.legislaturacba.gob.ar/Publics/Actas.aspx?id=6C397JfwzlU=")</f>
        <v>https://gld.legislaturacba.gob.ar/Publics/Actas.aspx?id=L0n68cPZPfM=;https://gld.legislaturacba.gob.ar/Publics/Actas.aspx?id=TdYLB8CURzo=;https://gld.legislaturacba.gob.ar/Publics/Actas.aspx?id=6C397JfwzlU=</v>
      </c>
      <c r="T72" s="99">
        <f t="shared" ca="1" si="0"/>
        <v>0</v>
      </c>
    </row>
    <row r="73" spans="1:20">
      <c r="A73" s="20">
        <f ca="1">IFERROR(__xludf.DUMMYFUNCTION("""COMPUTED_VALUE"""),72)</f>
        <v>72</v>
      </c>
      <c r="B73" s="20">
        <f ca="1">IFERROR(__xludf.DUMMYFUNCTION("""COMPUTED_VALUE"""),2020)</f>
        <v>2020</v>
      </c>
      <c r="C73" s="20" t="str">
        <f ca="1">IFERROR(__xludf.DUMMYFUNCTION("""COMPUTED_VALUE"""),"VIRTUAL")</f>
        <v>VIRTUAL</v>
      </c>
      <c r="D73" s="96">
        <f ca="1">IFERROR(__xludf.DUMMYFUNCTION("""COMPUTED_VALUE"""),44012)</f>
        <v>44012</v>
      </c>
      <c r="E73" s="20" t="str">
        <f ca="1">IFERROR(__xludf.DUMMYFUNCTION("""COMPUTED_VALUE"""),"SI")</f>
        <v>SI</v>
      </c>
      <c r="F73" s="20" t="str">
        <f ca="1">IFERROR(__xludf.DUMMYFUNCTION("""COMPUTED_VALUE"""),"ASUNTOS CONSTITUCIONALES, JUSTICIA Y ACUERDOS;DERECHOS HUMANOS Y DESARROLLO SOCIAL")</f>
        <v>ASUNTOS CONSTITUCIONALES, JUSTICIA Y ACUERDOS;DERECHOS HUMANOS Y DESARROLLO SOCIAL</v>
      </c>
      <c r="G73" s="20">
        <f ca="1">IFERROR(__xludf.DUMMYFUNCTION("""COMPUTED_VALUE"""),2)</f>
        <v>2</v>
      </c>
      <c r="H73" s="20">
        <f ca="1">IFERROR(__xludf.DUMMYFUNCTION("""COMPUTED_VALUE"""),1)</f>
        <v>1</v>
      </c>
      <c r="I73" s="20">
        <f ca="1">IFERROR(__xludf.DUMMYFUNCTION("""COMPUTED_VALUE"""),1)</f>
        <v>1</v>
      </c>
      <c r="J73" s="20" t="str">
        <f ca="1">IFERROR(__xludf.DUMMYFUNCTION("""COMPUTED_VALUE"""),"Ley")</f>
        <v>Ley</v>
      </c>
      <c r="K73" s="20">
        <f ca="1">IFERROR(__xludf.DUMMYFUNCTION("""COMPUTED_VALUE"""),30569)</f>
        <v>30569</v>
      </c>
      <c r="L73" s="20" t="str">
        <f ca="1">IFERROR(__xludf.DUMMYFUNCTION("""COMPUTED_VALUE"""),"Poder Legislativo Provincial")</f>
        <v>Poder Legislativo Provincial</v>
      </c>
      <c r="M73" s="20" t="str">
        <f ca="1">IFERROR(__xludf.DUMMYFUNCTION("""COMPUTED_VALUE"""),"Proyecto de Ley Nº 30569/L/20, adhiriendo la Provincia a la Resolución 114/2020 del Ministerio de Relaciones Exteriores, Comercio Internacional y Culto de la Nación, que adopta la definición de Antisemitismo de la Alianza Internacional para el Recuerdo de"&amp;"l Holocausto (IHRA por sus siglas en inglés).")</f>
        <v>Proyecto de Ley Nº 30569/L/20, adhiriendo la Provincia a la Resolución 114/2020 del Ministerio de Relaciones Exteriores, Comercio Internacional y Culto de la Nación, que adopta la definición de Antisemitismo de la Alianza Internacional para el Recuerdo del Holocausto (IHRA por sus siglas en inglés).</v>
      </c>
      <c r="N73" s="20" t="str">
        <f ca="1">IFERROR(__xludf.DUMMYFUNCTION("""COMPUTED_VALUE"""),"SI")</f>
        <v>SI</v>
      </c>
      <c r="O73" s="20" t="str">
        <f ca="1">IFERROR(__xludf.DUMMYFUNCTION("""COMPUTED_VALUE"""),"NO")</f>
        <v>NO</v>
      </c>
      <c r="P73" s="20">
        <f ca="1">IFERROR(__xludf.DUMMYFUNCTION("""COMPUTED_VALUE"""),0)</f>
        <v>0</v>
      </c>
      <c r="Q73" s="113" t="str">
        <f ca="1">IFERROR(__xludf.DUMMYFUNCTION("""COMPUTED_VALUE"""),"https://gld.legislaturacba.gob.ar/_cdd/api/Documento/descargar?guid=75c96957-8c8a-4367-af2f-961c8642015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v>
      </c>
      <c r="R73" s="113" t="str">
        <f ca="1">IFERROR(__xludf.DUMMYFUNCTION("""COMPUTED_VALUE"""),"https://www.youtube.com/watch?v=kUFP9SN9sTU")</f>
        <v>https://www.youtube.com/watch?v=kUFP9SN9sTU</v>
      </c>
      <c r="S73" s="113" t="str">
        <f ca="1">IFERROR(__xludf.DUMMYFUNCTION("""COMPUTED_VALUE"""),"https://gld.legislaturacba.gob.ar/Publics/Actas.aspx?id=RH5Ckn56qkI=;https://gld.legislaturacba.gob.ar/Publics/Actas.aspx?id=y7J7vEeLhpw=")</f>
        <v>https://gld.legislaturacba.gob.ar/Publics/Actas.aspx?id=RH5Ckn56qkI=;https://gld.legislaturacba.gob.ar/Publics/Actas.aspx?id=y7J7vEeLhpw=</v>
      </c>
      <c r="T73" s="99">
        <f t="shared" ca="1" si="0"/>
        <v>0</v>
      </c>
    </row>
    <row r="74" spans="1:20">
      <c r="A74" s="20">
        <f ca="1">IFERROR(__xludf.DUMMYFUNCTION("""COMPUTED_VALUE"""),73)</f>
        <v>73</v>
      </c>
      <c r="B74" s="20">
        <f ca="1">IFERROR(__xludf.DUMMYFUNCTION("""COMPUTED_VALUE"""),2020)</f>
        <v>2020</v>
      </c>
      <c r="C74" s="20" t="str">
        <f ca="1">IFERROR(__xludf.DUMMYFUNCTION("""COMPUTED_VALUE"""),"VIRTUAL")</f>
        <v>VIRTUAL</v>
      </c>
      <c r="D74" s="96">
        <f ca="1">IFERROR(__xludf.DUMMYFUNCTION("""COMPUTED_VALUE"""),44012)</f>
        <v>44012</v>
      </c>
      <c r="E74" s="20" t="str">
        <f ca="1">IFERROR(__xludf.DUMMYFUNCTION("""COMPUTED_VALUE"""),"NO")</f>
        <v>NO</v>
      </c>
      <c r="F74" s="20" t="str">
        <f ca="1">IFERROR(__xludf.DUMMYFUNCTION("""COMPUTED_VALUE"""),"TURISMO Y SU RELACIÓN CON EL DESARROLLO REGIONAL")</f>
        <v>TURISMO Y SU RELACIÓN CON EL DESARROLLO REGIONAL</v>
      </c>
      <c r="G74" s="20">
        <f ca="1">IFERROR(__xludf.DUMMYFUNCTION("""COMPUTED_VALUE"""),1)</f>
        <v>1</v>
      </c>
      <c r="H74" s="20">
        <f ca="1">IFERROR(__xludf.DUMMYFUNCTION("""COMPUTED_VALUE"""),1)</f>
        <v>1</v>
      </c>
      <c r="I74" s="20">
        <f ca="1">IFERROR(__xludf.DUMMYFUNCTION("""COMPUTED_VALUE"""),1)</f>
        <v>1</v>
      </c>
      <c r="J74" s="20" t="str">
        <f ca="1">IFERROR(__xludf.DUMMYFUNCTION("""COMPUTED_VALUE"""),"NC")</f>
        <v>NC</v>
      </c>
      <c r="K74" s="20" t="str">
        <f ca="1">IFERROR(__xludf.DUMMYFUNCTION("""COMPUTED_VALUE"""),"NA")</f>
        <v>NA</v>
      </c>
      <c r="L74" s="20" t="str">
        <f ca="1">IFERROR(__xludf.DUMMYFUNCTION("""COMPUTED_VALUE"""),"NA")</f>
        <v>NA</v>
      </c>
      <c r="M74" s="20" t="str">
        <f ca="1">IFERROR(__xludf.DUMMYFUNCTION("""COMPUTED_VALUE"""),"Fondo de Auxilio para prestadores turísticos. Capacitación Turística en cursos virtuales. Protocolos con acciones recomendadas para establecimientos gastronómicos y alojamientos. Protocolos y recomendaciones para las futuras visitas -cuando se reanude la "&amp;"actividad turística- a los distintos paseos que tiene la provincia (ríos, montañas, museos, iglesias u otras atracciones similares).")</f>
        <v>Fondo de Auxilio para prestadores turísticos. Capacitación Turística en cursos virtuales. Protocolos con acciones recomendadas para establecimientos gastronómicos y alojamientos. Protocolos y recomendaciones para las futuras visitas -cuando se reanude la actividad turística- a los distintos paseos que tiene la provincia (ríos, montañas, museos, iglesias u otras atracciones similares).</v>
      </c>
      <c r="N74" s="20" t="str">
        <f ca="1">IFERROR(__xludf.DUMMYFUNCTION("""COMPUTED_VALUE"""),"NA")</f>
        <v>NA</v>
      </c>
      <c r="O74" s="20" t="str">
        <f ca="1">IFERROR(__xludf.DUMMYFUNCTION("""COMPUTED_VALUE"""),"SI")</f>
        <v>SI</v>
      </c>
      <c r="P74" s="20">
        <f ca="1">IFERROR(__xludf.DUMMYFUNCTION("""COMPUTED_VALUE"""),1)</f>
        <v>1</v>
      </c>
      <c r="Q74" s="113" t="str">
        <f ca="1">IFERROR(__xludf.DUMMYFUNCTION("""COMPUTED_VALUE"""),"https://gld.legislaturacba.gob.ar/_cdd/api/Documento/descargar?guid=0289e8cc-d921-46f6-b72d-9dafbab35439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v>
      </c>
      <c r="R74" s="113" t="str">
        <f ca="1">IFERROR(__xludf.DUMMYFUNCTION("""COMPUTED_VALUE"""),"https://www.youtube.com/watch?v=mZikB96oorc")</f>
        <v>https://www.youtube.com/watch?v=mZikB96oorc</v>
      </c>
      <c r="S74" s="113" t="str">
        <f ca="1">IFERROR(__xludf.DUMMYFUNCTION("""COMPUTED_VALUE"""),"https://gld.legislaturacba.gob.ar/Publics/Actas.aspx?id=LKjvg0y0y6M=")</f>
        <v>https://gld.legislaturacba.gob.ar/Publics/Actas.aspx?id=LKjvg0y0y6M=</v>
      </c>
      <c r="T74" s="99">
        <f t="shared" ca="1" si="0"/>
        <v>0</v>
      </c>
    </row>
    <row r="75" spans="1:20">
      <c r="A75" s="20">
        <f ca="1">IFERROR(__xludf.DUMMYFUNCTION("""COMPUTED_VALUE"""),74)</f>
        <v>74</v>
      </c>
      <c r="B75" s="20">
        <f ca="1">IFERROR(__xludf.DUMMYFUNCTION("""COMPUTED_VALUE"""),2020)</f>
        <v>2020</v>
      </c>
      <c r="C75" s="20" t="str">
        <f ca="1">IFERROR(__xludf.DUMMYFUNCTION("""COMPUTED_VALUE"""),"VIRTUAL")</f>
        <v>VIRTUAL</v>
      </c>
      <c r="D75" s="96">
        <f ca="1">IFERROR(__xludf.DUMMYFUNCTION("""COMPUTED_VALUE"""),44014)</f>
        <v>44014</v>
      </c>
      <c r="E75" s="20" t="str">
        <f ca="1">IFERROR(__xludf.DUMMYFUNCTION("""COMPUTED_VALUE"""),"NO")</f>
        <v>NO</v>
      </c>
      <c r="F75" s="20" t="str">
        <f ca="1">IFERROR(__xludf.DUMMYFUNCTION("""COMPUTED_VALUE"""),"ECONOMÍA SOCIAL, COOPERATIVAS Y MUTUALES")</f>
        <v>ECONOMÍA SOCIAL, COOPERATIVAS Y MUTUALES</v>
      </c>
      <c r="G75" s="20">
        <f ca="1">IFERROR(__xludf.DUMMYFUNCTION("""COMPUTED_VALUE"""),1)</f>
        <v>1</v>
      </c>
      <c r="H75" s="20">
        <f ca="1">IFERROR(__xludf.DUMMYFUNCTION("""COMPUTED_VALUE"""),1)</f>
        <v>1</v>
      </c>
      <c r="I75" s="20">
        <f ca="1">IFERROR(__xludf.DUMMYFUNCTION("""COMPUTED_VALUE"""),1)</f>
        <v>1</v>
      </c>
      <c r="J75" s="20" t="str">
        <f ca="1">IFERROR(__xludf.DUMMYFUNCTION("""COMPUTED_VALUE"""),"NC")</f>
        <v>NC</v>
      </c>
      <c r="K75" s="20" t="str">
        <f ca="1">IFERROR(__xludf.DUMMYFUNCTION("""COMPUTED_VALUE"""),"NA")</f>
        <v>NA</v>
      </c>
      <c r="L75" s="20" t="str">
        <f ca="1">IFERROR(__xludf.DUMMYFUNCTION("""COMPUTED_VALUE"""),"NA")</f>
        <v>NA</v>
      </c>
      <c r="M75" s="20" t="str">
        <f ca="1">IFERROR(__xludf.DUMMYFUNCTION("""COMPUTED_VALUE"""),"Presentación de los programas impulsados por el Instituto Nacional de Asociativismo y Economía Social (INAES): “Mesas de Fomento del Asociativismo y la Economía Social”.")</f>
        <v>Presentación de los programas impulsados por el Instituto Nacional de Asociativismo y Economía Social (INAES): “Mesas de Fomento del Asociativismo y la Economía Social”.</v>
      </c>
      <c r="N75" s="20" t="str">
        <f ca="1">IFERROR(__xludf.DUMMYFUNCTION("""COMPUTED_VALUE"""),"NA")</f>
        <v>NA</v>
      </c>
      <c r="O75" s="20" t="str">
        <f ca="1">IFERROR(__xludf.DUMMYFUNCTION("""COMPUTED_VALUE"""),"SI")</f>
        <v>SI</v>
      </c>
      <c r="P75" s="20">
        <f ca="1">IFERROR(__xludf.DUMMYFUNCTION("""COMPUTED_VALUE"""),1)</f>
        <v>1</v>
      </c>
      <c r="Q75" s="113" t="str">
        <f ca="1">IFERROR(__xludf.DUMMYFUNCTION("""COMPUTED_VALUE"""),"https://gld.legislaturacba.gob.ar/_cdd/api/Documento/descargar?guid=d14df690-4145-466e-b272-14a0bc275005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v>
      </c>
      <c r="R75" s="113" t="str">
        <f ca="1">IFERROR(__xludf.DUMMYFUNCTION("""COMPUTED_VALUE"""),"https://www.youtube.com/watch?v=OP7J1_I14rc")</f>
        <v>https://www.youtube.com/watch?v=OP7J1_I14rc</v>
      </c>
      <c r="S75" s="113" t="str">
        <f ca="1">IFERROR(__xludf.DUMMYFUNCTION("""COMPUTED_VALUE"""),"https://gld.legislaturacba.gob.ar/Publics/Actas.aspx?id=f0JBO8UM84U=")</f>
        <v>https://gld.legislaturacba.gob.ar/Publics/Actas.aspx?id=f0JBO8UM84U=</v>
      </c>
      <c r="T75" s="99">
        <f t="shared" ca="1" si="0"/>
        <v>0</v>
      </c>
    </row>
    <row r="76" spans="1:20">
      <c r="A76" s="20">
        <f ca="1">IFERROR(__xludf.DUMMYFUNCTION("""COMPUTED_VALUE"""),75)</f>
        <v>75</v>
      </c>
      <c r="B76" s="20">
        <f ca="1">IFERROR(__xludf.DUMMYFUNCTION("""COMPUTED_VALUE"""),2020)</f>
        <v>2020</v>
      </c>
      <c r="C76" s="20" t="str">
        <f ca="1">IFERROR(__xludf.DUMMYFUNCTION("""COMPUTED_VALUE"""),"VIRTUAL")</f>
        <v>VIRTUAL</v>
      </c>
      <c r="D76" s="96">
        <f ca="1">IFERROR(__xludf.DUMMYFUNCTION("""COMPUTED_VALUE"""),44014)</f>
        <v>44014</v>
      </c>
      <c r="E76" s="20" t="str">
        <f ca="1">IFERROR(__xludf.DUMMYFUNCTION("""COMPUTED_VALUE"""),"SI")</f>
        <v>SI</v>
      </c>
      <c r="F76"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76" s="20">
        <f ca="1">IFERROR(__xludf.DUMMYFUNCTION("""COMPUTED_VALUE"""),2)</f>
        <v>2</v>
      </c>
      <c r="H76" s="20">
        <f ca="1">IFERROR(__xludf.DUMMYFUNCTION("""COMPUTED_VALUE"""),1)</f>
        <v>1</v>
      </c>
      <c r="I76" s="20">
        <f ca="1">IFERROR(__xludf.DUMMYFUNCTION("""COMPUTED_VALUE"""),1)</f>
        <v>1</v>
      </c>
      <c r="J76" s="20" t="str">
        <f ca="1">IFERROR(__xludf.DUMMYFUNCTION("""COMPUTED_VALUE"""),"NC")</f>
        <v>NC</v>
      </c>
      <c r="K76" s="20" t="str">
        <f ca="1">IFERROR(__xludf.DUMMYFUNCTION("""COMPUTED_VALUE"""),"NA")</f>
        <v>NA</v>
      </c>
      <c r="L76" s="20" t="str">
        <f ca="1">IFERROR(__xludf.DUMMYFUNCTION("""COMPUTED_VALUE"""),"NA")</f>
        <v>NA</v>
      </c>
      <c r="M76" s="20" t="str">
        <f ca="1">IFERROR(__xludf.DUMMYFUNCTION("""COMPUTED_VALUE"""),"Ciberacoso y Grooming en Contextos de Aislamiento.")</f>
        <v>Ciberacoso y Grooming en Contextos de Aislamiento.</v>
      </c>
      <c r="N76" s="20" t="str">
        <f ca="1">IFERROR(__xludf.DUMMYFUNCTION("""COMPUTED_VALUE"""),"NA")</f>
        <v>NA</v>
      </c>
      <c r="O76" s="20" t="str">
        <f ca="1">IFERROR(__xludf.DUMMYFUNCTION("""COMPUTED_VALUE"""),"NO")</f>
        <v>NO</v>
      </c>
      <c r="P76" s="20">
        <f ca="1">IFERROR(__xludf.DUMMYFUNCTION("""COMPUTED_VALUE"""),0)</f>
        <v>0</v>
      </c>
      <c r="Q76" s="113" t="str">
        <f ca="1">IFERROR(__xludf.DUMMYFUNCTION("""COMPUTED_VALUE"""),"https://gld.legislaturacba.gob.ar/_cdd/api/Documento/descargar?guid=9987544c-d0e6-434e-b3ad-86c8008ae68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v>
      </c>
      <c r="R76" s="113" t="str">
        <f ca="1">IFERROR(__xludf.DUMMYFUNCTION("""COMPUTED_VALUE"""),"https://www.youtube.com/watch?v=4mMZS65PqEU")</f>
        <v>https://www.youtube.com/watch?v=4mMZS65PqEU</v>
      </c>
      <c r="S76" s="113" t="str">
        <f ca="1">IFERROR(__xludf.DUMMYFUNCTION("""COMPUTED_VALUE"""),"https://gld.legislaturacba.gob.ar/Publics/Actas.aspx?id=zLYZlyX1mBc=;https://gld.legislaturacba.gob.ar/Publics/Actas.aspx?id=49rbsWS-jsA=")</f>
        <v>https://gld.legislaturacba.gob.ar/Publics/Actas.aspx?id=zLYZlyX1mBc=;https://gld.legislaturacba.gob.ar/Publics/Actas.aspx?id=49rbsWS-jsA=</v>
      </c>
      <c r="T76" s="99">
        <f t="shared" ca="1" si="0"/>
        <v>0</v>
      </c>
    </row>
    <row r="77" spans="1:20">
      <c r="A77" s="20">
        <f ca="1">IFERROR(__xludf.DUMMYFUNCTION("""COMPUTED_VALUE"""),76)</f>
        <v>76</v>
      </c>
      <c r="B77" s="20">
        <f ca="1">IFERROR(__xludf.DUMMYFUNCTION("""COMPUTED_VALUE"""),2020)</f>
        <v>2020</v>
      </c>
      <c r="C77" s="20" t="str">
        <f ca="1">IFERROR(__xludf.DUMMYFUNCTION("""COMPUTED_VALUE"""),"VIRTUAL")</f>
        <v>VIRTUAL</v>
      </c>
      <c r="D77" s="96">
        <f ca="1">IFERROR(__xludf.DUMMYFUNCTION("""COMPUTED_VALUE"""),44019)</f>
        <v>44019</v>
      </c>
      <c r="E77" s="20" t="str">
        <f ca="1">IFERROR(__xludf.DUMMYFUNCTION("""COMPUTED_VALUE"""),"SI")</f>
        <v>SI</v>
      </c>
      <c r="F77" s="20" t="str">
        <f ca="1">IFERROR(__xludf.DUMMYFUNCTION("""COMPUTED_VALUE"""),"SALUD HUMANA;LEGISLACIÓN GENERAL")</f>
        <v>SALUD HUMANA;LEGISLACIÓN GENERAL</v>
      </c>
      <c r="G77" s="20">
        <f ca="1">IFERROR(__xludf.DUMMYFUNCTION("""COMPUTED_VALUE"""),2)</f>
        <v>2</v>
      </c>
      <c r="H77" s="20">
        <f ca="1">IFERROR(__xludf.DUMMYFUNCTION("""COMPUTED_VALUE"""),1)</f>
        <v>1</v>
      </c>
      <c r="I77" s="20">
        <f ca="1">IFERROR(__xludf.DUMMYFUNCTION("""COMPUTED_VALUE"""),1)</f>
        <v>1</v>
      </c>
      <c r="J77" s="20" t="str">
        <f ca="1">IFERROR(__xludf.DUMMYFUNCTION("""COMPUTED_VALUE"""),"Ley")</f>
        <v>Ley</v>
      </c>
      <c r="K77" s="20">
        <f ca="1">IFERROR(__xludf.DUMMYFUNCTION("""COMPUTED_VALUE"""),30673)</f>
        <v>30673</v>
      </c>
      <c r="L77" s="20" t="str">
        <f ca="1">IFERROR(__xludf.DUMMYFUNCTION("""COMPUTED_VALUE"""),"Poder Ejecutivo Provincial")</f>
        <v>Poder Ejecutivo Provincial</v>
      </c>
      <c r="M77" s="20" t="str">
        <f ca="1">IFERROR(__xludf.DUMMYFUNCTION("""COMPUTED_VALUE"""),"Proyecto de Ley 30673/L/20, creación de un régimen sancionatorio para conductas que transgredan los protocolos de seguridad o sanitarias, dictados con el fin de proteger la salud pública en el marco del COVID-19.")</f>
        <v>Proyecto de Ley 30673/L/20, creación de un régimen sancionatorio para conductas que transgredan los protocolos de seguridad o sanitarias, dictados con el fin de proteger la salud pública en el marco del COVID-19.</v>
      </c>
      <c r="N77" s="20" t="str">
        <f ca="1">IFERROR(__xludf.DUMMYFUNCTION("""COMPUTED_VALUE"""),"SI")</f>
        <v>SI</v>
      </c>
      <c r="O77" s="20" t="str">
        <f ca="1">IFERROR(__xludf.DUMMYFUNCTION("""COMPUTED_VALUE"""),"SI")</f>
        <v>SI</v>
      </c>
      <c r="P77" s="20">
        <f ca="1">IFERROR(__xludf.DUMMYFUNCTION("""COMPUTED_VALUE"""),6)</f>
        <v>6</v>
      </c>
      <c r="Q77" s="113" t="str">
        <f ca="1">IFERROR(__xludf.DUMMYFUNCTION("""COMPUTED_VALUE"""),"https://gld.legislaturacba.gob.ar/_cdd/api/Documento/descargar?guid=738ebce6-5940-46da-b2b0-be575d93096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v>
      </c>
      <c r="R77" s="113" t="str">
        <f ca="1">IFERROR(__xludf.DUMMYFUNCTION("""COMPUTED_VALUE"""),"https://www.youtube.com/watch?v=9NmtZ6tejtE")</f>
        <v>https://www.youtube.com/watch?v=9NmtZ6tejtE</v>
      </c>
      <c r="S77" s="113" t="str">
        <f ca="1">IFERROR(__xludf.DUMMYFUNCTION("""COMPUTED_VALUE"""),"https://gld.legislaturacba.gob.ar/Publics/Actas.aspx?id=-HQqYenYtHU=;https://gld.legislaturacba.gob.ar/Publics/Actas.aspx?id=nZpmE4Fr-CY=")</f>
        <v>https://gld.legislaturacba.gob.ar/Publics/Actas.aspx?id=-HQqYenYtHU=;https://gld.legislaturacba.gob.ar/Publics/Actas.aspx?id=nZpmE4Fr-CY=</v>
      </c>
      <c r="T77" s="99">
        <f t="shared" ca="1" si="0"/>
        <v>0</v>
      </c>
    </row>
    <row r="78" spans="1:20">
      <c r="A78" s="20">
        <f ca="1">IFERROR(__xludf.DUMMYFUNCTION("""COMPUTED_VALUE"""),77)</f>
        <v>77</v>
      </c>
      <c r="B78" s="20">
        <f ca="1">IFERROR(__xludf.DUMMYFUNCTION("""COMPUTED_VALUE"""),2020)</f>
        <v>2020</v>
      </c>
      <c r="C78" s="20" t="str">
        <f ca="1">IFERROR(__xludf.DUMMYFUNCTION("""COMPUTED_VALUE"""),"VIRTUAL")</f>
        <v>VIRTUAL</v>
      </c>
      <c r="D78" s="96">
        <f ca="1">IFERROR(__xludf.DUMMYFUNCTION("""COMPUTED_VALUE"""),44019)</f>
        <v>44019</v>
      </c>
      <c r="E78" s="20" t="str">
        <f ca="1">IFERROR(__xludf.DUMMYFUNCTION("""COMPUTED_VALUE"""),"NO")</f>
        <v>NO</v>
      </c>
      <c r="F78" s="20" t="str">
        <f ca="1">IFERROR(__xludf.DUMMYFUNCTION("""COMPUTED_VALUE"""),"ASUNTOS CONSTITUCIONALES, JUSTICIA Y ACUERDOS")</f>
        <v>ASUNTOS CONSTITUCIONALES, JUSTICIA Y ACUERDOS</v>
      </c>
      <c r="G78" s="20">
        <f ca="1">IFERROR(__xludf.DUMMYFUNCTION("""COMPUTED_VALUE"""),1)</f>
        <v>1</v>
      </c>
      <c r="H78" s="20">
        <f ca="1">IFERROR(__xludf.DUMMYFUNCTION("""COMPUTED_VALUE"""),2)</f>
        <v>2</v>
      </c>
      <c r="I78" s="20">
        <f ca="1">IFERROR(__xludf.DUMMYFUNCTION("""COMPUTED_VALUE"""),1)</f>
        <v>1</v>
      </c>
      <c r="J78" s="20" t="str">
        <f ca="1">IFERROR(__xludf.DUMMYFUNCTION("""COMPUTED_VALUE"""),"Ley")</f>
        <v>Ley</v>
      </c>
      <c r="K78" s="20">
        <f ca="1">IFERROR(__xludf.DUMMYFUNCTION("""COMPUTED_VALUE"""),30578)</f>
        <v>30578</v>
      </c>
      <c r="L78" s="20" t="str">
        <f ca="1">IFERROR(__xludf.DUMMYFUNCTION("""COMPUTED_VALUE"""),"Poder Legislativo Provincial")</f>
        <v>Poder Legislativo Provincial</v>
      </c>
      <c r="M78" s="20" t="str">
        <f ca="1">IFERROR(__xludf.DUMMYFUNCTION("""COMPUTED_VALUE"""),"Proyecto de Ley Nº 30578/L/20, iniciado por los Leg. González, Rinaldi, Cid, Abraham y Lorenzo, modificando el texto del Título II y del Capítulo Único de la Ley 10326 -Código de Convivencia Ciudadana-.")</f>
        <v>Proyecto de Ley Nº 30578/L/20, iniciado por los Leg. González, Rinaldi, Cid, Abraham y Lorenzo, modificando el texto del Título II y del Capítulo Único de la Ley 10326 -Código de Convivencia Ciudadana-.</v>
      </c>
      <c r="N78" s="20" t="str">
        <f ca="1">IFERROR(__xludf.DUMMYFUNCTION("""COMPUTED_VALUE"""),"SI")</f>
        <v>SI</v>
      </c>
      <c r="O78" s="20" t="str">
        <f ca="1">IFERROR(__xludf.DUMMYFUNCTION("""COMPUTED_VALUE"""),"NO")</f>
        <v>NO</v>
      </c>
      <c r="P78" s="20">
        <f ca="1">IFERROR(__xludf.DUMMYFUNCTION("""COMPUTED_VALUE"""),0)</f>
        <v>0</v>
      </c>
      <c r="Q78" s="113" t="str">
        <f ca="1">IFERROR(__xludf.DUMMYFUNCTION("""COMPUTED_VALUE"""),"https://gld.legislaturacba.gob.ar/_cdd/api/Documento/descargar?guid=fa086a1d-0b36-4ddd-a90f-f0bf8022faf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v>
      </c>
      <c r="R78" s="20" t="str">
        <f ca="1">IFERROR(__xludf.DUMMYFUNCTION("""COMPUTED_VALUE"""),"NA")</f>
        <v>NA</v>
      </c>
      <c r="S78" s="113" t="str">
        <f ca="1">IFERROR(__xludf.DUMMYFUNCTION("""COMPUTED_VALUE"""),"https://gld.legislaturacba.gob.ar/Publics/Actas.aspx?id=YUldpHklaps=")</f>
        <v>https://gld.legislaturacba.gob.ar/Publics/Actas.aspx?id=YUldpHklaps=</v>
      </c>
      <c r="T78" s="99">
        <f t="shared" ca="1" si="0"/>
        <v>0</v>
      </c>
    </row>
    <row r="79" spans="1:20">
      <c r="A79" s="20">
        <f ca="1">IFERROR(__xludf.DUMMYFUNCTION("""COMPUTED_VALUE"""),78)</f>
        <v>78</v>
      </c>
      <c r="B79" s="20">
        <f ca="1">IFERROR(__xludf.DUMMYFUNCTION("""COMPUTED_VALUE"""),2020)</f>
        <v>2020</v>
      </c>
      <c r="C79" s="20" t="str">
        <f ca="1">IFERROR(__xludf.DUMMYFUNCTION("""COMPUTED_VALUE"""),"VIRTUAL")</f>
        <v>VIRTUAL</v>
      </c>
      <c r="D79" s="96">
        <f ca="1">IFERROR(__xludf.DUMMYFUNCTION("""COMPUTED_VALUE"""),44019)</f>
        <v>44019</v>
      </c>
      <c r="E79" s="20" t="str">
        <f ca="1">IFERROR(__xludf.DUMMYFUNCTION("""COMPUTED_VALUE"""),"SI")</f>
        <v>SI</v>
      </c>
      <c r="F79" s="20" t="str">
        <f ca="1">IFERROR(__xludf.DUMMYFUNCTION("""COMPUTED_VALUE"""),"PROMOCIÓN Y DESARROLLO DE ECONOMÍAS REGIONALES Y PYMES;INDUSTRIA Y MINERÍA")</f>
        <v>PROMOCIÓN Y DESARROLLO DE ECONOMÍAS REGIONALES Y PYMES;INDUSTRIA Y MINERÍA</v>
      </c>
      <c r="G79" s="20">
        <f ca="1">IFERROR(__xludf.DUMMYFUNCTION("""COMPUTED_VALUE"""),2)</f>
        <v>2</v>
      </c>
      <c r="H79" s="20">
        <f ca="1">IFERROR(__xludf.DUMMYFUNCTION("""COMPUTED_VALUE"""),1)</f>
        <v>1</v>
      </c>
      <c r="I79" s="20">
        <f ca="1">IFERROR(__xludf.DUMMYFUNCTION("""COMPUTED_VALUE"""),1)</f>
        <v>1</v>
      </c>
      <c r="J79" s="20" t="str">
        <f ca="1">IFERROR(__xludf.DUMMYFUNCTION("""COMPUTED_VALUE"""),"NC")</f>
        <v>NC</v>
      </c>
      <c r="K79" s="20" t="str">
        <f ca="1">IFERROR(__xludf.DUMMYFUNCTION("""COMPUTED_VALUE"""),"NA")</f>
        <v>NA</v>
      </c>
      <c r="L79" s="20" t="str">
        <f ca="1">IFERROR(__xludf.DUMMYFUNCTION("""COMPUTED_VALUE"""),"NA")</f>
        <v>NA</v>
      </c>
      <c r="M79" s="20" t="str">
        <f ca="1">IFERROR(__xludf.DUMMYFUNCTION("""COMPUTED_VALUE"""),"Situación actual del sector de la industria metalúrgica en el marco de la pandemia del Coronavirus.")</f>
        <v>Situación actual del sector de la industria metalúrgica en el marco de la pandemia del Coronavirus.</v>
      </c>
      <c r="N79" s="20" t="str">
        <f ca="1">IFERROR(__xludf.DUMMYFUNCTION("""COMPUTED_VALUE"""),"NA")</f>
        <v>NA</v>
      </c>
      <c r="O79" s="20" t="str">
        <f ca="1">IFERROR(__xludf.DUMMYFUNCTION("""COMPUTED_VALUE"""),"SI")</f>
        <v>SI</v>
      </c>
      <c r="P79" s="20">
        <f ca="1">IFERROR(__xludf.DUMMYFUNCTION("""COMPUTED_VALUE"""),10)</f>
        <v>10</v>
      </c>
      <c r="Q79" s="113" t="str">
        <f ca="1">IFERROR(__xludf.DUMMYFUNCTION("""COMPUTED_VALUE"""),"https://gld.legislaturacba.gob.ar/_cdd/api/Documento/descargar?guid=d1ed5d77-883d-4c4b-b5c0-8ebf2ae10f5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v>
      </c>
      <c r="R79" s="20" t="str">
        <f ca="1">IFERROR(__xludf.DUMMYFUNCTION("""COMPUTED_VALUE"""),"NA")</f>
        <v>NA</v>
      </c>
      <c r="S79" s="113" t="str">
        <f ca="1">IFERROR(__xludf.DUMMYFUNCTION("""COMPUTED_VALUE"""),"https://gld.legislaturacba.gob.ar/Publics/Actas.aspx?id=NKQdC309I2U=;https://gld.legislaturacba.gob.ar/Publics/Actas.aspx?id=TejQhDHK_6o=")</f>
        <v>https://gld.legislaturacba.gob.ar/Publics/Actas.aspx?id=NKQdC309I2U=;https://gld.legislaturacba.gob.ar/Publics/Actas.aspx?id=TejQhDHK_6o=</v>
      </c>
      <c r="T79" s="99">
        <f t="shared" ca="1" si="0"/>
        <v>0</v>
      </c>
    </row>
    <row r="80" spans="1:20">
      <c r="A80" s="20">
        <f ca="1">IFERROR(__xludf.DUMMYFUNCTION("""COMPUTED_VALUE"""),79)</f>
        <v>79</v>
      </c>
      <c r="B80" s="20">
        <f ca="1">IFERROR(__xludf.DUMMYFUNCTION("""COMPUTED_VALUE"""),2020)</f>
        <v>2020</v>
      </c>
      <c r="C80" s="20" t="str">
        <f ca="1">IFERROR(__xludf.DUMMYFUNCTION("""COMPUTED_VALUE"""),"VIRTUAL")</f>
        <v>VIRTUAL</v>
      </c>
      <c r="D80" s="96">
        <f ca="1">IFERROR(__xludf.DUMMYFUNCTION("""COMPUTED_VALUE"""),44026)</f>
        <v>44026</v>
      </c>
      <c r="E80" s="20" t="str">
        <f ca="1">IFERROR(__xludf.DUMMYFUNCTION("""COMPUTED_VALUE"""),"SI")</f>
        <v>SI</v>
      </c>
      <c r="F80" s="20" t="str">
        <f ca="1">IFERROR(__xludf.DUMMYFUNCTION("""COMPUTED_VALUE"""),"LEGISLACIÓN DEL TRABAJO, PREVISIÓN Y SEGURIDAD SOCIAL;TURISMO Y SU RELACIÓN CON EL DESARROLLO REGIONAL")</f>
        <v>LEGISLACIÓN DEL TRABAJO, PREVISIÓN Y SEGURIDAD SOCIAL;TURISMO Y SU RELACIÓN CON EL DESARROLLO REGIONAL</v>
      </c>
      <c r="G80" s="20">
        <f ca="1">IFERROR(__xludf.DUMMYFUNCTION("""COMPUTED_VALUE"""),2)</f>
        <v>2</v>
      </c>
      <c r="H80" s="20">
        <f ca="1">IFERROR(__xludf.DUMMYFUNCTION("""COMPUTED_VALUE"""),1)</f>
        <v>1</v>
      </c>
      <c r="I80" s="20">
        <f ca="1">IFERROR(__xludf.DUMMYFUNCTION("""COMPUTED_VALUE"""),1)</f>
        <v>1</v>
      </c>
      <c r="J80" s="20" t="str">
        <f ca="1">IFERROR(__xludf.DUMMYFUNCTION("""COMPUTED_VALUE"""),"NC")</f>
        <v>NC</v>
      </c>
      <c r="K80" s="20" t="str">
        <f ca="1">IFERROR(__xludf.DUMMYFUNCTION("""COMPUTED_VALUE"""),"NA")</f>
        <v>NA</v>
      </c>
      <c r="L80" s="20" t="str">
        <f ca="1">IFERROR(__xludf.DUMMYFUNCTION("""COMPUTED_VALUE"""),"NA")</f>
        <v>NA</v>
      </c>
      <c r="M80" s="20" t="str">
        <f ca="1">IFERROR(__xludf.DUMMYFUNCTION("""COMPUTED_VALUE"""),"Situación del Sector de la Unión de Trabajadores del Turismo, Hoteleros y Gastronómicos de la República Argentina (UTHGRA), en el marco de la Pandemia COVID-19.")</f>
        <v>Situación del Sector de la Unión de Trabajadores del Turismo, Hoteleros y Gastronómicos de la República Argentina (UTHGRA), en el marco de la Pandemia COVID-19.</v>
      </c>
      <c r="N80" s="20" t="str">
        <f ca="1">IFERROR(__xludf.DUMMYFUNCTION("""COMPUTED_VALUE"""),"NA")</f>
        <v>NA</v>
      </c>
      <c r="O80" s="20" t="str">
        <f ca="1">IFERROR(__xludf.DUMMYFUNCTION("""COMPUTED_VALUE"""),"SI")</f>
        <v>SI</v>
      </c>
      <c r="P80" s="20">
        <f ca="1">IFERROR(__xludf.DUMMYFUNCTION("""COMPUTED_VALUE"""),1)</f>
        <v>1</v>
      </c>
      <c r="Q80" s="113" t="str">
        <f ca="1">IFERROR(__xludf.DUMMYFUNCTION("""COMPUTED_VALUE"""),"https://gld.legislaturacba.gob.ar/_cdd/api/Documento/descargar?guid=15bdf124-c5b2-4501-a8af-ec2f7e1584b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v>
      </c>
      <c r="R80" s="113" t="str">
        <f ca="1">IFERROR(__xludf.DUMMYFUNCTION("""COMPUTED_VALUE"""),"https://www.youtube.com/watch?v=RpYQNBscRjU")</f>
        <v>https://www.youtube.com/watch?v=RpYQNBscRjU</v>
      </c>
      <c r="S80" s="113" t="str">
        <f ca="1">IFERROR(__xludf.DUMMYFUNCTION("""COMPUTED_VALUE"""),"https://gld.legislaturacba.gob.ar/Publics/Actas.aspx?id=B2lBCiOeenY=;https://gld.legislaturacba.gob.ar/Publics/Actas.aspx?id=14GNdM37niA=")</f>
        <v>https://gld.legislaturacba.gob.ar/Publics/Actas.aspx?id=B2lBCiOeenY=;https://gld.legislaturacba.gob.ar/Publics/Actas.aspx?id=14GNdM37niA=</v>
      </c>
      <c r="T80" s="99">
        <f t="shared" ca="1" si="0"/>
        <v>0</v>
      </c>
    </row>
    <row r="81" spans="1:20">
      <c r="A81" s="20">
        <f ca="1">IFERROR(__xludf.DUMMYFUNCTION("""COMPUTED_VALUE"""),80)</f>
        <v>80</v>
      </c>
      <c r="B81" s="20">
        <f ca="1">IFERROR(__xludf.DUMMYFUNCTION("""COMPUTED_VALUE"""),2020)</f>
        <v>2020</v>
      </c>
      <c r="C81" s="20" t="str">
        <f ca="1">IFERROR(__xludf.DUMMYFUNCTION("""COMPUTED_VALUE"""),"VIRTUAL")</f>
        <v>VIRTUAL</v>
      </c>
      <c r="D81" s="96">
        <f ca="1">IFERROR(__xludf.DUMMYFUNCTION("""COMPUTED_VALUE"""),44026)</f>
        <v>44026</v>
      </c>
      <c r="E81" s="20" t="str">
        <f ca="1">IFERROR(__xludf.DUMMYFUNCTION("""COMPUTED_VALUE"""),"NO")</f>
        <v>NO</v>
      </c>
      <c r="F81" s="20" t="str">
        <f ca="1">IFERROR(__xludf.DUMMYFUNCTION("""COMPUTED_VALUE"""),"ASUNTOS CONSTITUCIONALES, JUSTICIA Y ACUERDOS")</f>
        <v>ASUNTOS CONSTITUCIONALES, JUSTICIA Y ACUERDOS</v>
      </c>
      <c r="G81" s="20">
        <f ca="1">IFERROR(__xludf.DUMMYFUNCTION("""COMPUTED_VALUE"""),1)</f>
        <v>1</v>
      </c>
      <c r="H81" s="20">
        <f ca="1">IFERROR(__xludf.DUMMYFUNCTION("""COMPUTED_VALUE"""),1)</f>
        <v>1</v>
      </c>
      <c r="I81" s="20">
        <f ca="1">IFERROR(__xludf.DUMMYFUNCTION("""COMPUTED_VALUE"""),1)</f>
        <v>1</v>
      </c>
      <c r="J81" s="20" t="str">
        <f ca="1">IFERROR(__xludf.DUMMYFUNCTION("""COMPUTED_VALUE"""),"Resolución")</f>
        <v>Resolución</v>
      </c>
      <c r="K81" s="20">
        <f ca="1">IFERROR(__xludf.DUMMYFUNCTION("""COMPUTED_VALUE"""),30692)</f>
        <v>30692</v>
      </c>
      <c r="L81" s="20" t="str">
        <f ca="1">IFERROR(__xludf.DUMMYFUNCTION("""COMPUTED_VALUE"""),"Poder Legislativo Provincial")</f>
        <v>Poder Legislativo Provincial</v>
      </c>
      <c r="M81" s="20" t="str">
        <f ca="1">IFERROR(__xludf.DUMMYFUNCTION("""COMPUTED_VALUE"""),"Proyecto de Resolución 30692/R/20, modificando el artículo 2º de la Resolución R-3472/20 e incorporando como artículo 3º ter la “Comisión de Ambiente”.")</f>
        <v>Proyecto de Resolución 30692/R/20, modificando el artículo 2º de la Resolución R-3472/20 e incorporando como artículo 3º ter la “Comisión de Ambiente”.</v>
      </c>
      <c r="N81" s="20" t="str">
        <f ca="1">IFERROR(__xludf.DUMMYFUNCTION("""COMPUTED_VALUE"""),"SI")</f>
        <v>SI</v>
      </c>
      <c r="O81" s="20" t="str">
        <f ca="1">IFERROR(__xludf.DUMMYFUNCTION("""COMPUTED_VALUE"""),"NO")</f>
        <v>NO</v>
      </c>
      <c r="P81" s="20">
        <f ca="1">IFERROR(__xludf.DUMMYFUNCTION("""COMPUTED_VALUE"""),0)</f>
        <v>0</v>
      </c>
      <c r="Q81" s="113" t="str">
        <f ca="1">IFERROR(__xludf.DUMMYFUNCTION("""COMPUTED_VALUE"""),"https://gld.legislaturacba.gob.ar/_cdd/api/Documento/descargar?guid=7e4286e4-5279-4d11-ad45-32bea3a6ad34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v>
      </c>
      <c r="R81" s="113" t="str">
        <f ca="1">IFERROR(__xludf.DUMMYFUNCTION("""COMPUTED_VALUE"""),"https://www.youtube.com/watch?v=z5fsoDIIb_0")</f>
        <v>https://www.youtube.com/watch?v=z5fsoDIIb_0</v>
      </c>
      <c r="S81" s="113" t="str">
        <f ca="1">IFERROR(__xludf.DUMMYFUNCTION("""COMPUTED_VALUE"""),"https://gld.legislaturacba.gob.ar/Publics/Actas.aspx?id=P8ysM8CNC2k=")</f>
        <v>https://gld.legislaturacba.gob.ar/Publics/Actas.aspx?id=P8ysM8CNC2k=</v>
      </c>
      <c r="T81" s="99">
        <f t="shared" ca="1" si="0"/>
        <v>0</v>
      </c>
    </row>
    <row r="82" spans="1:20">
      <c r="A82" s="20">
        <f ca="1">IFERROR(__xludf.DUMMYFUNCTION("""COMPUTED_VALUE"""),81)</f>
        <v>81</v>
      </c>
      <c r="B82" s="20">
        <f ca="1">IFERROR(__xludf.DUMMYFUNCTION("""COMPUTED_VALUE"""),2020)</f>
        <v>2020</v>
      </c>
      <c r="C82" s="20" t="str">
        <f ca="1">IFERROR(__xludf.DUMMYFUNCTION("""COMPUTED_VALUE"""),"VIRTUAL")</f>
        <v>VIRTUAL</v>
      </c>
      <c r="D82" s="96">
        <f ca="1">IFERROR(__xludf.DUMMYFUNCTION("""COMPUTED_VALUE"""),44026)</f>
        <v>44026</v>
      </c>
      <c r="E82" s="20" t="str">
        <f ca="1">IFERROR(__xludf.DUMMYFUNCTION("""COMPUTED_VALUE"""),"NO")</f>
        <v>NO</v>
      </c>
      <c r="F82" s="20" t="str">
        <f ca="1">IFERROR(__xludf.DUMMYFUNCTION("""COMPUTED_VALUE"""),"MERCOSUR, COMERCIO INTERIOR Y EXTERIOR")</f>
        <v>MERCOSUR, COMERCIO INTERIOR Y EXTERIOR</v>
      </c>
      <c r="G82" s="20">
        <f ca="1">IFERROR(__xludf.DUMMYFUNCTION("""COMPUTED_VALUE"""),1)</f>
        <v>1</v>
      </c>
      <c r="H82" s="20">
        <f ca="1">IFERROR(__xludf.DUMMYFUNCTION("""COMPUTED_VALUE"""),1)</f>
        <v>1</v>
      </c>
      <c r="I82" s="20">
        <f ca="1">IFERROR(__xludf.DUMMYFUNCTION("""COMPUTED_VALUE"""),1)</f>
        <v>1</v>
      </c>
      <c r="J82" s="20" t="str">
        <f ca="1">IFERROR(__xludf.DUMMYFUNCTION("""COMPUTED_VALUE"""),"NC")</f>
        <v>NC</v>
      </c>
      <c r="K82" s="20" t="str">
        <f ca="1">IFERROR(__xludf.DUMMYFUNCTION("""COMPUTED_VALUE"""),"NA")</f>
        <v>NA</v>
      </c>
      <c r="L82" s="20" t="str">
        <f ca="1">IFERROR(__xludf.DUMMYFUNCTION("""COMPUTED_VALUE"""),"NA")</f>
        <v>NA</v>
      </c>
      <c r="M82" s="20" t="str">
        <f ca="1">IFERROR(__xludf.DUMMYFUNCTION("""COMPUTED_VALUE"""),"Anteproyecto de resolución modificatorio del Reglamento Interno de la Legislatura en relación al cambio de nombre de la Comisión y sus incumbencias.")</f>
        <v>Anteproyecto de resolución modificatorio del Reglamento Interno de la Legislatura en relación al cambio de nombre de la Comisión y sus incumbencias.</v>
      </c>
      <c r="N82" s="20" t="str">
        <f ca="1">IFERROR(__xludf.DUMMYFUNCTION("""COMPUTED_VALUE"""),"NA")</f>
        <v>NA</v>
      </c>
      <c r="O82" s="20" t="str">
        <f ca="1">IFERROR(__xludf.DUMMYFUNCTION("""COMPUTED_VALUE"""),"NO")</f>
        <v>NO</v>
      </c>
      <c r="P82" s="20">
        <f ca="1">IFERROR(__xludf.DUMMYFUNCTION("""COMPUTED_VALUE"""),0)</f>
        <v>0</v>
      </c>
      <c r="Q82" s="113" t="str">
        <f ca="1">IFERROR(__xludf.DUMMYFUNCTION("""COMPUTED_VALUE"""),"https://gld.legislaturacba.gob.ar/_cdd/api/Documento/descargar?guid=b261d949-f70d-4c70-9b7e-b622c912dd9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v>
      </c>
      <c r="R82" s="20" t="str">
        <f ca="1">IFERROR(__xludf.DUMMYFUNCTION("""COMPUTED_VALUE"""),"NA")</f>
        <v>NA</v>
      </c>
      <c r="S82" s="113" t="str">
        <f ca="1">IFERROR(__xludf.DUMMYFUNCTION("""COMPUTED_VALUE"""),"https://gld.legislaturacba.gob.ar/Publics/Actas.aspx?id=ehQB6nziyfc=")</f>
        <v>https://gld.legislaturacba.gob.ar/Publics/Actas.aspx?id=ehQB6nziyfc=</v>
      </c>
      <c r="T82" s="99">
        <f t="shared" ca="1" si="0"/>
        <v>0</v>
      </c>
    </row>
    <row r="83" spans="1:20">
      <c r="A83" s="20">
        <f ca="1">IFERROR(__xludf.DUMMYFUNCTION("""COMPUTED_VALUE"""),82)</f>
        <v>82</v>
      </c>
      <c r="B83" s="20">
        <f ca="1">IFERROR(__xludf.DUMMYFUNCTION("""COMPUTED_VALUE"""),2020)</f>
        <v>2020</v>
      </c>
      <c r="C83" s="20" t="str">
        <f ca="1">IFERROR(__xludf.DUMMYFUNCTION("""COMPUTED_VALUE"""),"VIRTUAL")</f>
        <v>VIRTUAL</v>
      </c>
      <c r="D83" s="96">
        <f ca="1">IFERROR(__xludf.DUMMYFUNCTION("""COMPUTED_VALUE"""),44027)</f>
        <v>44027</v>
      </c>
      <c r="E83" s="20" t="str">
        <f ca="1">IFERROR(__xludf.DUMMYFUNCTION("""COMPUTED_VALUE"""),"NO")</f>
        <v>NO</v>
      </c>
      <c r="F83" s="20" t="str">
        <f ca="1">IFERROR(__xludf.DUMMYFUNCTION("""COMPUTED_VALUE"""),"OBRAS PÚBLICAS, VIVIENDA Y COMUNICACIONES")</f>
        <v>OBRAS PÚBLICAS, VIVIENDA Y COMUNICACIONES</v>
      </c>
      <c r="G83" s="20">
        <f ca="1">IFERROR(__xludf.DUMMYFUNCTION("""COMPUTED_VALUE"""),1)</f>
        <v>1</v>
      </c>
      <c r="H83" s="20">
        <f ca="1">IFERROR(__xludf.DUMMYFUNCTION("""COMPUTED_VALUE"""),2)</f>
        <v>2</v>
      </c>
      <c r="I83" s="20">
        <f ca="1">IFERROR(__xludf.DUMMYFUNCTION("""COMPUTED_VALUE"""),1)</f>
        <v>1</v>
      </c>
      <c r="J83" s="20" t="str">
        <f ca="1">IFERROR(__xludf.DUMMYFUNCTION("""COMPUTED_VALUE"""),"Resolución")</f>
        <v>Resolución</v>
      </c>
      <c r="K83" s="20">
        <f ca="1">IFERROR(__xludf.DUMMYFUNCTION("""COMPUTED_VALUE"""),29952)</f>
        <v>29952</v>
      </c>
      <c r="L83" s="20" t="str">
        <f ca="1">IFERROR(__xludf.DUMMYFUNCTION("""COMPUTED_VALUE"""),"Poder Legislativo Provincial")</f>
        <v>Poder Legislativo Provincial</v>
      </c>
      <c r="M83" s="20" t="str">
        <f ca="1">IFERROR(__xludf.DUMMYFUNCTION("""COMPUTED_VALUE"""),"Proyecto de Resolución 29952/R/20, iniciado por el Bloque Encuentro Vecinal Córdoba, solicitando informe sobre la obra de recuperación del edificio para el CPC de Barrio Jardín Espinosa.")</f>
        <v>Proyecto de Resolución 29952/R/20, iniciado por el Bloque Encuentro Vecinal Córdoba, solicitando informe sobre la obra de recuperación del edificio para el CPC de Barrio Jardín Espinosa.</v>
      </c>
      <c r="N83" s="20" t="str">
        <f ca="1">IFERROR(__xludf.DUMMYFUNCTION("""COMPUTED_VALUE"""),"NO")</f>
        <v>NO</v>
      </c>
      <c r="O83" s="20" t="str">
        <f ca="1">IFERROR(__xludf.DUMMYFUNCTION("""COMPUTED_VALUE"""),"SI")</f>
        <v>SI</v>
      </c>
      <c r="P83" s="20">
        <f ca="1">IFERROR(__xludf.DUMMYFUNCTION("""COMPUTED_VALUE"""),2)</f>
        <v>2</v>
      </c>
      <c r="Q83" s="113" t="str">
        <f ca="1">IFERROR(__xludf.DUMMYFUNCTION("""COMPUTED_VALUE"""),"https://gld.legislaturacba.gob.ar/_cdd/api/Documento/descargar?guid=5e059bb9-c746-4284-9f1e-f240f2ca1bb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v>
      </c>
      <c r="R83" s="113" t="str">
        <f ca="1">IFERROR(__xludf.DUMMYFUNCTION("""COMPUTED_VALUE"""),"https://www.youtube.com/watch?v=RO4SqDiLWFk")</f>
        <v>https://www.youtube.com/watch?v=RO4SqDiLWFk</v>
      </c>
      <c r="S83" s="113" t="str">
        <f ca="1">IFERROR(__xludf.DUMMYFUNCTION("""COMPUTED_VALUE"""),"https://gld.legislaturacba.gob.ar/Publics/Actas.aspx?id=r-Vt3cIYRKs=")</f>
        <v>https://gld.legislaturacba.gob.ar/Publics/Actas.aspx?id=r-Vt3cIYRKs=</v>
      </c>
      <c r="T83" s="99">
        <f t="shared" ca="1" si="0"/>
        <v>0</v>
      </c>
    </row>
    <row r="84" spans="1:20">
      <c r="A84" s="20">
        <f ca="1">IFERROR(__xludf.DUMMYFUNCTION("""COMPUTED_VALUE"""),83)</f>
        <v>83</v>
      </c>
      <c r="B84" s="20">
        <f ca="1">IFERROR(__xludf.DUMMYFUNCTION("""COMPUTED_VALUE"""),2020)</f>
        <v>2020</v>
      </c>
      <c r="C84" s="20" t="str">
        <f ca="1">IFERROR(__xludf.DUMMYFUNCTION("""COMPUTED_VALUE"""),"VIRTUAL")</f>
        <v>VIRTUAL</v>
      </c>
      <c r="D84" s="96">
        <f ca="1">IFERROR(__xludf.DUMMYFUNCTION("""COMPUTED_VALUE"""),44027)</f>
        <v>44027</v>
      </c>
      <c r="E84" s="20" t="str">
        <f ca="1">IFERROR(__xludf.DUMMYFUNCTION("""COMPUTED_VALUE"""),"NO")</f>
        <v>NO</v>
      </c>
      <c r="F84" s="20" t="str">
        <f ca="1">IFERROR(__xludf.DUMMYFUNCTION("""COMPUTED_VALUE"""),"LEGISLACIÓN GENERAL")</f>
        <v>LEGISLACIÓN GENERAL</v>
      </c>
      <c r="G84" s="20">
        <f ca="1">IFERROR(__xludf.DUMMYFUNCTION("""COMPUTED_VALUE"""),1)</f>
        <v>1</v>
      </c>
      <c r="H84" s="20">
        <f ca="1">IFERROR(__xludf.DUMMYFUNCTION("""COMPUTED_VALUE"""),1)</f>
        <v>1</v>
      </c>
      <c r="I84" s="20">
        <f ca="1">IFERROR(__xludf.DUMMYFUNCTION("""COMPUTED_VALUE"""),1)</f>
        <v>1</v>
      </c>
      <c r="J84" s="20" t="str">
        <f ca="1">IFERROR(__xludf.DUMMYFUNCTION("""COMPUTED_VALUE"""),"Ley")</f>
        <v>Ley</v>
      </c>
      <c r="K84" s="20">
        <f ca="1">IFERROR(__xludf.DUMMYFUNCTION("""COMPUTED_VALUE"""),30578)</f>
        <v>30578</v>
      </c>
      <c r="L84" s="20" t="str">
        <f ca="1">IFERROR(__xludf.DUMMYFUNCTION("""COMPUTED_VALUE"""),"Poder Legislativo Provincial")</f>
        <v>Poder Legislativo Provincial</v>
      </c>
      <c r="M84" s="20" t="str">
        <f ca="1">IFERROR(__xludf.DUMMYFUNCTION("""COMPUTED_VALUE"""),"Ratificación del despacho del Proyecto de Ley Nº 30578/L/20, iniciado por los Leg. González, Rinaldi, Cid, Abraham y Lorenzo, modificando el texto del Título II y del Capítulo Único de la Ley 10326 -Código de Convivencia Ciudadana-.")</f>
        <v>Ratificación del despacho del Proyecto de Ley Nº 30578/L/20, iniciado por los Leg. González, Rinaldi, Cid, Abraham y Lorenzo, modificando el texto del Título II y del Capítulo Único de la Ley 10326 -Código de Convivencia Ciudadana-.</v>
      </c>
      <c r="N84" s="20" t="str">
        <f ca="1">IFERROR(__xludf.DUMMYFUNCTION("""COMPUTED_VALUE"""),"SI")</f>
        <v>SI</v>
      </c>
      <c r="O84" s="20" t="str">
        <f ca="1">IFERROR(__xludf.DUMMYFUNCTION("""COMPUTED_VALUE"""),"NO")</f>
        <v>NO</v>
      </c>
      <c r="P84" s="20">
        <f ca="1">IFERROR(__xludf.DUMMYFUNCTION("""COMPUTED_VALUE"""),0)</f>
        <v>0</v>
      </c>
      <c r="Q84" s="113" t="str">
        <f ca="1">IFERROR(__xludf.DUMMYFUNCTION("""COMPUTED_VALUE"""),"https://gld.legislaturacba.gob.ar/_cdd/api/Documento/descargar?guid=edeec249-4f33-4e2d-9a18-42d9200dd039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v>
      </c>
      <c r="R84" s="113" t="str">
        <f ca="1">IFERROR(__xludf.DUMMYFUNCTION("""COMPUTED_VALUE"""),"https://www.youtube.com/watch?v=KhyBGPJ-5rw")</f>
        <v>https://www.youtube.com/watch?v=KhyBGPJ-5rw</v>
      </c>
      <c r="S84" s="113" t="str">
        <f ca="1">IFERROR(__xludf.DUMMYFUNCTION("""COMPUTED_VALUE"""),"https://gld.legislaturacba.gob.ar/Publics/Actas.aspx?id=3D54FEXKeEk=")</f>
        <v>https://gld.legislaturacba.gob.ar/Publics/Actas.aspx?id=3D54FEXKeEk=</v>
      </c>
      <c r="T84" s="99">
        <f t="shared" ca="1" si="0"/>
        <v>0</v>
      </c>
    </row>
    <row r="85" spans="1:20">
      <c r="A85" s="20">
        <f ca="1">IFERROR(__xludf.DUMMYFUNCTION("""COMPUTED_VALUE"""),84)</f>
        <v>84</v>
      </c>
      <c r="B85" s="20">
        <f ca="1">IFERROR(__xludf.DUMMYFUNCTION("""COMPUTED_VALUE"""),2020)</f>
        <v>2020</v>
      </c>
      <c r="C85" s="20" t="str">
        <f ca="1">IFERROR(__xludf.DUMMYFUNCTION("""COMPUTED_VALUE"""),"VIRTUAL")</f>
        <v>VIRTUAL</v>
      </c>
      <c r="D85" s="96">
        <f ca="1">IFERROR(__xludf.DUMMYFUNCTION("""COMPUTED_VALUE"""),44028)</f>
        <v>44028</v>
      </c>
      <c r="E85" s="20" t="str">
        <f ca="1">IFERROR(__xludf.DUMMYFUNCTION("""COMPUTED_VALUE"""),"SI")</f>
        <v>SI</v>
      </c>
      <c r="F85" s="20" t="str">
        <f ca="1">IFERROR(__xludf.DUMMYFUNCTION("""COMPUTED_VALUE"""),"INDUSTRIA Y MINERÍA;PROMOCIÓN Y DESARROLLO DE ECONOMÍAS REGIONALES Y PYMES;ECONOMÍA, PRESUPUESTO, GESTIÓN PÚBLICA E INNOVACIÓN")</f>
        <v>INDUSTRIA Y MINERÍA;PROMOCIÓN Y DESARROLLO DE ECONOMÍAS REGIONALES Y PYMES;ECONOMÍA, PRESUPUESTO, GESTIÓN PÚBLICA E INNOVACIÓN</v>
      </c>
      <c r="G85" s="20">
        <f ca="1">IFERROR(__xludf.DUMMYFUNCTION("""COMPUTED_VALUE"""),3)</f>
        <v>3</v>
      </c>
      <c r="H85" s="20">
        <f ca="1">IFERROR(__xludf.DUMMYFUNCTION("""COMPUTED_VALUE"""),1)</f>
        <v>1</v>
      </c>
      <c r="I85" s="20">
        <f ca="1">IFERROR(__xludf.DUMMYFUNCTION("""COMPUTED_VALUE"""),1)</f>
        <v>1</v>
      </c>
      <c r="J85" s="20" t="str">
        <f ca="1">IFERROR(__xludf.DUMMYFUNCTION("""COMPUTED_VALUE"""),"Ley")</f>
        <v>Ley</v>
      </c>
      <c r="K85" s="20">
        <f ca="1">IFERROR(__xludf.DUMMYFUNCTION("""COMPUTED_VALUE"""),30700)</f>
        <v>30700</v>
      </c>
      <c r="L85" s="20" t="str">
        <f ca="1">IFERROR(__xludf.DUMMYFUNCTION("""COMPUTED_VALUE"""),"Poder Legislativo Provincial")</f>
        <v>Poder Legislativo Provincial</v>
      </c>
      <c r="M85" s="20" t="str">
        <f ca="1">IFERROR(__xludf.DUMMYFUNCTION("""COMPUTED_VALUE"""),"Proyecto de Ley Nº 30700/L/20, iniciado por el Leg. Arduh, sustituyendo el Art. 19 de la Ley de Parques Industriales Nº 7255 aplicando la exención directa de Ingresos Brutos, Impuesto Inmobiliario e Impuestos a los Sellos por el término de cinco años a to"&amp;"das las industrias y empresas que se radiquen en un Parque Industrial.")</f>
        <v>Proyecto de Ley Nº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v>
      </c>
      <c r="N85" s="20" t="str">
        <f ca="1">IFERROR(__xludf.DUMMYFUNCTION("""COMPUTED_VALUE"""),"NO")</f>
        <v>NO</v>
      </c>
      <c r="O85" s="20" t="str">
        <f ca="1">IFERROR(__xludf.DUMMYFUNCTION("""COMPUTED_VALUE"""),"NO")</f>
        <v>NO</v>
      </c>
      <c r="P85" s="20">
        <f ca="1">IFERROR(__xludf.DUMMYFUNCTION("""COMPUTED_VALUE"""),0)</f>
        <v>0</v>
      </c>
      <c r="Q85" s="113" t="str">
        <f ca="1">IFERROR(__xludf.DUMMYFUNCTION("""COMPUTED_VALUE"""),"https://gld.legislaturacba.gob.ar/_cdd/api/Documento/descargar?guid=98e74c6e-0035-4781-8342-59b7f5be698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v>
      </c>
      <c r="R85" s="113" t="str">
        <f ca="1">IFERROR(__xludf.DUMMYFUNCTION("""COMPUTED_VALUE"""),"https://www.youtube.com/watch?v=hNgiqMOTMf8")</f>
        <v>https://www.youtube.com/watch?v=hNgiqMOTMf8</v>
      </c>
      <c r="S85" s="113" t="str">
        <f ca="1">IFERROR(__xludf.DUMMYFUNCTION("""COMPUTED_VALUE"""),"https://gld.legislaturacba.gob.ar/Publics/Actas.aspx?id=8apxt34HXbU=;https://gld.legislaturacba.gob.ar/Publics/Actas.aspx?id=VQEFHVyx92o=;https://gld.legislaturacba.gob.ar/Publics/Actas.aspx?id=k7EAn1D5Vuo=")</f>
        <v>https://gld.legislaturacba.gob.ar/Publics/Actas.aspx?id=8apxt34HXbU=;https://gld.legislaturacba.gob.ar/Publics/Actas.aspx?id=VQEFHVyx92o=;https://gld.legislaturacba.gob.ar/Publics/Actas.aspx?id=k7EAn1D5Vuo=</v>
      </c>
      <c r="T85" s="99">
        <f t="shared" ca="1" si="0"/>
        <v>0</v>
      </c>
    </row>
    <row r="86" spans="1:20">
      <c r="A86" s="20">
        <f ca="1">IFERROR(__xludf.DUMMYFUNCTION("""COMPUTED_VALUE"""),85)</f>
        <v>85</v>
      </c>
      <c r="B86" s="20">
        <f ca="1">IFERROR(__xludf.DUMMYFUNCTION("""COMPUTED_VALUE"""),2020)</f>
        <v>2020</v>
      </c>
      <c r="C86" s="20" t="str">
        <f ca="1">IFERROR(__xludf.DUMMYFUNCTION("""COMPUTED_VALUE"""),"VIRTUAL")</f>
        <v>VIRTUAL</v>
      </c>
      <c r="D86" s="96">
        <f ca="1">IFERROR(__xludf.DUMMYFUNCTION("""COMPUTED_VALUE"""),44033)</f>
        <v>44033</v>
      </c>
      <c r="E86" s="20" t="str">
        <f ca="1">IFERROR(__xludf.DUMMYFUNCTION("""COMPUTED_VALUE"""),"NO")</f>
        <v>NO</v>
      </c>
      <c r="F86" s="20" t="str">
        <f ca="1">IFERROR(__xludf.DUMMYFUNCTION("""COMPUTED_VALUE"""),"AGRICULTURA, GANADERÍA Y RECURSOS RENOVABLES")</f>
        <v>AGRICULTURA, GANADERÍA Y RECURSOS RENOVABLES</v>
      </c>
      <c r="G86" s="20">
        <f ca="1">IFERROR(__xludf.DUMMYFUNCTION("""COMPUTED_VALUE"""),1)</f>
        <v>1</v>
      </c>
      <c r="H86" s="20">
        <f ca="1">IFERROR(__xludf.DUMMYFUNCTION("""COMPUTED_VALUE"""),1)</f>
        <v>1</v>
      </c>
      <c r="I86" s="20">
        <f ca="1">IFERROR(__xludf.DUMMYFUNCTION("""COMPUTED_VALUE"""),1)</f>
        <v>1</v>
      </c>
      <c r="J86" s="20" t="str">
        <f ca="1">IFERROR(__xludf.DUMMYFUNCTION("""COMPUTED_VALUE"""),"NC")</f>
        <v>NC</v>
      </c>
      <c r="K86" s="20" t="str">
        <f ca="1">IFERROR(__xludf.DUMMYFUNCTION("""COMPUTED_VALUE"""),"NA")</f>
        <v>NA</v>
      </c>
      <c r="L86" s="20" t="str">
        <f ca="1">IFERROR(__xludf.DUMMYFUNCTION("""COMPUTED_VALUE"""),"NA")</f>
        <v>NA</v>
      </c>
      <c r="M86" s="20" t="str">
        <f ca="1">IFERROR(__xludf.DUMMYFUNCTION("""COMPUTED_VALUE"""),"Programa de Buenas Prácticas Agropecuarias.")</f>
        <v>Programa de Buenas Prácticas Agropecuarias.</v>
      </c>
      <c r="N86" s="20" t="str">
        <f ca="1">IFERROR(__xludf.DUMMYFUNCTION("""COMPUTED_VALUE"""),"NA")</f>
        <v>NA</v>
      </c>
      <c r="O86" s="20" t="str">
        <f ca="1">IFERROR(__xludf.DUMMYFUNCTION("""COMPUTED_VALUE"""),"SI")</f>
        <v>SI</v>
      </c>
      <c r="P86" s="20">
        <f ca="1">IFERROR(__xludf.DUMMYFUNCTION("""COMPUTED_VALUE"""),1)</f>
        <v>1</v>
      </c>
      <c r="Q86" s="113" t="str">
        <f ca="1">IFERROR(__xludf.DUMMYFUNCTION("""COMPUTED_VALUE"""),"https://gld.legislaturacba.gob.ar/_cdd/api/Documento/descargar?guid=d234fbe8-8f64-4af4-a628-0b1f48703799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v>
      </c>
      <c r="R86" s="113" t="str">
        <f ca="1">IFERROR(__xludf.DUMMYFUNCTION("""COMPUTED_VALUE"""),"https://www.youtube.com/watch?v=5wLEIV3c9Zw")</f>
        <v>https://www.youtube.com/watch?v=5wLEIV3c9Zw</v>
      </c>
      <c r="S86" s="113" t="str">
        <f ca="1">IFERROR(__xludf.DUMMYFUNCTION("""COMPUTED_VALUE"""),"https://gld.legislaturacba.gob.ar/Publics/Actas.aspx?id=PbdH3VBZK-4=")</f>
        <v>https://gld.legislaturacba.gob.ar/Publics/Actas.aspx?id=PbdH3VBZK-4=</v>
      </c>
      <c r="T86" s="99">
        <f t="shared" ca="1" si="0"/>
        <v>0</v>
      </c>
    </row>
    <row r="87" spans="1:20">
      <c r="A87" s="20">
        <f ca="1">IFERROR(__xludf.DUMMYFUNCTION("""COMPUTED_VALUE"""),86)</f>
        <v>86</v>
      </c>
      <c r="B87" s="20">
        <f ca="1">IFERROR(__xludf.DUMMYFUNCTION("""COMPUTED_VALUE"""),2020)</f>
        <v>2020</v>
      </c>
      <c r="C87" s="20" t="str">
        <f ca="1">IFERROR(__xludf.DUMMYFUNCTION("""COMPUTED_VALUE"""),"VIRTUAL")</f>
        <v>VIRTUAL</v>
      </c>
      <c r="D87" s="96">
        <f ca="1">IFERROR(__xludf.DUMMYFUNCTION("""COMPUTED_VALUE"""),44033)</f>
        <v>44033</v>
      </c>
      <c r="E87" s="20" t="str">
        <f ca="1">IFERROR(__xludf.DUMMYFUNCTION("""COMPUTED_VALUE"""),"NO")</f>
        <v>NO</v>
      </c>
      <c r="F87" s="20" t="str">
        <f ca="1">IFERROR(__xludf.DUMMYFUNCTION("""COMPUTED_VALUE"""),"EQUIDAD Y LUCHA CONTRA LA VIOLENCIA DE GÉNERO")</f>
        <v>EQUIDAD Y LUCHA CONTRA LA VIOLENCIA DE GÉNERO</v>
      </c>
      <c r="G87" s="20">
        <f ca="1">IFERROR(__xludf.DUMMYFUNCTION("""COMPUTED_VALUE"""),1)</f>
        <v>1</v>
      </c>
      <c r="H87" s="20">
        <f ca="1">IFERROR(__xludf.DUMMYFUNCTION("""COMPUTED_VALUE"""),1)</f>
        <v>1</v>
      </c>
      <c r="I87" s="20">
        <f ca="1">IFERROR(__xludf.DUMMYFUNCTION("""COMPUTED_VALUE"""),1)</f>
        <v>1</v>
      </c>
      <c r="J87" s="20" t="str">
        <f ca="1">IFERROR(__xludf.DUMMYFUNCTION("""COMPUTED_VALUE"""),"NC")</f>
        <v>NC</v>
      </c>
      <c r="K87" s="20" t="str">
        <f ca="1">IFERROR(__xludf.DUMMYFUNCTION("""COMPUTED_VALUE"""),"NA")</f>
        <v>NA</v>
      </c>
      <c r="L87" s="20" t="str">
        <f ca="1">IFERROR(__xludf.DUMMYFUNCTION("""COMPUTED_VALUE"""),"NA")</f>
        <v>NA</v>
      </c>
      <c r="M87" s="20" t="str">
        <f ca="1">IFERROR(__xludf.DUMMYFUNCTION("""COMPUTED_VALUE"""),"La brecha tecnológica en cuestiones de género.")</f>
        <v>La brecha tecnológica en cuestiones de género.</v>
      </c>
      <c r="N87" s="20" t="str">
        <f ca="1">IFERROR(__xludf.DUMMYFUNCTION("""COMPUTED_VALUE"""),"NA")</f>
        <v>NA</v>
      </c>
      <c r="O87" s="20" t="str">
        <f ca="1">IFERROR(__xludf.DUMMYFUNCTION("""COMPUTED_VALUE"""),"SI")</f>
        <v>SI</v>
      </c>
      <c r="P87" s="20">
        <f ca="1">IFERROR(__xludf.DUMMYFUNCTION("""COMPUTED_VALUE"""),2)</f>
        <v>2</v>
      </c>
      <c r="Q87" s="113" t="str">
        <f ca="1">IFERROR(__xludf.DUMMYFUNCTION("""COMPUTED_VALUE"""),"https://gld.legislaturacba.gob.ar/_cdd/api/Documento/descargar?guid=b1afab96-7a3d-4216-aeb3-edf432cd02a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v>
      </c>
      <c r="R87" s="20" t="str">
        <f ca="1">IFERROR(__xludf.DUMMYFUNCTION("""COMPUTED_VALUE"""),"NA")</f>
        <v>NA</v>
      </c>
      <c r="S87" s="113" t="str">
        <f ca="1">IFERROR(__xludf.DUMMYFUNCTION("""COMPUTED_VALUE"""),"https://gld.legislaturacba.gob.ar/Publics/Actas.aspx?id=d9DGmDMyAOU=")</f>
        <v>https://gld.legislaturacba.gob.ar/Publics/Actas.aspx?id=d9DGmDMyAOU=</v>
      </c>
      <c r="T87" s="99">
        <f t="shared" ca="1" si="0"/>
        <v>0</v>
      </c>
    </row>
    <row r="88" spans="1:20">
      <c r="A88" s="20">
        <f ca="1">IFERROR(__xludf.DUMMYFUNCTION("""COMPUTED_VALUE"""),87)</f>
        <v>87</v>
      </c>
      <c r="B88" s="20">
        <f ca="1">IFERROR(__xludf.DUMMYFUNCTION("""COMPUTED_VALUE"""),2020)</f>
        <v>2020</v>
      </c>
      <c r="C88" s="20" t="str">
        <f ca="1">IFERROR(__xludf.DUMMYFUNCTION("""COMPUTED_VALUE"""),"VIRTUAL")</f>
        <v>VIRTUAL</v>
      </c>
      <c r="D88" s="96">
        <f ca="1">IFERROR(__xludf.DUMMYFUNCTION("""COMPUTED_VALUE"""),44033)</f>
        <v>44033</v>
      </c>
      <c r="E88" s="20" t="str">
        <f ca="1">IFERROR(__xludf.DUMMYFUNCTION("""COMPUTED_VALUE"""),"SI")</f>
        <v>SI</v>
      </c>
      <c r="F88" s="20" t="str">
        <f ca="1">IFERROR(__xludf.DUMMYFUNCTION("""COMPUTED_VALUE"""),"ASUNTOS CONSTITUCIONALES, JUSTICIA Y ACUERDOS;LEGISLACIÓN GENERAL")</f>
        <v>ASUNTOS CONSTITUCIONALES, JUSTICIA Y ACUERDOS;LEGISLACIÓN GENERAL</v>
      </c>
      <c r="G88" s="20">
        <f ca="1">IFERROR(__xludf.DUMMYFUNCTION("""COMPUTED_VALUE"""),2)</f>
        <v>2</v>
      </c>
      <c r="H88" s="20">
        <f ca="1">IFERROR(__xludf.DUMMYFUNCTION("""COMPUTED_VALUE"""),1)</f>
        <v>1</v>
      </c>
      <c r="I88" s="20">
        <f ca="1">IFERROR(__xludf.DUMMYFUNCTION("""COMPUTED_VALUE"""),1)</f>
        <v>1</v>
      </c>
      <c r="J88" s="20" t="str">
        <f ca="1">IFERROR(__xludf.DUMMYFUNCTION("""COMPUTED_VALUE"""),"Ley")</f>
        <v>Ley</v>
      </c>
      <c r="K88" s="20">
        <f ca="1">IFERROR(__xludf.DUMMYFUNCTION("""COMPUTED_VALUE"""),30698)</f>
        <v>30698</v>
      </c>
      <c r="L88" s="20" t="str">
        <f ca="1">IFERROR(__xludf.DUMMYFUNCTION("""COMPUTED_VALUE"""),"Poder Legislativo Provincial")</f>
        <v>Poder Legislativo Provincial</v>
      </c>
      <c r="M88" s="20" t="str">
        <f ca="1">IFERROR(__xludf.DUMMYFUNCTION("""COMPUTED_VALUE"""),"Proyecto de Ley Nº 30698/L/20, iniciado por los Legisladores Ambrosio y Paleo, modificando el Código Arancelario para Abogados y Procuradores de la Provincia de Córdoba -Ley Nº 9459-.")</f>
        <v>Proyecto de Ley Nº 30698/L/20, iniciado por los Legisladores Ambrosio y Paleo, modificando el Código Arancelario para Abogados y Procuradores de la Provincia de Córdoba -Ley Nº 9459-.</v>
      </c>
      <c r="N88" s="20" t="str">
        <f ca="1">IFERROR(__xludf.DUMMYFUNCTION("""COMPUTED_VALUE"""),"NO")</f>
        <v>NO</v>
      </c>
      <c r="O88" s="20" t="str">
        <f ca="1">IFERROR(__xludf.DUMMYFUNCTION("""COMPUTED_VALUE"""),"NO")</f>
        <v>NO</v>
      </c>
      <c r="P88" s="20">
        <f ca="1">IFERROR(__xludf.DUMMYFUNCTION("""COMPUTED_VALUE"""),0)</f>
        <v>0</v>
      </c>
      <c r="Q88" s="113" t="str">
        <f ca="1">IFERROR(__xludf.DUMMYFUNCTION("""COMPUTED_VALUE"""),"https://gld.legislaturacba.gob.ar/_cdd/api/Documento/descargar?guid=1dd10a14-7e10-455c-850b-c459b4191df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v>
      </c>
      <c r="R88" s="113" t="str">
        <f ca="1">IFERROR(__xludf.DUMMYFUNCTION("""COMPUTED_VALUE"""),"https://www.youtube.com/watch?v=T-kVdu39kVM")</f>
        <v>https://www.youtube.com/watch?v=T-kVdu39kVM</v>
      </c>
      <c r="S88" s="113" t="str">
        <f ca="1">IFERROR(__xludf.DUMMYFUNCTION("""COMPUTED_VALUE"""),"https://gld.legislaturacba.gob.ar/Publics/Actas.aspx?id=GQa6vMgcktE=;https://gld.legislaturacba.gob.ar/Publics/Actas.aspx?id=rhxtfSFoqEg=")</f>
        <v>https://gld.legislaturacba.gob.ar/Publics/Actas.aspx?id=GQa6vMgcktE=;https://gld.legislaturacba.gob.ar/Publics/Actas.aspx?id=rhxtfSFoqEg=</v>
      </c>
      <c r="T88" s="99">
        <f t="shared" ca="1" si="0"/>
        <v>0</v>
      </c>
    </row>
    <row r="89" spans="1:20">
      <c r="A89" s="20">
        <f ca="1">IFERROR(__xludf.DUMMYFUNCTION("""COMPUTED_VALUE"""),88)</f>
        <v>88</v>
      </c>
      <c r="B89" s="20">
        <f ca="1">IFERROR(__xludf.DUMMYFUNCTION("""COMPUTED_VALUE"""),2020)</f>
        <v>2020</v>
      </c>
      <c r="C89" s="20" t="str">
        <f ca="1">IFERROR(__xludf.DUMMYFUNCTION("""COMPUTED_VALUE"""),"VIRTUAL")</f>
        <v>VIRTUAL</v>
      </c>
      <c r="D89" s="96">
        <f ca="1">IFERROR(__xludf.DUMMYFUNCTION("""COMPUTED_VALUE"""),44035)</f>
        <v>44035</v>
      </c>
      <c r="E89" s="20" t="str">
        <f ca="1">IFERROR(__xludf.DUMMYFUNCTION("""COMPUTED_VALUE"""),"NO")</f>
        <v>NO</v>
      </c>
      <c r="F89" s="20" t="str">
        <f ca="1">IFERROR(__xludf.DUMMYFUNCTION("""COMPUTED_VALUE"""),"ECONOMÍA, PRESUPUESTO, GESTIÓN PÚBLICA E INNOVACIÓN")</f>
        <v>ECONOMÍA, PRESUPUESTO, GESTIÓN PÚBLICA E INNOVACIÓN</v>
      </c>
      <c r="G89" s="20">
        <f ca="1">IFERROR(__xludf.DUMMYFUNCTION("""COMPUTED_VALUE"""),1)</f>
        <v>1</v>
      </c>
      <c r="H89" s="20">
        <f ca="1">IFERROR(__xludf.DUMMYFUNCTION("""COMPUTED_VALUE"""),5)</f>
        <v>5</v>
      </c>
      <c r="I89" s="20">
        <f ca="1">IFERROR(__xludf.DUMMYFUNCTION("""COMPUTED_VALUE"""),1)</f>
        <v>1</v>
      </c>
      <c r="J89" s="20" t="str">
        <f ca="1">IFERROR(__xludf.DUMMYFUNCTION("""COMPUTED_VALUE"""),"Resolución")</f>
        <v>Resolución</v>
      </c>
      <c r="K89" s="20">
        <f ca="1">IFERROR(__xludf.DUMMYFUNCTION("""COMPUTED_VALUE"""),29955)</f>
        <v>29955</v>
      </c>
      <c r="L89" s="20" t="str">
        <f ca="1">IFERROR(__xludf.DUMMYFUNCTION("""COMPUTED_VALUE"""),"Poder Legislativo Provincial")</f>
        <v>Poder Legislativo Provincial</v>
      </c>
      <c r="M89" s="20" t="str">
        <f ca="1">IFERROR(__xludf.DUMMYFUNCTION("""COMPUTED_VALUE"""),"Proyecto de Resolución 29955/R/20 SOLICITANDO AL PODER EJECUTIVO INFORME (ART. 102 CP) SOBRE EL ESTADO DE LA DEUDA DE LA PROVINCIA.")</f>
        <v>Proyecto de Resolución 29955/R/20 SOLICITANDO AL PODER EJECUTIVO INFORME (ART. 102 CP) SOBRE EL ESTADO DE LA DEUDA DE LA PROVINCIA.</v>
      </c>
      <c r="N89" s="20" t="str">
        <f ca="1">IFERROR(__xludf.DUMMYFUNCTION("""COMPUTED_VALUE"""),"NO")</f>
        <v>NO</v>
      </c>
      <c r="O89" s="20" t="str">
        <f ca="1">IFERROR(__xludf.DUMMYFUNCTION("""COMPUTED_VALUE"""),"NO")</f>
        <v>NO</v>
      </c>
      <c r="P89" s="20">
        <f ca="1">IFERROR(__xludf.DUMMYFUNCTION("""COMPUTED_VALUE"""),0)</f>
        <v>0</v>
      </c>
      <c r="Q89" s="113" t="str">
        <f ca="1">IFERROR(__xludf.DUMMYFUNCTION("""COMPUTED_VALUE"""),"https://gld.legislaturacba.gob.ar/_cdd/api/Documento/descargar?guid=a2ea2c2c-6608-44be-8631-20f3bfb2be64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v>
      </c>
      <c r="R89" s="113" t="str">
        <f ca="1">IFERROR(__xludf.DUMMYFUNCTION("""COMPUTED_VALUE"""),"https://www.youtube.com/watch?v=l3hml7StaKU")</f>
        <v>https://www.youtube.com/watch?v=l3hml7StaKU</v>
      </c>
      <c r="S89" s="113" t="str">
        <f ca="1">IFERROR(__xludf.DUMMYFUNCTION("""COMPUTED_VALUE"""),"https://gld.legislaturacba.gob.ar/Publics/Actas.aspx?id=5dOvOWXhWSw=")</f>
        <v>https://gld.legislaturacba.gob.ar/Publics/Actas.aspx?id=5dOvOWXhWSw=</v>
      </c>
      <c r="T89" s="99">
        <f t="shared" ca="1" si="0"/>
        <v>0</v>
      </c>
    </row>
    <row r="90" spans="1:20">
      <c r="A90" s="20">
        <f ca="1">IFERROR(__xludf.DUMMYFUNCTION("""COMPUTED_VALUE"""),89)</f>
        <v>89</v>
      </c>
      <c r="B90" s="20">
        <f ca="1">IFERROR(__xludf.DUMMYFUNCTION("""COMPUTED_VALUE"""),2020)</f>
        <v>2020</v>
      </c>
      <c r="C90" s="20" t="str">
        <f ca="1">IFERROR(__xludf.DUMMYFUNCTION("""COMPUTED_VALUE"""),"VIRTUAL")</f>
        <v>VIRTUAL</v>
      </c>
      <c r="D90" s="96">
        <f ca="1">IFERROR(__xludf.DUMMYFUNCTION("""COMPUTED_VALUE"""),44035)</f>
        <v>44035</v>
      </c>
      <c r="E90" s="20" t="str">
        <f ca="1">IFERROR(__xludf.DUMMYFUNCTION("""COMPUTED_VALUE"""),"SI")</f>
        <v>SI</v>
      </c>
      <c r="F90" s="20" t="str">
        <f ca="1">IFERROR(__xludf.DUMMYFUNCTION("""COMPUTED_VALUE"""),"PROMOCIÓN Y DEFENSA DE LOS DERECHOS DE LA NIÑEZ, ADOLESCENCIA Y FAMILIA;EDUCACIÓN, CULTURA, CIENCIA, TECNOLOGÍA E INFORMÁTICA")</f>
        <v>PROMOCIÓN Y DEFENSA DE LOS DERECHOS DE LA NIÑEZ, ADOLESCENCIA Y FAMILIA;EDUCACIÓN, CULTURA, CIENCIA, TECNOLOGÍA E INFORMÁTICA</v>
      </c>
      <c r="G90" s="20">
        <f ca="1">IFERROR(__xludf.DUMMYFUNCTION("""COMPUTED_VALUE"""),2)</f>
        <v>2</v>
      </c>
      <c r="H90" s="20">
        <f ca="1">IFERROR(__xludf.DUMMYFUNCTION("""COMPUTED_VALUE"""),1)</f>
        <v>1</v>
      </c>
      <c r="I90" s="20">
        <f ca="1">IFERROR(__xludf.DUMMYFUNCTION("""COMPUTED_VALUE"""),1)</f>
        <v>1</v>
      </c>
      <c r="J90" s="20" t="str">
        <f ca="1">IFERROR(__xludf.DUMMYFUNCTION("""COMPUTED_VALUE"""),"NC")</f>
        <v>NC</v>
      </c>
      <c r="K90" s="20" t="str">
        <f ca="1">IFERROR(__xludf.DUMMYFUNCTION("""COMPUTED_VALUE"""),"NA")</f>
        <v>NA</v>
      </c>
      <c r="L90" s="20" t="str">
        <f ca="1">IFERROR(__xludf.DUMMYFUNCTION("""COMPUTED_VALUE"""),"NA")</f>
        <v>NA</v>
      </c>
      <c r="M90" s="20" t="str">
        <f ca="1">IFERROR(__xludf.DUMMYFUNCTION("""COMPUTED_VALUE"""),"La situación de niños, niñas y adolescentes en el marco del aislamiento y su relación con el uso de las tecnologías.")</f>
        <v>La situación de niños, niñas y adolescentes en el marco del aislamiento y su relación con el uso de las tecnologías.</v>
      </c>
      <c r="N90" s="20" t="str">
        <f ca="1">IFERROR(__xludf.DUMMYFUNCTION("""COMPUTED_VALUE"""),"NA")</f>
        <v>NA</v>
      </c>
      <c r="O90" s="20" t="str">
        <f ca="1">IFERROR(__xludf.DUMMYFUNCTION("""COMPUTED_VALUE"""),"SI")</f>
        <v>SI</v>
      </c>
      <c r="P90" s="20">
        <f ca="1">IFERROR(__xludf.DUMMYFUNCTION("""COMPUTED_VALUE"""),1)</f>
        <v>1</v>
      </c>
      <c r="Q90" s="113" t="str">
        <f ca="1">IFERROR(__xludf.DUMMYFUNCTION("""COMPUTED_VALUE"""),"https://gld.legislaturacba.gob.ar/_cdd/api/Documento/descargar?guid=d5f5973e-5106-4472-aaee-e8f8e0771f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v>
      </c>
      <c r="R90" s="113" t="str">
        <f ca="1">IFERROR(__xludf.DUMMYFUNCTION("""COMPUTED_VALUE"""),"https://www.youtube.com/watch?v=XiuWk0lAs_E")</f>
        <v>https://www.youtube.com/watch?v=XiuWk0lAs_E</v>
      </c>
      <c r="S90" s="113" t="str">
        <f ca="1">IFERROR(__xludf.DUMMYFUNCTION("""COMPUTED_VALUE"""),"https://gld.legislaturacba.gob.ar/Publics/Actas.aspx?id=c0AQJcd4CUM=;https://gld.legislaturacba.gob.ar/Publics/Actas.aspx?id=ExNm1jSkjic=")</f>
        <v>https://gld.legislaturacba.gob.ar/Publics/Actas.aspx?id=c0AQJcd4CUM=;https://gld.legislaturacba.gob.ar/Publics/Actas.aspx?id=ExNm1jSkjic=</v>
      </c>
      <c r="T90" s="99">
        <f t="shared" ca="1" si="0"/>
        <v>0</v>
      </c>
    </row>
    <row r="91" spans="1:20">
      <c r="A91" s="20">
        <f ca="1">IFERROR(__xludf.DUMMYFUNCTION("""COMPUTED_VALUE"""),90)</f>
        <v>90</v>
      </c>
      <c r="B91" s="20">
        <f ca="1">IFERROR(__xludf.DUMMYFUNCTION("""COMPUTED_VALUE"""),2020)</f>
        <v>2020</v>
      </c>
      <c r="C91" s="20" t="str">
        <f ca="1">IFERROR(__xludf.DUMMYFUNCTION("""COMPUTED_VALUE"""),"VIRTUAL")</f>
        <v>VIRTUAL</v>
      </c>
      <c r="D91" s="96">
        <f ca="1">IFERROR(__xludf.DUMMYFUNCTION("""COMPUTED_VALUE"""),44035)</f>
        <v>44035</v>
      </c>
      <c r="E91" s="20" t="str">
        <f ca="1">IFERROR(__xludf.DUMMYFUNCTION("""COMPUTED_VALUE"""),"NO")</f>
        <v>NO</v>
      </c>
      <c r="F91" s="20" t="str">
        <f ca="1">IFERROR(__xludf.DUMMYFUNCTION("""COMPUTED_VALUE"""),"EDUCACIÓN, CULTURA, CIENCIA, TECNOLOGÍA E INFORMÁTICA")</f>
        <v>EDUCACIÓN, CULTURA, CIENCIA, TECNOLOGÍA E INFORMÁTICA</v>
      </c>
      <c r="G91" s="20">
        <f ca="1">IFERROR(__xludf.DUMMYFUNCTION("""COMPUTED_VALUE"""),1)</f>
        <v>1</v>
      </c>
      <c r="H91" s="20">
        <f ca="1">IFERROR(__xludf.DUMMYFUNCTION("""COMPUTED_VALUE"""),1)</f>
        <v>1</v>
      </c>
      <c r="I91" s="20">
        <f ca="1">IFERROR(__xludf.DUMMYFUNCTION("""COMPUTED_VALUE"""),1)</f>
        <v>1</v>
      </c>
      <c r="J91" s="20" t="str">
        <f ca="1">IFERROR(__xludf.DUMMYFUNCTION("""COMPUTED_VALUE"""),"Ley")</f>
        <v>Ley</v>
      </c>
      <c r="K91" s="20">
        <f ca="1">IFERROR(__xludf.DUMMYFUNCTION("""COMPUTED_VALUE"""),30747)</f>
        <v>30747</v>
      </c>
      <c r="L91" s="20" t="str">
        <f ca="1">IFERROR(__xludf.DUMMYFUNCTION("""COMPUTED_VALUE"""),"Poder Ejecutivo Provincial")</f>
        <v>Poder Ejecutivo Provincial</v>
      </c>
      <c r="M91" s="20" t="str">
        <f ca="1">IFERROR(__xludf.DUMMYFUNCTION("""COMPUTED_VALUE"""),"Proyecto de Ley 30747/L/20, iniciado por el Poder Ejecutivo, modificando el artículo 15 de la Ley Nº 9375, de creación de la Universidad Provincial de Córdoba, ampliando el plazo para llevar adelante el proceso de normalización.")</f>
        <v>Proyecto de Ley 30747/L/20, iniciado por el Poder Ejecutivo, modificando el artículo 15 de la Ley Nº 9375, de creación de la Universidad Provincial de Córdoba, ampliando el plazo para llevar adelante el proceso de normalización.</v>
      </c>
      <c r="N91" s="20" t="str">
        <f ca="1">IFERROR(__xludf.DUMMYFUNCTION("""COMPUTED_VALUE"""),"NO")</f>
        <v>NO</v>
      </c>
      <c r="O91" s="20" t="str">
        <f ca="1">IFERROR(__xludf.DUMMYFUNCTION("""COMPUTED_VALUE"""),"NO")</f>
        <v>NO</v>
      </c>
      <c r="P91" s="20">
        <f ca="1">IFERROR(__xludf.DUMMYFUNCTION("""COMPUTED_VALUE"""),0)</f>
        <v>0</v>
      </c>
      <c r="Q91" s="113" t="str">
        <f ca="1">IFERROR(__xludf.DUMMYFUNCTION("""COMPUTED_VALUE"""),"https://gld.legislaturacba.gob.ar/_cdd/api/Documento/descargar?guid=71f6ce79-f9ee-4fd9-9a0b-0c684fd5664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v>
      </c>
      <c r="R91" s="113" t="str">
        <f ca="1">IFERROR(__xludf.DUMMYFUNCTION("""COMPUTED_VALUE"""),"https://www.youtube.com/watch?v=XiuWk0lAs_E&amp;t=4460s")</f>
        <v>https://www.youtube.com/watch?v=XiuWk0lAs_E&amp;t=4460s</v>
      </c>
      <c r="S91" s="113" t="str">
        <f ca="1">IFERROR(__xludf.DUMMYFUNCTION("""COMPUTED_VALUE"""),"https://gld.legislaturacba.gob.ar/Publics/Actas.aspx?id=ExNm1jSkjic=")</f>
        <v>https://gld.legislaturacba.gob.ar/Publics/Actas.aspx?id=ExNm1jSkjic=</v>
      </c>
      <c r="T91" s="99">
        <f t="shared" ca="1" si="0"/>
        <v>0</v>
      </c>
    </row>
    <row r="92" spans="1:20">
      <c r="A92" s="20">
        <f ca="1">IFERROR(__xludf.DUMMYFUNCTION("""COMPUTED_VALUE"""),91)</f>
        <v>91</v>
      </c>
      <c r="B92" s="20">
        <f ca="1">IFERROR(__xludf.DUMMYFUNCTION("""COMPUTED_VALUE"""),2020)</f>
        <v>2020</v>
      </c>
      <c r="C92" s="20" t="str">
        <f ca="1">IFERROR(__xludf.DUMMYFUNCTION("""COMPUTED_VALUE"""),"VIRTUAL")</f>
        <v>VIRTUAL</v>
      </c>
      <c r="D92" s="96">
        <f ca="1">IFERROR(__xludf.DUMMYFUNCTION("""COMPUTED_VALUE"""),44040)</f>
        <v>44040</v>
      </c>
      <c r="E92" s="20" t="str">
        <f ca="1">IFERROR(__xludf.DUMMYFUNCTION("""COMPUTED_VALUE"""),"NO")</f>
        <v>NO</v>
      </c>
      <c r="F92" s="20" t="str">
        <f ca="1">IFERROR(__xludf.DUMMYFUNCTION("""COMPUTED_VALUE"""),"OBRAS PÚBLICAS, VIVIENDA Y COMUNICACIONES")</f>
        <v>OBRAS PÚBLICAS, VIVIENDA Y COMUNICACIONES</v>
      </c>
      <c r="G92" s="20">
        <f ca="1">IFERROR(__xludf.DUMMYFUNCTION("""COMPUTED_VALUE"""),1)</f>
        <v>1</v>
      </c>
      <c r="H92" s="20">
        <f ca="1">IFERROR(__xludf.DUMMYFUNCTION("""COMPUTED_VALUE"""),1)</f>
        <v>1</v>
      </c>
      <c r="I92" s="20">
        <f ca="1">IFERROR(__xludf.DUMMYFUNCTION("""COMPUTED_VALUE"""),1)</f>
        <v>1</v>
      </c>
      <c r="J92" s="20" t="str">
        <f ca="1">IFERROR(__xludf.DUMMYFUNCTION("""COMPUTED_VALUE"""),"Ley")</f>
        <v>Ley</v>
      </c>
      <c r="K92" s="20">
        <f ca="1">IFERROR(__xludf.DUMMYFUNCTION("""COMPUTED_VALUE"""),30746)</f>
        <v>30746</v>
      </c>
      <c r="L92" s="20" t="str">
        <f ca="1">IFERROR(__xludf.DUMMYFUNCTION("""COMPUTED_VALUE"""),"Poder Ejecutivo Provincial")</f>
        <v>Poder Ejecutivo Provincial</v>
      </c>
      <c r="M92" s="20" t="str">
        <f ca="1">IFERROR(__xludf.DUMMYFUNCTION("""COMPUTED_VALUE"""),"Proyecto de Ley 30746/L/20, remitido por el Poder Ejecutivo, declarando de utilidad pública y sujeto a expropiación para la ejecución de la obra: “Mejoramiento y rehabilitación vial e hidráulica de rutas provinciales A-104 - Camino a San Antonio”, los inm"&amp;"uebles necesarios para llevar a cabo la obra mencionada.")</f>
        <v>Proyecto de Ley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v>
      </c>
      <c r="N92" s="20" t="str">
        <f ca="1">IFERROR(__xludf.DUMMYFUNCTION("""COMPUTED_VALUE"""),"NO")</f>
        <v>NO</v>
      </c>
      <c r="O92" s="20" t="str">
        <f ca="1">IFERROR(__xludf.DUMMYFUNCTION("""COMPUTED_VALUE"""),"NO")</f>
        <v>NO</v>
      </c>
      <c r="P92" s="20">
        <f ca="1">IFERROR(__xludf.DUMMYFUNCTION("""COMPUTED_VALUE"""),0)</f>
        <v>0</v>
      </c>
      <c r="Q92" s="113" t="str">
        <f ca="1">IFERROR(__xludf.DUMMYFUNCTION("""COMPUTED_VALUE"""),"https://gld.legislaturacba.gob.ar/_cdd/api/Documento/descargar?guid=dd9cbac5-62b5-42c5-beca-65dcdbad6c57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v>
      </c>
      <c r="R92" s="20" t="str">
        <f ca="1">IFERROR(__xludf.DUMMYFUNCTION("""COMPUTED_VALUE"""),"NA")</f>
        <v>NA</v>
      </c>
      <c r="S92" s="113" t="str">
        <f ca="1">IFERROR(__xludf.DUMMYFUNCTION("""COMPUTED_VALUE"""),"https://gld.legislaturacba.gob.ar/Publics/Actas.aspx?id=GbG3M9A6i8s=")</f>
        <v>https://gld.legislaturacba.gob.ar/Publics/Actas.aspx?id=GbG3M9A6i8s=</v>
      </c>
      <c r="T92" s="99">
        <f t="shared" ca="1" si="0"/>
        <v>0</v>
      </c>
    </row>
    <row r="93" spans="1:20">
      <c r="A93" s="20">
        <f ca="1">IFERROR(__xludf.DUMMYFUNCTION("""COMPUTED_VALUE"""),92)</f>
        <v>92</v>
      </c>
      <c r="B93" s="20">
        <f ca="1">IFERROR(__xludf.DUMMYFUNCTION("""COMPUTED_VALUE"""),2020)</f>
        <v>2020</v>
      </c>
      <c r="C93" s="20" t="str">
        <f ca="1">IFERROR(__xludf.DUMMYFUNCTION("""COMPUTED_VALUE"""),"VIRTUAL")</f>
        <v>VIRTUAL</v>
      </c>
      <c r="D93" s="96">
        <f ca="1">IFERROR(__xludf.DUMMYFUNCTION("""COMPUTED_VALUE"""),44040)</f>
        <v>44040</v>
      </c>
      <c r="E93" s="20" t="str">
        <f ca="1">IFERROR(__xludf.DUMMYFUNCTION("""COMPUTED_VALUE"""),"SI")</f>
        <v>SI</v>
      </c>
      <c r="F93" s="20" t="str">
        <f ca="1">IFERROR(__xludf.DUMMYFUNCTION("""COMPUTED_VALUE"""),"ASUNTOS CONSTITUCIONALES, JUSTICIA Y ACUERDOS;LEGISLACIÓN GENERAL")</f>
        <v>ASUNTOS CONSTITUCIONALES, JUSTICIA Y ACUERDOS;LEGISLACIÓN GENERAL</v>
      </c>
      <c r="G93" s="20">
        <f ca="1">IFERROR(__xludf.DUMMYFUNCTION("""COMPUTED_VALUE"""),2)</f>
        <v>2</v>
      </c>
      <c r="H93" s="20">
        <f ca="1">IFERROR(__xludf.DUMMYFUNCTION("""COMPUTED_VALUE"""),1)</f>
        <v>1</v>
      </c>
      <c r="I93" s="20">
        <f ca="1">IFERROR(__xludf.DUMMYFUNCTION("""COMPUTED_VALUE"""),1)</f>
        <v>1</v>
      </c>
      <c r="J93" s="20" t="str">
        <f ca="1">IFERROR(__xludf.DUMMYFUNCTION("""COMPUTED_VALUE"""),"Ley")</f>
        <v>Ley</v>
      </c>
      <c r="K93" s="20">
        <f ca="1">IFERROR(__xludf.DUMMYFUNCTION("""COMPUTED_VALUE"""),30698)</f>
        <v>30698</v>
      </c>
      <c r="L93" s="20" t="str">
        <f ca="1">IFERROR(__xludf.DUMMYFUNCTION("""COMPUTED_VALUE"""),"Poder Legislativo Provincial")</f>
        <v>Poder Legislativo Provincial</v>
      </c>
      <c r="M93" s="20" t="str">
        <f ca="1">IFERROR(__xludf.DUMMYFUNCTION("""COMPUTED_VALUE"""),"Proyecto de Ley 30698/L/20, iniciado por los Legisladores Ambrosio y Paleo, modificando el Código Arancelario para Abogados y Procuradores de la Provincia de Córdoba -Ley Nº 9459-.")</f>
        <v>Proyecto de Ley 30698/L/20, iniciado por los Legisladores Ambrosio y Paleo, modificando el Código Arancelario para Abogados y Procuradores de la Provincia de Córdoba -Ley Nº 9459-.</v>
      </c>
      <c r="N93" s="20" t="str">
        <f ca="1">IFERROR(__xludf.DUMMYFUNCTION("""COMPUTED_VALUE"""),"NO")</f>
        <v>NO</v>
      </c>
      <c r="O93" s="20" t="str">
        <f ca="1">IFERROR(__xludf.DUMMYFUNCTION("""COMPUTED_VALUE"""),"SI")</f>
        <v>SI</v>
      </c>
      <c r="P93" s="20">
        <f ca="1">IFERROR(__xludf.DUMMYFUNCTION("""COMPUTED_VALUE"""),6)</f>
        <v>6</v>
      </c>
      <c r="Q93" s="113" t="str">
        <f ca="1">IFERROR(__xludf.DUMMYFUNCTION("""COMPUTED_VALUE"""),"https://gld.legislaturacba.gob.ar/_cdd/api/Documento/descargar?guid=79ea52aa-64da-4e35-8512-1db637cf9e09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v>
      </c>
      <c r="R93" s="113" t="str">
        <f ca="1">IFERROR(__xludf.DUMMYFUNCTION("""COMPUTED_VALUE"""),"https://www.youtube.com/watch?v=7kq6Wp9RyQ0")</f>
        <v>https://www.youtube.com/watch?v=7kq6Wp9RyQ0</v>
      </c>
      <c r="S93" s="113" t="str">
        <f ca="1">IFERROR(__xludf.DUMMYFUNCTION("""COMPUTED_VALUE"""),"https://gld.legislaturacba.gob.ar/Publics/Actas.aspx?id=5fQn2dkWBpk=;https://gld.legislaturacba.gob.ar/Publics/Actas.aspx?id=MxHm0Fyll8c=")</f>
        <v>https://gld.legislaturacba.gob.ar/Publics/Actas.aspx?id=5fQn2dkWBpk=;https://gld.legislaturacba.gob.ar/Publics/Actas.aspx?id=MxHm0Fyll8c=</v>
      </c>
      <c r="T93" s="99">
        <f t="shared" ca="1" si="0"/>
        <v>0</v>
      </c>
    </row>
    <row r="94" spans="1:20">
      <c r="A94" s="20">
        <f ca="1">IFERROR(__xludf.DUMMYFUNCTION("""COMPUTED_VALUE"""),93)</f>
        <v>93</v>
      </c>
      <c r="B94" s="20">
        <f ca="1">IFERROR(__xludf.DUMMYFUNCTION("""COMPUTED_VALUE"""),2020)</f>
        <v>2020</v>
      </c>
      <c r="C94" s="20" t="str">
        <f ca="1">IFERROR(__xludf.DUMMYFUNCTION("""COMPUTED_VALUE"""),"VIRTUAL")</f>
        <v>VIRTUAL</v>
      </c>
      <c r="D94" s="96">
        <f ca="1">IFERROR(__xludf.DUMMYFUNCTION("""COMPUTED_VALUE"""),44040)</f>
        <v>44040</v>
      </c>
      <c r="E94" s="20" t="str">
        <f ca="1">IFERROR(__xludf.DUMMYFUNCTION("""COMPUTED_VALUE"""),"NO")</f>
        <v>NO</v>
      </c>
      <c r="F94" s="20" t="str">
        <f ca="1">IFERROR(__xludf.DUMMYFUNCTION("""COMPUTED_VALUE"""),"ASUNTOS CONSTITUCIONALES, JUSTICIA Y ACUERDOS")</f>
        <v>ASUNTOS CONSTITUCIONALES, JUSTICIA Y ACUERDOS</v>
      </c>
      <c r="G94" s="20">
        <f ca="1">IFERROR(__xludf.DUMMYFUNCTION("""COMPUTED_VALUE"""),1)</f>
        <v>1</v>
      </c>
      <c r="H94" s="20">
        <f ca="1">IFERROR(__xludf.DUMMYFUNCTION("""COMPUTED_VALUE"""),1)</f>
        <v>1</v>
      </c>
      <c r="I94" s="20">
        <f ca="1">IFERROR(__xludf.DUMMYFUNCTION("""COMPUTED_VALUE"""),1)</f>
        <v>1</v>
      </c>
      <c r="J94" s="20" t="str">
        <f ca="1">IFERROR(__xludf.DUMMYFUNCTION("""COMPUTED_VALUE"""),"Resolución")</f>
        <v>Resolución</v>
      </c>
      <c r="K94" s="20">
        <f ca="1">IFERROR(__xludf.DUMMYFUNCTION("""COMPUTED_VALUE"""),30743)</f>
        <v>30743</v>
      </c>
      <c r="L94" s="20" t="str">
        <f ca="1">IFERROR(__xludf.DUMMYFUNCTION("""COMPUTED_VALUE"""),"Poder Legislativo Provincial")</f>
        <v>Poder Legislativo Provincial</v>
      </c>
      <c r="M94" s="20" t="str">
        <f ca="1">IFERROR(__xludf.DUMMYFUNCTION("""COMPUTED_VALUE"""),"Proyecto de Resolución 30743/R/20, iniciado por los legisladores Alesandri, Iturria, Latimori, Ramallo, Serrano, Ambrosio, Jure, Rossi y Marcone, modificando el artículo 77 del Reglamento Interno, el que quedará redactado de la siguiente manera: Comisión "&amp;"de Relaciones Internacionales, Mercosur y Comercio Exterior.")</f>
        <v>Proyecto de Resolución 30743/R/20, iniciado por los legisladores Alesandri, Iturria, Latimori, Ramallo, Serrano, Ambrosio, Jure, Rossi y Marcone, modificando el artículo 77 del Reglamento Interno, el que quedará redactado de la siguiente manera: Comisión de Relaciones Internacionales, Mercosur y Comercio Exterior.</v>
      </c>
      <c r="N94" s="20" t="str">
        <f ca="1">IFERROR(__xludf.DUMMYFUNCTION("""COMPUTED_VALUE"""),"SI")</f>
        <v>SI</v>
      </c>
      <c r="O94" s="20" t="str">
        <f ca="1">IFERROR(__xludf.DUMMYFUNCTION("""COMPUTED_VALUE"""),"NO")</f>
        <v>NO</v>
      </c>
      <c r="P94" s="20">
        <f ca="1">IFERROR(__xludf.DUMMYFUNCTION("""COMPUTED_VALUE"""),0)</f>
        <v>0</v>
      </c>
      <c r="Q94" s="113" t="str">
        <f ca="1">IFERROR(__xludf.DUMMYFUNCTION("""COMPUTED_VALUE"""),"https://gld.legislaturacba.gob.ar/_cdd/api/Documento/descargar?guid=1dcde536-2012-4d8b-99a1-b70d7f6e530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v>
      </c>
      <c r="R94" s="113" t="str">
        <f ca="1">IFERROR(__xludf.DUMMYFUNCTION("""COMPUTED_VALUE"""),"https://www.youtube.com/watch?v=vWt3AhB8_4E")</f>
        <v>https://www.youtube.com/watch?v=vWt3AhB8_4E</v>
      </c>
      <c r="S94" s="113" t="str">
        <f ca="1">IFERROR(__xludf.DUMMYFUNCTION("""COMPUTED_VALUE"""),"https://gld.legislaturacba.gob.ar/Publics/Actas.aspx?id=D4FWBWSlL5c=")</f>
        <v>https://gld.legislaturacba.gob.ar/Publics/Actas.aspx?id=D4FWBWSlL5c=</v>
      </c>
      <c r="T94" s="99">
        <f t="shared" ca="1" si="0"/>
        <v>0</v>
      </c>
    </row>
    <row r="95" spans="1:20">
      <c r="A95" s="20">
        <f ca="1">IFERROR(__xludf.DUMMYFUNCTION("""COMPUTED_VALUE"""),94)</f>
        <v>94</v>
      </c>
      <c r="B95" s="20">
        <f ca="1">IFERROR(__xludf.DUMMYFUNCTION("""COMPUTED_VALUE"""),2020)</f>
        <v>2020</v>
      </c>
      <c r="C95" s="20" t="str">
        <f ca="1">IFERROR(__xludf.DUMMYFUNCTION("""COMPUTED_VALUE"""),"VIRTUAL")</f>
        <v>VIRTUAL</v>
      </c>
      <c r="D95" s="96">
        <f ca="1">IFERROR(__xludf.DUMMYFUNCTION("""COMPUTED_VALUE"""),44040)</f>
        <v>44040</v>
      </c>
      <c r="E95" s="20" t="str">
        <f ca="1">IFERROR(__xludf.DUMMYFUNCTION("""COMPUTED_VALUE"""),"SI")</f>
        <v>SI</v>
      </c>
      <c r="F95" s="20" t="str">
        <f ca="1">IFERROR(__xludf.DUMMYFUNCTION("""COMPUTED_VALUE"""),"EDUCACIÓN, CULTURA, CIENCIA, TECNOLOGÍA E INFORMÁTICA;LEGISLACIÓN GENERAL")</f>
        <v>EDUCACIÓN, CULTURA, CIENCIA, TECNOLOGÍA E INFORMÁTICA;LEGISLACIÓN GENERAL</v>
      </c>
      <c r="G95" s="20">
        <f ca="1">IFERROR(__xludf.DUMMYFUNCTION("""COMPUTED_VALUE"""),2)</f>
        <v>2</v>
      </c>
      <c r="H95" s="20">
        <f ca="1">IFERROR(__xludf.DUMMYFUNCTION("""COMPUTED_VALUE"""),1)</f>
        <v>1</v>
      </c>
      <c r="I95" s="20">
        <f ca="1">IFERROR(__xludf.DUMMYFUNCTION("""COMPUTED_VALUE"""),1)</f>
        <v>1</v>
      </c>
      <c r="J95" s="20" t="str">
        <f ca="1">IFERROR(__xludf.DUMMYFUNCTION("""COMPUTED_VALUE"""),"Ley")</f>
        <v>Ley</v>
      </c>
      <c r="K95" s="20">
        <f ca="1">IFERROR(__xludf.DUMMYFUNCTION("""COMPUTED_VALUE"""),30747)</f>
        <v>30747</v>
      </c>
      <c r="L95" s="20" t="str">
        <f ca="1">IFERROR(__xludf.DUMMYFUNCTION("""COMPUTED_VALUE"""),"Poder Ejecutivo Provincial")</f>
        <v>Poder Ejecutivo Provincial</v>
      </c>
      <c r="M95" s="20" t="str">
        <f ca="1">IFERROR(__xludf.DUMMYFUNCTION("""COMPUTED_VALUE"""),"Proyecto de Ley 30747/L/20, iniciado por el Poder Ejecutivo, modificando el artículo 15 de la Ley Nº 9375, de creación de la Universidad Provincial de Córdoba, ampliando el plazo para llevar adelante el proceso de normalización.")</f>
        <v>Proyecto de Ley 30747/L/20, iniciado por el Poder Ejecutivo, modificando el artículo 15 de la Ley Nº 9375, de creación de la Universidad Provincial de Córdoba, ampliando el plazo para llevar adelante el proceso de normalización.</v>
      </c>
      <c r="N95" s="20" t="str">
        <f ca="1">IFERROR(__xludf.DUMMYFUNCTION("""COMPUTED_VALUE"""),"SI")</f>
        <v>SI</v>
      </c>
      <c r="O95" s="20" t="str">
        <f ca="1">IFERROR(__xludf.DUMMYFUNCTION("""COMPUTED_VALUE"""),"SI")</f>
        <v>SI</v>
      </c>
      <c r="P95" s="20">
        <f ca="1">IFERROR(__xludf.DUMMYFUNCTION("""COMPUTED_VALUE"""),1)</f>
        <v>1</v>
      </c>
      <c r="Q95" s="113" t="str">
        <f ca="1">IFERROR(__xludf.DUMMYFUNCTION("""COMPUTED_VALUE"""),"https://gld.legislaturacba.gob.ar/_cdd/api/Documento/descargar?guid=4326344c-2569-44a6-a689-689687396541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v>
      </c>
      <c r="R95" s="113" t="str">
        <f ca="1">IFERROR(__xludf.DUMMYFUNCTION("""COMPUTED_VALUE"""),"https://www.youtube.com/watch?v=2H5lDERAsVw")</f>
        <v>https://www.youtube.com/watch?v=2H5lDERAsVw</v>
      </c>
      <c r="S95" s="113" t="str">
        <f ca="1">IFERROR(__xludf.DUMMYFUNCTION("""COMPUTED_VALUE"""),"https://gld.legislaturacba.gob.ar/Publics/Actas.aspx?id=O-uPG-d7AEs=;https://gld.legislaturacba.gob.ar/Publics/Actas.aspx?id=Jy6PKZOznAM=")</f>
        <v>https://gld.legislaturacba.gob.ar/Publics/Actas.aspx?id=O-uPG-d7AEs=;https://gld.legislaturacba.gob.ar/Publics/Actas.aspx?id=Jy6PKZOznAM=</v>
      </c>
      <c r="T95" s="99">
        <f t="shared" ca="1" si="0"/>
        <v>0</v>
      </c>
    </row>
    <row r="96" spans="1:20">
      <c r="A96" s="20">
        <f ca="1">IFERROR(__xludf.DUMMYFUNCTION("""COMPUTED_VALUE"""),95)</f>
        <v>95</v>
      </c>
      <c r="B96" s="20">
        <f ca="1">IFERROR(__xludf.DUMMYFUNCTION("""COMPUTED_VALUE"""),2020)</f>
        <v>2020</v>
      </c>
      <c r="C96" s="20" t="str">
        <f ca="1">IFERROR(__xludf.DUMMYFUNCTION("""COMPUTED_VALUE"""),"VIRTUAL")</f>
        <v>VIRTUAL</v>
      </c>
      <c r="D96" s="96">
        <f ca="1">IFERROR(__xludf.DUMMYFUNCTION("""COMPUTED_VALUE"""),44040)</f>
        <v>44040</v>
      </c>
      <c r="E96" s="20" t="str">
        <f ca="1">IFERROR(__xludf.DUMMYFUNCTION("""COMPUTED_VALUE"""),"NO")</f>
        <v>NO</v>
      </c>
      <c r="F96" s="20" t="str">
        <f ca="1">IFERROR(__xludf.DUMMYFUNCTION("""COMPUTED_VALUE"""),"LEGISLACIÓN GENERAL")</f>
        <v>LEGISLACIÓN GENERAL</v>
      </c>
      <c r="G96" s="20">
        <f ca="1">IFERROR(__xludf.DUMMYFUNCTION("""COMPUTED_VALUE"""),1)</f>
        <v>1</v>
      </c>
      <c r="H96" s="20">
        <f ca="1">IFERROR(__xludf.DUMMYFUNCTION("""COMPUTED_VALUE"""),1)</f>
        <v>1</v>
      </c>
      <c r="I96" s="20">
        <f ca="1">IFERROR(__xludf.DUMMYFUNCTION("""COMPUTED_VALUE"""),1)</f>
        <v>1</v>
      </c>
      <c r="J96" s="20" t="str">
        <f ca="1">IFERROR(__xludf.DUMMYFUNCTION("""COMPUTED_VALUE"""),"Resolución")</f>
        <v>Resolución</v>
      </c>
      <c r="K96" s="20">
        <f ca="1">IFERROR(__xludf.DUMMYFUNCTION("""COMPUTED_VALUE"""),30472)</f>
        <v>30472</v>
      </c>
      <c r="L96" s="20" t="str">
        <f ca="1">IFERROR(__xludf.DUMMYFUNCTION("""COMPUTED_VALUE"""),"Poder Legislativo Provincial")</f>
        <v>Poder Legislativo Provincial</v>
      </c>
      <c r="M96" s="20" t="str">
        <f ca="1">IFERROR(__xludf.DUMMYFUNCTION("""COMPUTED_VALUE"""),"Proyecto de Resolución 30472/R/20, iniciado por los legisladores Cossar, Rins, Garade Panetta, Rossi y Carrillo, instando al Poder Ejecutivo a crear un “Grupo Asesor Multidisciplinario de Expertos” destinado a aportar documentos técnicos, recomendaciones "&amp;"y protocolos de acciones de mediano y largo plazo tendientes a mitigar los efectos de la Pandemia Covid-19.")</f>
        <v>Proyecto de Resolución 30472/R/20, iniciado por los legisladores Cossar, Rins, Garade Panetta, Rossi y Carrillo, instando al Poder Ejecutivo a crear un “Grupo Asesor Multidisciplinario de Expertos” destinado a aportar documentos técnicos, recomendaciones y protocolos de acciones de mediano y largo plazo tendientes a mitigar los efectos de la Pandemia Covid-19.</v>
      </c>
      <c r="N96" s="20" t="str">
        <f ca="1">IFERROR(__xludf.DUMMYFUNCTION("""COMPUTED_VALUE"""),"NO")</f>
        <v>NO</v>
      </c>
      <c r="O96" s="20" t="str">
        <f ca="1">IFERROR(__xludf.DUMMYFUNCTION("""COMPUTED_VALUE"""),"NO")</f>
        <v>NO</v>
      </c>
      <c r="P96" s="20">
        <f ca="1">IFERROR(__xludf.DUMMYFUNCTION("""COMPUTED_VALUE"""),0)</f>
        <v>0</v>
      </c>
      <c r="Q96" s="20" t="str">
        <f ca="1">IFERROR(__xludf.DUMMYFUNCTION("""COMPUTED_VALUE"""),"NA")</f>
        <v>NA</v>
      </c>
      <c r="R96" s="113" t="str">
        <f ca="1">IFERROR(__xludf.DUMMYFUNCTION("""COMPUTED_VALUE"""),"https://www.youtube.com/watch?v=2H5lDERAsVw&amp;t=4720s")</f>
        <v>https://www.youtube.com/watch?v=2H5lDERAsVw&amp;t=4720s</v>
      </c>
      <c r="S96" s="113" t="str">
        <f ca="1">IFERROR(__xludf.DUMMYFUNCTION("""COMPUTED_VALUE"""),"https://gld.legislaturacba.gob.ar/Publics/Actas.aspx?id=gf38IAaP-1E=")</f>
        <v>https://gld.legislaturacba.gob.ar/Publics/Actas.aspx?id=gf38IAaP-1E=</v>
      </c>
      <c r="T96" s="99">
        <f t="shared" ca="1" si="0"/>
        <v>0</v>
      </c>
    </row>
    <row r="97" spans="1:20">
      <c r="A97" s="20">
        <f ca="1">IFERROR(__xludf.DUMMYFUNCTION("""COMPUTED_VALUE"""),96)</f>
        <v>96</v>
      </c>
      <c r="B97" s="20">
        <f ca="1">IFERROR(__xludf.DUMMYFUNCTION("""COMPUTED_VALUE"""),2020)</f>
        <v>2020</v>
      </c>
      <c r="C97" s="20" t="str">
        <f ca="1">IFERROR(__xludf.DUMMYFUNCTION("""COMPUTED_VALUE"""),"VIRTUAL")</f>
        <v>VIRTUAL</v>
      </c>
      <c r="D97" s="96">
        <f ca="1">IFERROR(__xludf.DUMMYFUNCTION("""COMPUTED_VALUE"""),44041)</f>
        <v>44041</v>
      </c>
      <c r="E97" s="20" t="str">
        <f ca="1">IFERROR(__xludf.DUMMYFUNCTION("""COMPUTED_VALUE"""),"NO")</f>
        <v>NO</v>
      </c>
      <c r="F97" s="20" t="str">
        <f ca="1">IFERROR(__xludf.DUMMYFUNCTION("""COMPUTED_VALUE"""),"AMBIENTE")</f>
        <v>AMBIENTE</v>
      </c>
      <c r="G97" s="20">
        <f ca="1">IFERROR(__xludf.DUMMYFUNCTION("""COMPUTED_VALUE"""),1)</f>
        <v>1</v>
      </c>
      <c r="H97" s="20">
        <f ca="1">IFERROR(__xludf.DUMMYFUNCTION("""COMPUTED_VALUE"""),3)</f>
        <v>3</v>
      </c>
      <c r="I97" s="20">
        <f ca="1">IFERROR(__xludf.DUMMYFUNCTION("""COMPUTED_VALUE"""),1)</f>
        <v>1</v>
      </c>
      <c r="J97" s="20" t="str">
        <f ca="1">IFERROR(__xludf.DUMMYFUNCTION("""COMPUTED_VALUE"""),"Resolución")</f>
        <v>Resolución</v>
      </c>
      <c r="K97" s="20">
        <f ca="1">IFERROR(__xludf.DUMMYFUNCTION("""COMPUTED_VALUE"""),30072)</f>
        <v>30072</v>
      </c>
      <c r="L97" s="20" t="str">
        <f ca="1">IFERROR(__xludf.DUMMYFUNCTION("""COMPUTED_VALUE"""),"Poder Legislativo Provincial")</f>
        <v>Poder Legislativo Provincial</v>
      </c>
      <c r="M97" s="20" t="str">
        <f ca="1">IFERROR(__xludf.DUMMYFUNCTION("""COMPUTED_VALUE"""),"Proyecto de Resolución 30072/R/20, iniciado por el Bloque de la Unión Cívica Radical, solicitando al Poder Ejecutivo informe (Art. 102 CP) sobre aspectos referidos a la preservación y conservación de Áreas Protegidas, relacionado con el avance de la degra"&amp;"dación ambiental de las mismas.")</f>
        <v>Proyecto de Resolución 30072/R/20, iniciado por el Bloque de la Unión Cívica Radical, solicitando al Poder Ejecutivo informe (Art. 102 CP) sobre aspectos referidos a la preservación y conservación de Áreas Protegidas, relacionado con el avance de la degradación ambiental de las mismas.</v>
      </c>
      <c r="N97" s="20" t="str">
        <f ca="1">IFERROR(__xludf.DUMMYFUNCTION("""COMPUTED_VALUE"""),"NO")</f>
        <v>NO</v>
      </c>
      <c r="O97" s="20" t="str">
        <f ca="1">IFERROR(__xludf.DUMMYFUNCTION("""COMPUTED_VALUE"""),"SI")</f>
        <v>SI</v>
      </c>
      <c r="P97" s="20">
        <f ca="1">IFERROR(__xludf.DUMMYFUNCTION("""COMPUTED_VALUE"""),2)</f>
        <v>2</v>
      </c>
      <c r="Q97" s="113" t="str">
        <f ca="1">IFERROR(__xludf.DUMMYFUNCTION("""COMPUTED_VALUE"""),"https://gld.legislaturacba.gob.ar/_cdd/api/Documento/descargar?guid=d977e122-223d-4548-a5b3-9b1368079210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v>
      </c>
      <c r="R97" s="113" t="str">
        <f ca="1">IFERROR(__xludf.DUMMYFUNCTION("""COMPUTED_VALUE"""),"https://www.youtube.com/watch?v=RjL2cgpjhY0")</f>
        <v>https://www.youtube.com/watch?v=RjL2cgpjhY0</v>
      </c>
      <c r="S97" s="113" t="str">
        <f ca="1">IFERROR(__xludf.DUMMYFUNCTION("""COMPUTED_VALUE"""),"https://gld.legislaturacba.gob.ar/Publics/Actas.aspx?id=FjNTYTG40Ko=")</f>
        <v>https://gld.legislaturacba.gob.ar/Publics/Actas.aspx?id=FjNTYTG40Ko=</v>
      </c>
      <c r="T97" s="99">
        <f t="shared" ca="1" si="0"/>
        <v>0</v>
      </c>
    </row>
    <row r="98" spans="1:20">
      <c r="A98" s="20">
        <f ca="1">IFERROR(__xludf.DUMMYFUNCTION("""COMPUTED_VALUE"""),97)</f>
        <v>97</v>
      </c>
      <c r="B98" s="20">
        <f ca="1">IFERROR(__xludf.DUMMYFUNCTION("""COMPUTED_VALUE"""),2020)</f>
        <v>2020</v>
      </c>
      <c r="C98" s="20" t="str">
        <f ca="1">IFERROR(__xludf.DUMMYFUNCTION("""COMPUTED_VALUE"""),"VIRTUAL")</f>
        <v>VIRTUAL</v>
      </c>
      <c r="D98" s="96">
        <f ca="1">IFERROR(__xludf.DUMMYFUNCTION("""COMPUTED_VALUE"""),44042)</f>
        <v>44042</v>
      </c>
      <c r="E98" s="20" t="str">
        <f ca="1">IFERROR(__xludf.DUMMYFUNCTION("""COMPUTED_VALUE"""),"NO")</f>
        <v>NO</v>
      </c>
      <c r="F98" s="20" t="str">
        <f ca="1">IFERROR(__xludf.DUMMYFUNCTION("""COMPUTED_VALUE"""),"EQUIDAD Y LUCHA CONTRA LA VIOLENCIA DE GÉNERO")</f>
        <v>EQUIDAD Y LUCHA CONTRA LA VIOLENCIA DE GÉNERO</v>
      </c>
      <c r="G98" s="20">
        <f ca="1">IFERROR(__xludf.DUMMYFUNCTION("""COMPUTED_VALUE"""),1)</f>
        <v>1</v>
      </c>
      <c r="H98" s="20">
        <f ca="1">IFERROR(__xludf.DUMMYFUNCTION("""COMPUTED_VALUE"""),3)</f>
        <v>3</v>
      </c>
      <c r="I98" s="20">
        <f ca="1">IFERROR(__xludf.DUMMYFUNCTION("""COMPUTED_VALUE"""),1)</f>
        <v>1</v>
      </c>
      <c r="J98" s="20" t="str">
        <f ca="1">IFERROR(__xludf.DUMMYFUNCTION("""COMPUTED_VALUE"""),"Resolución")</f>
        <v>Resolución</v>
      </c>
      <c r="K98" s="20">
        <f ca="1">IFERROR(__xludf.DUMMYFUNCTION("""COMPUTED_VALUE"""),30193)</f>
        <v>30193</v>
      </c>
      <c r="L98" s="20" t="str">
        <f ca="1">IFERROR(__xludf.DUMMYFUNCTION("""COMPUTED_VALUE"""),"Poder Legislativo Provincial")</f>
        <v>Poder Legislativo Provincial</v>
      </c>
      <c r="M98" s="20" t="str">
        <f ca="1">IFERROR(__xludf.DUMMYFUNCTION("""COMPUTED_VALUE"""),"Proyecto de Resolución 30193/L/20, iniciado por el Bloque EVC, solicitando informe al Poder Ejecutivo (Art. 102 CP) sobre distintos puntos referidos el Programa Punto Mujer y la línea gratuita 0800-888-9898 del Polo Integral de la Mujer, pertenecientes al"&amp;" Ministerio de la Mujer.")</f>
        <v>Proyecto de Resolución 30193/L/20, iniciado por el Bloque EVC, solicitando informe al Poder Ejecutivo (Art. 102 CP) sobre distintos puntos referidos el Programa Punto Mujer y la línea gratuita 0800-888-9898 del Polo Integral de la Mujer, pertenecientes al Ministerio de la Mujer.</v>
      </c>
      <c r="N98" s="20" t="str">
        <f ca="1">IFERROR(__xludf.DUMMYFUNCTION("""COMPUTED_VALUE"""),"NO")</f>
        <v>NO</v>
      </c>
      <c r="O98" s="20" t="str">
        <f ca="1">IFERROR(__xludf.DUMMYFUNCTION("""COMPUTED_VALUE"""),"SI")</f>
        <v>SI</v>
      </c>
      <c r="P98" s="20">
        <f ca="1">IFERROR(__xludf.DUMMYFUNCTION("""COMPUTED_VALUE"""),4)</f>
        <v>4</v>
      </c>
      <c r="Q98" s="113" t="str">
        <f ca="1">IFERROR(__xludf.DUMMYFUNCTION("""COMPUTED_VALUE"""),"https://gld.legislaturacba.gob.ar/_cdd/api/Documento/descargar?guid=3c585968-bc6a-4935-be02-f42d51e89c40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v>
      </c>
      <c r="R98" s="20" t="str">
        <f ca="1">IFERROR(__xludf.DUMMYFUNCTION("""COMPUTED_VALUE"""),"NA")</f>
        <v>NA</v>
      </c>
      <c r="S98" s="113" t="str">
        <f ca="1">IFERROR(__xludf.DUMMYFUNCTION("""COMPUTED_VALUE"""),"https://gld.legislaturacba.gob.ar/Publics/Actas.aspx?id=hZXs_FwvcZ8=")</f>
        <v>https://gld.legislaturacba.gob.ar/Publics/Actas.aspx?id=hZXs_FwvcZ8=</v>
      </c>
      <c r="T98" s="99">
        <f t="shared" ca="1" si="0"/>
        <v>0</v>
      </c>
    </row>
    <row r="99" spans="1:20">
      <c r="A99" s="20">
        <f ca="1">IFERROR(__xludf.DUMMYFUNCTION("""COMPUTED_VALUE"""),98)</f>
        <v>98</v>
      </c>
      <c r="B99" s="20">
        <f ca="1">IFERROR(__xludf.DUMMYFUNCTION("""COMPUTED_VALUE"""),2020)</f>
        <v>2020</v>
      </c>
      <c r="C99" s="20" t="str">
        <f ca="1">IFERROR(__xludf.DUMMYFUNCTION("""COMPUTED_VALUE"""),"VIRTUAL")</f>
        <v>VIRTUAL</v>
      </c>
      <c r="D99" s="96">
        <f ca="1">IFERROR(__xludf.DUMMYFUNCTION("""COMPUTED_VALUE"""),44042)</f>
        <v>44042</v>
      </c>
      <c r="E99" s="20" t="str">
        <f ca="1">IFERROR(__xludf.DUMMYFUNCTION("""COMPUTED_VALUE"""),"NO")</f>
        <v>NO</v>
      </c>
      <c r="F99" s="20" t="str">
        <f ca="1">IFERROR(__xludf.DUMMYFUNCTION("""COMPUTED_VALUE"""),"EDUCACIÓN, CULTURA, CIENCIA, TECNOLOGÍA E INFORMÁTICA")</f>
        <v>EDUCACIÓN, CULTURA, CIENCIA, TECNOLOGÍA E INFORMÁTICA</v>
      </c>
      <c r="G99" s="20">
        <f ca="1">IFERROR(__xludf.DUMMYFUNCTION("""COMPUTED_VALUE"""),1)</f>
        <v>1</v>
      </c>
      <c r="H99" s="20">
        <f ca="1">IFERROR(__xludf.DUMMYFUNCTION("""COMPUTED_VALUE"""),1)</f>
        <v>1</v>
      </c>
      <c r="I99" s="20">
        <f ca="1">IFERROR(__xludf.DUMMYFUNCTION("""COMPUTED_VALUE"""),1)</f>
        <v>1</v>
      </c>
      <c r="J99" s="20" t="str">
        <f ca="1">IFERROR(__xludf.DUMMYFUNCTION("""COMPUTED_VALUE"""),"NC")</f>
        <v>NC</v>
      </c>
      <c r="K99" s="20" t="str">
        <f ca="1">IFERROR(__xludf.DUMMYFUNCTION("""COMPUTED_VALUE"""),"NA")</f>
        <v>NA</v>
      </c>
      <c r="L99" s="20" t="str">
        <f ca="1">IFERROR(__xludf.DUMMYFUNCTION("""COMPUTED_VALUE"""),"NA")</f>
        <v>NA</v>
      </c>
      <c r="M99" s="20" t="str">
        <f ca="1">IFERROR(__xludf.DUMMYFUNCTION("""COMPUTED_VALUE"""),"Programas, proyectos y realizaciones del Ministerio de Ciencia y Tecnología.")</f>
        <v>Programas, proyectos y realizaciones del Ministerio de Ciencia y Tecnología.</v>
      </c>
      <c r="N99" s="20" t="str">
        <f ca="1">IFERROR(__xludf.DUMMYFUNCTION("""COMPUTED_VALUE"""),"NA")</f>
        <v>NA</v>
      </c>
      <c r="O99" s="20" t="str">
        <f ca="1">IFERROR(__xludf.DUMMYFUNCTION("""COMPUTED_VALUE"""),"SI")</f>
        <v>SI</v>
      </c>
      <c r="P99" s="20">
        <f ca="1">IFERROR(__xludf.DUMMYFUNCTION("""COMPUTED_VALUE"""),1)</f>
        <v>1</v>
      </c>
      <c r="Q99" s="113" t="str">
        <f ca="1">IFERROR(__xludf.DUMMYFUNCTION("""COMPUTED_VALUE"""),"https://gld.legislaturacba.gob.ar/_cdd/api/Documento/descargar?guid=855820b4-0f0c-4d48-83fa-ddb4d1d2537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v>
      </c>
      <c r="R99" s="113" t="str">
        <f ca="1">IFERROR(__xludf.DUMMYFUNCTION("""COMPUTED_VALUE"""),"https://www.youtube.com/watch?v=aSMNB5NBqeg")</f>
        <v>https://www.youtube.com/watch?v=aSMNB5NBqeg</v>
      </c>
      <c r="S99" s="113" t="str">
        <f ca="1">IFERROR(__xludf.DUMMYFUNCTION("""COMPUTED_VALUE"""),"https://gld.legislaturacba.gob.ar/Publics/Actas.aspx?id=4gHPfwzYL6w=")</f>
        <v>https://gld.legislaturacba.gob.ar/Publics/Actas.aspx?id=4gHPfwzYL6w=</v>
      </c>
      <c r="T99" s="99">
        <f t="shared" ca="1" si="0"/>
        <v>0</v>
      </c>
    </row>
    <row r="100" spans="1:20">
      <c r="A100" s="20">
        <f ca="1">IFERROR(__xludf.DUMMYFUNCTION("""COMPUTED_VALUE"""),99)</f>
        <v>99</v>
      </c>
      <c r="B100" s="20">
        <f ca="1">IFERROR(__xludf.DUMMYFUNCTION("""COMPUTED_VALUE"""),2020)</f>
        <v>2020</v>
      </c>
      <c r="C100" s="20" t="str">
        <f ca="1">IFERROR(__xludf.DUMMYFUNCTION("""COMPUTED_VALUE"""),"VIRTUAL")</f>
        <v>VIRTUAL</v>
      </c>
      <c r="D100" s="96">
        <f ca="1">IFERROR(__xludf.DUMMYFUNCTION("""COMPUTED_VALUE"""),44047)</f>
        <v>44047</v>
      </c>
      <c r="E100" s="20" t="str">
        <f ca="1">IFERROR(__xludf.DUMMYFUNCTION("""COMPUTED_VALUE"""),"SI")</f>
        <v>SI</v>
      </c>
      <c r="F100" s="20" t="str">
        <f ca="1">IFERROR(__xludf.DUMMYFUNCTION("""COMPUTED_VALUE"""),"AMBIENTE;OBRAS PÚBLICAS, VIVIENDA Y COMUNICACIONES")</f>
        <v>AMBIENTE;OBRAS PÚBLICAS, VIVIENDA Y COMUNICACIONES</v>
      </c>
      <c r="G100" s="20">
        <f ca="1">IFERROR(__xludf.DUMMYFUNCTION("""COMPUTED_VALUE"""),2)</f>
        <v>2</v>
      </c>
      <c r="H100" s="20">
        <f ca="1">IFERROR(__xludf.DUMMYFUNCTION("""COMPUTED_VALUE"""),3)</f>
        <v>3</v>
      </c>
      <c r="I100" s="20">
        <f ca="1">IFERROR(__xludf.DUMMYFUNCTION("""COMPUTED_VALUE"""),1)</f>
        <v>1</v>
      </c>
      <c r="J100" s="20" t="str">
        <f ca="1">IFERROR(__xludf.DUMMYFUNCTION("""COMPUTED_VALUE"""),"Resolución")</f>
        <v>Resolución</v>
      </c>
      <c r="K100" s="20">
        <f ca="1">IFERROR(__xludf.DUMMYFUNCTION("""COMPUTED_VALUE"""),29975)</f>
        <v>29975</v>
      </c>
      <c r="L100" s="20" t="str">
        <f ca="1">IFERROR(__xludf.DUMMYFUNCTION("""COMPUTED_VALUE"""),"Poder Legislativo Provincial")</f>
        <v>Poder Legislativo Provincial</v>
      </c>
      <c r="M100" s="20" t="str">
        <f ca="1">IFERROR(__xludf.DUMMYFUNCTION("""COMPUTED_VALUE"""),"Proyecto de Resolución 29975/R/20, iniciado por el Bloque de la Unión Cívica Radical, solicitando informe respecto de la preservación y conservación de recursos hídricos de la cuenca del río Xanaes.")</f>
        <v>Proyecto de Resolución 29975/R/20, iniciado por el Bloque de la Unión Cívica Radical, solicitando informe respecto de la preservación y conservación de recursos hídricos de la cuenca del río Xanaes.</v>
      </c>
      <c r="N100" s="20" t="str">
        <f ca="1">IFERROR(__xludf.DUMMYFUNCTION("""COMPUTED_VALUE"""),"NO")</f>
        <v>NO</v>
      </c>
      <c r="O100" s="20" t="str">
        <f ca="1">IFERROR(__xludf.DUMMYFUNCTION("""COMPUTED_VALUE"""),"SI")</f>
        <v>SI</v>
      </c>
      <c r="P100" s="20">
        <f ca="1">IFERROR(__xludf.DUMMYFUNCTION("""COMPUTED_VALUE"""),3)</f>
        <v>3</v>
      </c>
      <c r="Q100" s="113" t="str">
        <f ca="1">IFERROR(__xludf.DUMMYFUNCTION("""COMPUTED_VALUE"""),"https://gld.legislaturacba.gob.ar/_cdd/api/Documento/descargar?guid=3d7385dd-2050-491b-b03f-df4f99446c4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v>
      </c>
      <c r="R100" s="113" t="str">
        <f ca="1">IFERROR(__xludf.DUMMYFUNCTION("""COMPUTED_VALUE"""),"https://www.youtube.com/watch?v=RjL2cgpjhY0")</f>
        <v>https://www.youtube.com/watch?v=RjL2cgpjhY0</v>
      </c>
      <c r="S100" s="113" t="str">
        <f ca="1">IFERROR(__xludf.DUMMYFUNCTION("""COMPUTED_VALUE"""),"https://gld.legislaturacba.gob.ar/Publics/Actas.aspx?id=OxSdeH2CGs0=;https://gld.legislaturacba.gob.ar/Publics/Actas.aspx?id=X9xNBQZV8EI=")</f>
        <v>https://gld.legislaturacba.gob.ar/Publics/Actas.aspx?id=OxSdeH2CGs0=;https://gld.legislaturacba.gob.ar/Publics/Actas.aspx?id=X9xNBQZV8EI=</v>
      </c>
      <c r="T100" s="99">
        <f t="shared" ca="1" si="0"/>
        <v>0</v>
      </c>
    </row>
    <row r="101" spans="1:20">
      <c r="A101" s="20">
        <f ca="1">IFERROR(__xludf.DUMMYFUNCTION("""COMPUTED_VALUE"""),100)</f>
        <v>100</v>
      </c>
      <c r="B101" s="20">
        <f ca="1">IFERROR(__xludf.DUMMYFUNCTION("""COMPUTED_VALUE"""),2020)</f>
        <v>2020</v>
      </c>
      <c r="C101" s="20" t="str">
        <f ca="1">IFERROR(__xludf.DUMMYFUNCTION("""COMPUTED_VALUE"""),"VIRTUAL")</f>
        <v>VIRTUAL</v>
      </c>
      <c r="D101" s="96">
        <f ca="1">IFERROR(__xludf.DUMMYFUNCTION("""COMPUTED_VALUE"""),44047)</f>
        <v>44047</v>
      </c>
      <c r="E101" s="20" t="str">
        <f ca="1">IFERROR(__xludf.DUMMYFUNCTION("""COMPUTED_VALUE"""),"NO")</f>
        <v>NO</v>
      </c>
      <c r="F101" s="20" t="str">
        <f ca="1">IFERROR(__xludf.DUMMYFUNCTION("""COMPUTED_VALUE"""),"OBRAS PÚBLICAS, VIVIENDA Y COMUNICACIONES")</f>
        <v>OBRAS PÚBLICAS, VIVIENDA Y COMUNICACIONES</v>
      </c>
      <c r="G101" s="20">
        <f ca="1">IFERROR(__xludf.DUMMYFUNCTION("""COMPUTED_VALUE"""),1)</f>
        <v>1</v>
      </c>
      <c r="H101" s="20">
        <f ca="1">IFERROR(__xludf.DUMMYFUNCTION("""COMPUTED_VALUE"""),1)</f>
        <v>1</v>
      </c>
      <c r="I101" s="20">
        <f ca="1">IFERROR(__xludf.DUMMYFUNCTION("""COMPUTED_VALUE"""),1)</f>
        <v>1</v>
      </c>
      <c r="J101" s="20" t="str">
        <f ca="1">IFERROR(__xludf.DUMMYFUNCTION("""COMPUTED_VALUE"""),"Ley")</f>
        <v>Ley</v>
      </c>
      <c r="K101" s="20">
        <f ca="1">IFERROR(__xludf.DUMMYFUNCTION("""COMPUTED_VALUE"""),30746)</f>
        <v>30746</v>
      </c>
      <c r="L101" s="20" t="str">
        <f ca="1">IFERROR(__xludf.DUMMYFUNCTION("""COMPUTED_VALUE"""),"Poder Ejecutivo Provincial")</f>
        <v>Poder Ejecutivo Provincial</v>
      </c>
      <c r="M101" s="20" t="str">
        <f ca="1">IFERROR(__xludf.DUMMYFUNCTION("""COMPUTED_VALUE"""),"Proyecto de Ley 30746/L/20, remitido por el Poder Ejecutivo, declarando de utilidad pública y sujeto a expropiación para la ejecución de la obra: “Mejoramiento y rehabilitación vial e hidráulica de rutas provinciales A-104. Camino a San Antonio”, los inmu"&amp;"ebles necesarios para llevar a cabo la obra mencionada.")</f>
        <v>Proyecto de Ley 30746/L/20, remitido por el Poder Ejecutivo, declarando de utilidad pública y sujeto a expropiación para la ejecución de la obra: “Mejoramiento y rehabilitación vial e hidráulica de rutas provinciales A-104. Camino a San Antonio”, los inmuebles necesarios para llevar a cabo la obra mencionada.</v>
      </c>
      <c r="N101" s="20" t="str">
        <f ca="1">IFERROR(__xludf.DUMMYFUNCTION("""COMPUTED_VALUE"""),"NO")</f>
        <v>NO</v>
      </c>
      <c r="O101" s="20" t="str">
        <f ca="1">IFERROR(__xludf.DUMMYFUNCTION("""COMPUTED_VALUE"""),"NO")</f>
        <v>NO</v>
      </c>
      <c r="P101" s="20">
        <f ca="1">IFERROR(__xludf.DUMMYFUNCTION("""COMPUTED_VALUE"""),0)</f>
        <v>0</v>
      </c>
      <c r="Q101" s="20" t="str">
        <f ca="1">IFERROR(__xludf.DUMMYFUNCTION("""COMPUTED_VALUE"""),"NA")</f>
        <v>NA</v>
      </c>
      <c r="R101" s="113" t="str">
        <f ca="1">IFERROR(__xludf.DUMMYFUNCTION("""COMPUTED_VALUE"""),"https://www.youtube.com/watch?v=RjL2cgpjhY0")</f>
        <v>https://www.youtube.com/watch?v=RjL2cgpjhY0</v>
      </c>
      <c r="S101" s="113" t="str">
        <f ca="1">IFERROR(__xludf.DUMMYFUNCTION("""COMPUTED_VALUE"""),"https://gld.legislaturacba.gob.ar/Publics/Actas.aspx?id=d1Zp2CePOsY=")</f>
        <v>https://gld.legislaturacba.gob.ar/Publics/Actas.aspx?id=d1Zp2CePOsY=</v>
      </c>
      <c r="T101" s="99">
        <f t="shared" ca="1" si="0"/>
        <v>0</v>
      </c>
    </row>
    <row r="102" spans="1:20">
      <c r="A102" s="20">
        <f ca="1">IFERROR(__xludf.DUMMYFUNCTION("""COMPUTED_VALUE"""),101)</f>
        <v>101</v>
      </c>
      <c r="B102" s="20">
        <f ca="1">IFERROR(__xludf.DUMMYFUNCTION("""COMPUTED_VALUE"""),2020)</f>
        <v>2020</v>
      </c>
      <c r="C102" s="20" t="str">
        <f ca="1">IFERROR(__xludf.DUMMYFUNCTION("""COMPUTED_VALUE"""),"VIRTUAL")</f>
        <v>VIRTUAL</v>
      </c>
      <c r="D102" s="96">
        <f ca="1">IFERROR(__xludf.DUMMYFUNCTION("""COMPUTED_VALUE"""),44047)</f>
        <v>44047</v>
      </c>
      <c r="E102" s="20" t="str">
        <f ca="1">IFERROR(__xludf.DUMMYFUNCTION("""COMPUTED_VALUE"""),"SI")</f>
        <v>SI</v>
      </c>
      <c r="F102" s="20" t="str">
        <f ca="1">IFERROR(__xludf.DUMMYFUNCTION("""COMPUTED_VALUE"""),"ASUNTOS CONSTITUCIONALES, JUSTICIA Y ACUERDOS;LEGISLACIÓN GENERAL")</f>
        <v>ASUNTOS CONSTITUCIONALES, JUSTICIA Y ACUERDOS;LEGISLACIÓN GENERAL</v>
      </c>
      <c r="G102" s="20">
        <f ca="1">IFERROR(__xludf.DUMMYFUNCTION("""COMPUTED_VALUE"""),2)</f>
        <v>2</v>
      </c>
      <c r="H102" s="20">
        <f ca="1">IFERROR(__xludf.DUMMYFUNCTION("""COMPUTED_VALUE"""),1)</f>
        <v>1</v>
      </c>
      <c r="I102" s="20">
        <f ca="1">IFERROR(__xludf.DUMMYFUNCTION("""COMPUTED_VALUE"""),1)</f>
        <v>1</v>
      </c>
      <c r="J102" s="20" t="str">
        <f ca="1">IFERROR(__xludf.DUMMYFUNCTION("""COMPUTED_VALUE"""),"Ley")</f>
        <v>Ley</v>
      </c>
      <c r="K102" s="20">
        <f ca="1">IFERROR(__xludf.DUMMYFUNCTION("""COMPUTED_VALUE"""),30698)</f>
        <v>30698</v>
      </c>
      <c r="L102" s="20" t="str">
        <f ca="1">IFERROR(__xludf.DUMMYFUNCTION("""COMPUTED_VALUE"""),"Poder Legislativo Provincial")</f>
        <v>Poder Legislativo Provincial</v>
      </c>
      <c r="M102" s="20" t="str">
        <f ca="1">IFERROR(__xludf.DUMMYFUNCTION("""COMPUTED_VALUE"""),"Proyecto de Ley 30698/L/20, iniciado por los Legisladores Ambrosio y Paleo, modificando el Código Arancelario para Abogados y Procuradores de la Provincia de Córdoba -Ley Nº 9459-.")</f>
        <v>Proyecto de Ley 30698/L/20, iniciado por los Legisladores Ambrosio y Paleo, modificando el Código Arancelario para Abogados y Procuradores de la Provincia de Córdoba -Ley Nº 9459-.</v>
      </c>
      <c r="N102" s="20" t="str">
        <f ca="1">IFERROR(__xludf.DUMMYFUNCTION("""COMPUTED_VALUE"""),"SI")</f>
        <v>SI</v>
      </c>
      <c r="O102" s="20" t="str">
        <f ca="1">IFERROR(__xludf.DUMMYFUNCTION("""COMPUTED_VALUE"""),"NO")</f>
        <v>NO</v>
      </c>
      <c r="P102" s="20">
        <f ca="1">IFERROR(__xludf.DUMMYFUNCTION("""COMPUTED_VALUE"""),0)</f>
        <v>0</v>
      </c>
      <c r="Q102" s="113" t="str">
        <f ca="1">IFERROR(__xludf.DUMMYFUNCTION("""COMPUTED_VALUE"""),"https://gld.legislaturacba.gob.ar/_cdd/api/Documento/descargar?guid=f561a7bb-6813-4da3-9663-9694623365a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v>
      </c>
      <c r="R102" s="113" t="str">
        <f ca="1">IFERROR(__xludf.DUMMYFUNCTION("""COMPUTED_VALUE"""),"https://www.youtube.com/watch?v=vWt3AhB8_4E")</f>
        <v>https://www.youtube.com/watch?v=vWt3AhB8_4E</v>
      </c>
      <c r="S102" s="113" t="str">
        <f ca="1">IFERROR(__xludf.DUMMYFUNCTION("""COMPUTED_VALUE"""),"https://gld.legislaturacba.gob.ar/Publics/Actas.aspx?id=L5erObfVC28=;https://gld.legislaturacba.gob.ar/Publics/Actas.aspx?id=YS5Hk2iIbUw=")</f>
        <v>https://gld.legislaturacba.gob.ar/Publics/Actas.aspx?id=L5erObfVC28=;https://gld.legislaturacba.gob.ar/Publics/Actas.aspx?id=YS5Hk2iIbUw=</v>
      </c>
      <c r="T102" s="99">
        <f t="shared" ca="1" si="0"/>
        <v>0</v>
      </c>
    </row>
    <row r="103" spans="1:20">
      <c r="A103" s="20">
        <f ca="1">IFERROR(__xludf.DUMMYFUNCTION("""COMPUTED_VALUE"""),102)</f>
        <v>102</v>
      </c>
      <c r="B103" s="20">
        <f ca="1">IFERROR(__xludf.DUMMYFUNCTION("""COMPUTED_VALUE"""),2020)</f>
        <v>2020</v>
      </c>
      <c r="C103" s="20" t="str">
        <f ca="1">IFERROR(__xludf.DUMMYFUNCTION("""COMPUTED_VALUE"""),"VIRTUAL")</f>
        <v>VIRTUAL</v>
      </c>
      <c r="D103" s="96">
        <f ca="1">IFERROR(__xludf.DUMMYFUNCTION("""COMPUTED_VALUE"""),44047)</f>
        <v>44047</v>
      </c>
      <c r="E103" s="20" t="str">
        <f ca="1">IFERROR(__xludf.DUMMYFUNCTION("""COMPUTED_VALUE"""),"SI")</f>
        <v>SI</v>
      </c>
      <c r="F103" s="20" t="str">
        <f ca="1">IFERROR(__xludf.DUMMYFUNCTION("""COMPUTED_VALUE"""),"EQUIDAD Y LUCHA CONTRA LA VIOLENCIA DE GÉNERO;DEPORTES Y RECREACIÓN")</f>
        <v>EQUIDAD Y LUCHA CONTRA LA VIOLENCIA DE GÉNERO;DEPORTES Y RECREACIÓN</v>
      </c>
      <c r="G103" s="20">
        <f ca="1">IFERROR(__xludf.DUMMYFUNCTION("""COMPUTED_VALUE"""),2)</f>
        <v>2</v>
      </c>
      <c r="H103" s="20">
        <f ca="1">IFERROR(__xludf.DUMMYFUNCTION("""COMPUTED_VALUE"""),1)</f>
        <v>1</v>
      </c>
      <c r="I103" s="20">
        <f ca="1">IFERROR(__xludf.DUMMYFUNCTION("""COMPUTED_VALUE"""),1)</f>
        <v>1</v>
      </c>
      <c r="J103" s="20" t="str">
        <f ca="1">IFERROR(__xludf.DUMMYFUNCTION("""COMPUTED_VALUE"""),"NC")</f>
        <v>NC</v>
      </c>
      <c r="K103" s="20" t="str">
        <f ca="1">IFERROR(__xludf.DUMMYFUNCTION("""COMPUTED_VALUE"""),"NA")</f>
        <v>NA</v>
      </c>
      <c r="L103" s="20" t="str">
        <f ca="1">IFERROR(__xludf.DUMMYFUNCTION("""COMPUTED_VALUE"""),"NA")</f>
        <v>NA</v>
      </c>
      <c r="M103" s="20" t="str">
        <f ca="1">IFERROR(__xludf.DUMMYFUNCTION("""COMPUTED_VALUE"""),"Anteproyecto de ley instituyendo el Día de las Futbolistas.")</f>
        <v>Anteproyecto de ley instituyendo el Día de las Futbolistas.</v>
      </c>
      <c r="N103" s="20" t="str">
        <f ca="1">IFERROR(__xludf.DUMMYFUNCTION("""COMPUTED_VALUE"""),"NA")</f>
        <v>NA</v>
      </c>
      <c r="O103" s="20" t="str">
        <f ca="1">IFERROR(__xludf.DUMMYFUNCTION("""COMPUTED_VALUE"""),"SI")</f>
        <v>SI</v>
      </c>
      <c r="P103" s="20">
        <f ca="1">IFERROR(__xludf.DUMMYFUNCTION("""COMPUTED_VALUE"""),1)</f>
        <v>1</v>
      </c>
      <c r="Q103" s="113" t="str">
        <f ca="1">IFERROR(__xludf.DUMMYFUNCTION("""COMPUTED_VALUE"""),"https://gld.legislaturacba.gob.ar/_cdd/api/Documento/descargar?guid=2b0391dc-161d-48fd-b832-c6955aee92b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v>
      </c>
      <c r="R103" s="113" t="str">
        <f ca="1">IFERROR(__xludf.DUMMYFUNCTION("""COMPUTED_VALUE"""),"https://www.youtube.com/watch?v=w3r2sMJBkmo")</f>
        <v>https://www.youtube.com/watch?v=w3r2sMJBkmo</v>
      </c>
      <c r="S103" s="113" t="str">
        <f ca="1">IFERROR(__xludf.DUMMYFUNCTION("""COMPUTED_VALUE"""),"https://gld.legislaturacba.gob.ar/Publics/Actas.aspx?id=RkUKcIaoVmk=;https://gld.legislaturacba.gob.ar/Publics/Actas.aspx?id=20REfmQAdnk=")</f>
        <v>https://gld.legislaturacba.gob.ar/Publics/Actas.aspx?id=RkUKcIaoVmk=;https://gld.legislaturacba.gob.ar/Publics/Actas.aspx?id=20REfmQAdnk=</v>
      </c>
      <c r="T103" s="99">
        <f t="shared" ca="1" si="0"/>
        <v>0</v>
      </c>
    </row>
    <row r="104" spans="1:20">
      <c r="A104" s="20">
        <f ca="1">IFERROR(__xludf.DUMMYFUNCTION("""COMPUTED_VALUE"""),103)</f>
        <v>103</v>
      </c>
      <c r="B104" s="20">
        <f ca="1">IFERROR(__xludf.DUMMYFUNCTION("""COMPUTED_VALUE"""),2020)</f>
        <v>2020</v>
      </c>
      <c r="C104" s="20" t="str">
        <f ca="1">IFERROR(__xludf.DUMMYFUNCTION("""COMPUTED_VALUE"""),"VIRTUAL")</f>
        <v>VIRTUAL</v>
      </c>
      <c r="D104" s="96">
        <f ca="1">IFERROR(__xludf.DUMMYFUNCTION("""COMPUTED_VALUE"""),44047)</f>
        <v>44047</v>
      </c>
      <c r="E104" s="20" t="str">
        <f ca="1">IFERROR(__xludf.DUMMYFUNCTION("""COMPUTED_VALUE"""),"NO")</f>
        <v>NO</v>
      </c>
      <c r="F104" s="20" t="str">
        <f ca="1">IFERROR(__xludf.DUMMYFUNCTION("""COMPUTED_VALUE"""),"EQUIDAD Y LUCHA CONTRA LA VIOLENCIA DE GÉNERO")</f>
        <v>EQUIDAD Y LUCHA CONTRA LA VIOLENCIA DE GÉNERO</v>
      </c>
      <c r="G104" s="20">
        <f ca="1">IFERROR(__xludf.DUMMYFUNCTION("""COMPUTED_VALUE"""),1)</f>
        <v>1</v>
      </c>
      <c r="H104" s="20">
        <f ca="1">IFERROR(__xludf.DUMMYFUNCTION("""COMPUTED_VALUE"""),1)</f>
        <v>1</v>
      </c>
      <c r="I104" s="20">
        <f ca="1">IFERROR(__xludf.DUMMYFUNCTION("""COMPUTED_VALUE"""),1)</f>
        <v>1</v>
      </c>
      <c r="J104" s="20" t="str">
        <f ca="1">IFERROR(__xludf.DUMMYFUNCTION("""COMPUTED_VALUE"""),"Resolución")</f>
        <v>Resolución</v>
      </c>
      <c r="K104" s="20">
        <f ca="1">IFERROR(__xludf.DUMMYFUNCTION("""COMPUTED_VALUE"""),30320)</f>
        <v>30320</v>
      </c>
      <c r="L104" s="20" t="str">
        <f ca="1">IFERROR(__xludf.DUMMYFUNCTION("""COMPUTED_VALUE"""),"Poder Legislativo Provincial")</f>
        <v>Poder Legislativo Provincial</v>
      </c>
      <c r="M104" s="20" t="str">
        <f ca="1">IFERROR(__xludf.DUMMYFUNCTION("""COMPUTED_VALUE"""),"Proyecto de Resolución 30320/R/20, iniciado por la legisladora Díaz García, solicitando informe sobre distintos puntos relacionados con las políticas de género en el Departamento Punilla y Cruz del Eje, durante la emergencia sanitaria por el Coronavirus.")</f>
        <v>Proyecto de Resolución 30320/R/20, iniciado por la legisladora Díaz García, solicitando informe sobre distintos puntos relacionados con las políticas de género en el Departamento Punilla y Cruz del Eje, durante la emergencia sanitaria por el Coronavirus.</v>
      </c>
      <c r="N104" s="20" t="str">
        <f ca="1">IFERROR(__xludf.DUMMYFUNCTION("""COMPUTED_VALUE"""),"NO")</f>
        <v>NO</v>
      </c>
      <c r="O104" s="20" t="str">
        <f ca="1">IFERROR(__xludf.DUMMYFUNCTION("""COMPUTED_VALUE"""),"NO")</f>
        <v>NO</v>
      </c>
      <c r="P104" s="20">
        <f ca="1">IFERROR(__xludf.DUMMYFUNCTION("""COMPUTED_VALUE"""),0)</f>
        <v>0</v>
      </c>
      <c r="Q104" s="113" t="str">
        <f ca="1">IFERROR(__xludf.DUMMYFUNCTION("""COMPUTED_VALUE"""),"https://gld.legislaturacba.gob.ar/_cdd/api/Documento/descargar?guid=be74e6ca-aeb7-4b0b-95f9-d55c034f0b03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v>
      </c>
      <c r="R104" s="20" t="str">
        <f ca="1">IFERROR(__xludf.DUMMYFUNCTION("""COMPUTED_VALUE"""),"NA")</f>
        <v>NA</v>
      </c>
      <c r="S104" s="113" t="str">
        <f ca="1">IFERROR(__xludf.DUMMYFUNCTION("""COMPUTED_VALUE"""),"https://gld.legislaturacba.gob.ar/Publics/Actas.aspx?id=RkUKcIaoVmk=")</f>
        <v>https://gld.legislaturacba.gob.ar/Publics/Actas.aspx?id=RkUKcIaoVmk=</v>
      </c>
      <c r="T104" s="99">
        <f t="shared" ca="1" si="0"/>
        <v>0</v>
      </c>
    </row>
    <row r="105" spans="1:20">
      <c r="A105" s="20">
        <f ca="1">IFERROR(__xludf.DUMMYFUNCTION("""COMPUTED_VALUE"""),104)</f>
        <v>104</v>
      </c>
      <c r="B105" s="20">
        <f ca="1">IFERROR(__xludf.DUMMYFUNCTION("""COMPUTED_VALUE"""),2020)</f>
        <v>2020</v>
      </c>
      <c r="C105" s="20" t="str">
        <f ca="1">IFERROR(__xludf.DUMMYFUNCTION("""COMPUTED_VALUE"""),"VIRTUAL")</f>
        <v>VIRTUAL</v>
      </c>
      <c r="D105" s="96">
        <f ca="1">IFERROR(__xludf.DUMMYFUNCTION("""COMPUTED_VALUE"""),44048)</f>
        <v>44048</v>
      </c>
      <c r="E105" s="20" t="str">
        <f ca="1">IFERROR(__xludf.DUMMYFUNCTION("""COMPUTED_VALUE"""),"NO")</f>
        <v>NO</v>
      </c>
      <c r="F105" s="20" t="str">
        <f ca="1">IFERROR(__xludf.DUMMYFUNCTION("""COMPUTED_VALUE"""),"PROMOCIÓN Y DEFENSA DE LOS DERECHOS DE LA NIÑEZ, ADOLESCENCIA Y FAMILIA")</f>
        <v>PROMOCIÓN Y DEFENSA DE LOS DERECHOS DE LA NIÑEZ, ADOLESCENCIA Y FAMILIA</v>
      </c>
      <c r="G105" s="20">
        <f ca="1">IFERROR(__xludf.DUMMYFUNCTION("""COMPUTED_VALUE"""),1)</f>
        <v>1</v>
      </c>
      <c r="H105" s="20">
        <f ca="1">IFERROR(__xludf.DUMMYFUNCTION("""COMPUTED_VALUE"""),1)</f>
        <v>1</v>
      </c>
      <c r="I105" s="20">
        <f ca="1">IFERROR(__xludf.DUMMYFUNCTION("""COMPUTED_VALUE"""),1)</f>
        <v>1</v>
      </c>
      <c r="J105" s="20" t="str">
        <f ca="1">IFERROR(__xludf.DUMMYFUNCTION("""COMPUTED_VALUE"""),"NC")</f>
        <v>NC</v>
      </c>
      <c r="K105" s="20" t="str">
        <f ca="1">IFERROR(__xludf.DUMMYFUNCTION("""COMPUTED_VALUE"""),"NA")</f>
        <v>NA</v>
      </c>
      <c r="L105" s="20" t="str">
        <f ca="1">IFERROR(__xludf.DUMMYFUNCTION("""COMPUTED_VALUE"""),"NA")</f>
        <v>NA</v>
      </c>
      <c r="M105" s="20" t="str">
        <f ca="1">IFERROR(__xludf.DUMMYFUNCTION("""COMPUTED_VALUE"""),"Tareas desarrolladas por la Defensoría de los Derechos de Niñas, Niños y Adolescentes de la Provincia de Córdoba en el marco de la Pandemia COVID-19 y del Aislamiento Social, Preventivo y Obligatorio.")</f>
        <v>Tareas desarrolladas por la Defensoría de los Derechos de Niñas, Niños y Adolescentes de la Provincia de Córdoba en el marco de la Pandemia COVID-19 y del Aislamiento Social, Preventivo y Obligatorio.</v>
      </c>
      <c r="N105" s="20" t="str">
        <f ca="1">IFERROR(__xludf.DUMMYFUNCTION("""COMPUTED_VALUE"""),"NA")</f>
        <v>NA</v>
      </c>
      <c r="O105" s="20" t="str">
        <f ca="1">IFERROR(__xludf.DUMMYFUNCTION("""COMPUTED_VALUE"""),"SI")</f>
        <v>SI</v>
      </c>
      <c r="P105" s="20">
        <f ca="1">IFERROR(__xludf.DUMMYFUNCTION("""COMPUTED_VALUE"""),1)</f>
        <v>1</v>
      </c>
      <c r="Q105" s="113" t="str">
        <f ca="1">IFERROR(__xludf.DUMMYFUNCTION("""COMPUTED_VALUE"""),"https://gld.legislaturacba.gob.ar/_cdd/api/Documento/descargar?guid=fdd181bf-b54e-43fa-8c78-a7cb8044de3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v>
      </c>
      <c r="R105" s="113" t="str">
        <f ca="1">IFERROR(__xludf.DUMMYFUNCTION("""COMPUTED_VALUE"""),"https://www.youtube.com/watch?v=4IRg-Flt1mQ")</f>
        <v>https://www.youtube.com/watch?v=4IRg-Flt1mQ</v>
      </c>
      <c r="S105" s="113" t="str">
        <f ca="1">IFERROR(__xludf.DUMMYFUNCTION("""COMPUTED_VALUE"""),"https://gld.legislaturacba.gob.ar/Publics/Actas.aspx?id=nfSz2FXyFFo=")</f>
        <v>https://gld.legislaturacba.gob.ar/Publics/Actas.aspx?id=nfSz2FXyFFo=</v>
      </c>
      <c r="T105" s="99">
        <f t="shared" ca="1" si="0"/>
        <v>0</v>
      </c>
    </row>
    <row r="106" spans="1:20">
      <c r="A106" s="20">
        <f ca="1">IFERROR(__xludf.DUMMYFUNCTION("""COMPUTED_VALUE"""),105)</f>
        <v>105</v>
      </c>
      <c r="B106" s="20">
        <f ca="1">IFERROR(__xludf.DUMMYFUNCTION("""COMPUTED_VALUE"""),2020)</f>
        <v>2020</v>
      </c>
      <c r="C106" s="20" t="str">
        <f ca="1">IFERROR(__xludf.DUMMYFUNCTION("""COMPUTED_VALUE"""),"VIRTUAL")</f>
        <v>VIRTUAL</v>
      </c>
      <c r="D106" s="96">
        <f ca="1">IFERROR(__xludf.DUMMYFUNCTION("""COMPUTED_VALUE"""),44049)</f>
        <v>44049</v>
      </c>
      <c r="E106" s="20" t="str">
        <f ca="1">IFERROR(__xludf.DUMMYFUNCTION("""COMPUTED_VALUE"""),"NO")</f>
        <v>NO</v>
      </c>
      <c r="F106" s="20" t="str">
        <f ca="1">IFERROR(__xludf.DUMMYFUNCTION("""COMPUTED_VALUE"""),"SALUD HUMANA")</f>
        <v>SALUD HUMANA</v>
      </c>
      <c r="G106" s="20">
        <f ca="1">IFERROR(__xludf.DUMMYFUNCTION("""COMPUTED_VALUE"""),1)</f>
        <v>1</v>
      </c>
      <c r="H106" s="20">
        <f ca="1">IFERROR(__xludf.DUMMYFUNCTION("""COMPUTED_VALUE"""),5)</f>
        <v>5</v>
      </c>
      <c r="I106" s="20">
        <f ca="1">IFERROR(__xludf.DUMMYFUNCTION("""COMPUTED_VALUE"""),1)</f>
        <v>1</v>
      </c>
      <c r="J106" s="20" t="str">
        <f ca="1">IFERROR(__xludf.DUMMYFUNCTION("""COMPUTED_VALUE"""),"Resolución")</f>
        <v>Resolución</v>
      </c>
      <c r="K106" s="20">
        <f ca="1">IFERROR(__xludf.DUMMYFUNCTION("""COMPUTED_VALUE"""),30068)</f>
        <v>30068</v>
      </c>
      <c r="L106" s="20" t="str">
        <f ca="1">IFERROR(__xludf.DUMMYFUNCTION("""COMPUTED_VALUE"""),"Poder Legislativo Provincial")</f>
        <v>Poder Legislativo Provincial</v>
      </c>
      <c r="M106" s="20" t="str">
        <f ca="1">IFERROR(__xludf.DUMMYFUNCTION("""COMPUTED_VALUE"""),"Proyecto de Resolución 30068/R/20, iniciado por el Bloque Encuentro Vecinal Córdoba, solicitando informe sobre la posible sobrefacturación de prestadores a la APROSS. .")</f>
        <v>Proyecto de Resolución 30068/R/20, iniciado por el Bloque Encuentro Vecinal Córdoba, solicitando informe sobre la posible sobrefacturación de prestadores a la APROSS. .</v>
      </c>
      <c r="N106" s="20" t="str">
        <f ca="1">IFERROR(__xludf.DUMMYFUNCTION("""COMPUTED_VALUE"""),"NO")</f>
        <v>NO</v>
      </c>
      <c r="O106" s="20" t="str">
        <f ca="1">IFERROR(__xludf.DUMMYFUNCTION("""COMPUTED_VALUE"""),"SI")</f>
        <v>SI</v>
      </c>
      <c r="P106" s="20">
        <f ca="1">IFERROR(__xludf.DUMMYFUNCTION("""COMPUTED_VALUE"""),1)</f>
        <v>1</v>
      </c>
      <c r="Q106" s="113" t="str">
        <f ca="1">IFERROR(__xludf.DUMMYFUNCTION("""COMPUTED_VALUE"""),"https://gld.legislaturacba.gob.ar/_cdd/api/Documento/descargar?guid=4b6ecae4-4a7c-4d54-bc6f-2dc563adce2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v>
      </c>
      <c r="R106" s="113" t="str">
        <f ca="1">IFERROR(__xludf.DUMMYFUNCTION("""COMPUTED_VALUE"""),"https://www.youtube.com/watch?v=R29x-R8GsbY")</f>
        <v>https://www.youtube.com/watch?v=R29x-R8GsbY</v>
      </c>
      <c r="S106" s="113" t="str">
        <f ca="1">IFERROR(__xludf.DUMMYFUNCTION("""COMPUTED_VALUE"""),"https://gld.legislaturacba.gob.ar/Publics/Actas.aspx?id=qs9q-YlEAIU=")</f>
        <v>https://gld.legislaturacba.gob.ar/Publics/Actas.aspx?id=qs9q-YlEAIU=</v>
      </c>
      <c r="T106" s="99">
        <f t="shared" ca="1" si="0"/>
        <v>0</v>
      </c>
    </row>
    <row r="107" spans="1:20">
      <c r="A107" s="20">
        <f ca="1">IFERROR(__xludf.DUMMYFUNCTION("""COMPUTED_VALUE"""),106)</f>
        <v>106</v>
      </c>
      <c r="B107" s="20">
        <f ca="1">IFERROR(__xludf.DUMMYFUNCTION("""COMPUTED_VALUE"""),2020)</f>
        <v>2020</v>
      </c>
      <c r="C107" s="20" t="str">
        <f ca="1">IFERROR(__xludf.DUMMYFUNCTION("""COMPUTED_VALUE"""),"VIRTUAL")</f>
        <v>VIRTUAL</v>
      </c>
      <c r="D107" s="96">
        <f ca="1">IFERROR(__xludf.DUMMYFUNCTION("""COMPUTED_VALUE"""),44049)</f>
        <v>44049</v>
      </c>
      <c r="E107" s="20" t="str">
        <f ca="1">IFERROR(__xludf.DUMMYFUNCTION("""COMPUTED_VALUE"""),"NO")</f>
        <v>NO</v>
      </c>
      <c r="F107" s="20" t="str">
        <f ca="1">IFERROR(__xludf.DUMMYFUNCTION("""COMPUTED_VALUE"""),"ECONOMÍA, PRESUPUESTO, GESTIÓN PÚBLICA E INNOVACIÓN")</f>
        <v>ECONOMÍA, PRESUPUESTO, GESTIÓN PÚBLICA E INNOVACIÓN</v>
      </c>
      <c r="G107" s="20">
        <f ca="1">IFERROR(__xludf.DUMMYFUNCTION("""COMPUTED_VALUE"""),1)</f>
        <v>1</v>
      </c>
      <c r="H107" s="20">
        <f ca="1">IFERROR(__xludf.DUMMYFUNCTION("""COMPUTED_VALUE"""),1)</f>
        <v>1</v>
      </c>
      <c r="I107" s="20">
        <f ca="1">IFERROR(__xludf.DUMMYFUNCTION("""COMPUTED_VALUE"""),1)</f>
        <v>1</v>
      </c>
      <c r="J107" s="20" t="str">
        <f ca="1">IFERROR(__xludf.DUMMYFUNCTION("""COMPUTED_VALUE"""),"Nota")</f>
        <v>Nota</v>
      </c>
      <c r="K107" s="20">
        <f ca="1">IFERROR(__xludf.DUMMYFUNCTION("""COMPUTED_VALUE"""),30187)</f>
        <v>30187</v>
      </c>
      <c r="L107" s="20" t="str">
        <f ca="1">IFERROR(__xludf.DUMMYFUNCTION("""COMPUTED_VALUE"""),"Poder Ejecutivo Provincial")</f>
        <v>Poder Ejecutivo Provincial</v>
      </c>
      <c r="M107" s="20" t="str">
        <f ca="1">IFERROR(__xludf.DUMMYFUNCTION("""COMPUTED_VALUE"""),"Nota 30187/N/20, remitida por el Poder Ejecutivo Provincial, elevando para su conocimiento la Cuenta de Inversión del Ejercicio Financiero 2019.")</f>
        <v>Nota 30187/N/20, remitida por el Poder Ejecutivo Provincial, elevando para su conocimiento la Cuenta de Inversión del Ejercicio Financiero 2019.</v>
      </c>
      <c r="N107" s="20" t="str">
        <f ca="1">IFERROR(__xludf.DUMMYFUNCTION("""COMPUTED_VALUE"""),"NO")</f>
        <v>NO</v>
      </c>
      <c r="O107" s="20" t="str">
        <f ca="1">IFERROR(__xludf.DUMMYFUNCTION("""COMPUTED_VALUE"""),"NO")</f>
        <v>NO</v>
      </c>
      <c r="P107" s="20">
        <f ca="1">IFERROR(__xludf.DUMMYFUNCTION("""COMPUTED_VALUE"""),0)</f>
        <v>0</v>
      </c>
      <c r="Q107" s="113" t="str">
        <f ca="1">IFERROR(__xludf.DUMMYFUNCTION("""COMPUTED_VALUE"""),"https://gld.legislaturacba.gob.ar/_cdd/api/Documento/descargar?guid=ac442222-14a1-4d14-9733-51dc3a355c08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v>
      </c>
      <c r="R107" s="113" t="str">
        <f ca="1">IFERROR(__xludf.DUMMYFUNCTION("""COMPUTED_VALUE"""),"https://www.youtube.com/watch?v=g35kzRP_XjU")</f>
        <v>https://www.youtube.com/watch?v=g35kzRP_XjU</v>
      </c>
      <c r="S107" s="113" t="str">
        <f ca="1">IFERROR(__xludf.DUMMYFUNCTION("""COMPUTED_VALUE"""),"https://gld.legislaturacba.gob.ar/Publics/Actas.aspx?id=aCqOHq-N2JQ=")</f>
        <v>https://gld.legislaturacba.gob.ar/Publics/Actas.aspx?id=aCqOHq-N2JQ=</v>
      </c>
      <c r="T107" s="99">
        <f t="shared" ca="1" si="0"/>
        <v>0</v>
      </c>
    </row>
    <row r="108" spans="1:20">
      <c r="A108" s="20">
        <f ca="1">IFERROR(__xludf.DUMMYFUNCTION("""COMPUTED_VALUE"""),107)</f>
        <v>107</v>
      </c>
      <c r="B108" s="20">
        <f ca="1">IFERROR(__xludf.DUMMYFUNCTION("""COMPUTED_VALUE"""),2020)</f>
        <v>2020</v>
      </c>
      <c r="C108" s="20" t="str">
        <f ca="1">IFERROR(__xludf.DUMMYFUNCTION("""COMPUTED_VALUE"""),"VIRTUAL")</f>
        <v>VIRTUAL</v>
      </c>
      <c r="D108" s="96">
        <f ca="1">IFERROR(__xludf.DUMMYFUNCTION("""COMPUTED_VALUE"""),44054)</f>
        <v>44054</v>
      </c>
      <c r="E108" s="20" t="str">
        <f ca="1">IFERROR(__xludf.DUMMYFUNCTION("""COMPUTED_VALUE"""),"SI")</f>
        <v>SI</v>
      </c>
      <c r="F108" s="20" t="str">
        <f ca="1">IFERROR(__xludf.DUMMYFUNCTION("""COMPUTED_VALUE"""),"LEGISLACIÓN DEL TRABAJO, PREVISIÓN Y SEGURIDAD SOCIAL;SERVICIOS PÚBLICOS")</f>
        <v>LEGISLACIÓN DEL TRABAJO, PREVISIÓN Y SEGURIDAD SOCIAL;SERVICIOS PÚBLICOS</v>
      </c>
      <c r="G108" s="20">
        <f ca="1">IFERROR(__xludf.DUMMYFUNCTION("""COMPUTED_VALUE"""),2)</f>
        <v>2</v>
      </c>
      <c r="H108" s="20">
        <f ca="1">IFERROR(__xludf.DUMMYFUNCTION("""COMPUTED_VALUE"""),1)</f>
        <v>1</v>
      </c>
      <c r="I108" s="20">
        <f ca="1">IFERROR(__xludf.DUMMYFUNCTION("""COMPUTED_VALUE"""),1)</f>
        <v>1</v>
      </c>
      <c r="J108" s="20" t="str">
        <f ca="1">IFERROR(__xludf.DUMMYFUNCTION("""COMPUTED_VALUE"""),"NC")</f>
        <v>NC</v>
      </c>
      <c r="K108" s="20" t="str">
        <f ca="1">IFERROR(__xludf.DUMMYFUNCTION("""COMPUTED_VALUE"""),"NA")</f>
        <v>NA</v>
      </c>
      <c r="L108" s="20" t="str">
        <f ca="1">IFERROR(__xludf.DUMMYFUNCTION("""COMPUTED_VALUE"""),"NA")</f>
        <v>NA</v>
      </c>
      <c r="M108" s="20" t="str">
        <f ca="1">IFERROR(__xludf.DUMMYFUNCTION("""COMPUTED_VALUE"""),"El transporte interurbano en el marco de la Pandemia COVID-19.")</f>
        <v>El transporte interurbano en el marco de la Pandemia COVID-19.</v>
      </c>
      <c r="N108" s="20" t="str">
        <f ca="1">IFERROR(__xludf.DUMMYFUNCTION("""COMPUTED_VALUE"""),"NA")</f>
        <v>NA</v>
      </c>
      <c r="O108" s="20" t="str">
        <f ca="1">IFERROR(__xludf.DUMMYFUNCTION("""COMPUTED_VALUE"""),"SI")</f>
        <v>SI</v>
      </c>
      <c r="P108" s="20">
        <f ca="1">IFERROR(__xludf.DUMMYFUNCTION("""COMPUTED_VALUE"""),1)</f>
        <v>1</v>
      </c>
      <c r="Q108" s="113" t="str">
        <f ca="1">IFERROR(__xludf.DUMMYFUNCTION("""COMPUTED_VALUE"""),"https://gld.legislaturacba.gob.ar/_cdd/api/Documento/descargar?guid=71ea6ae9-746d-4a58-81d5-2219f30bcd98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v>
      </c>
      <c r="R108" s="113" t="str">
        <f ca="1">IFERROR(__xludf.DUMMYFUNCTION("""COMPUTED_VALUE"""),"https://www.youtube.com/watch?v=061txvY0N9Q")</f>
        <v>https://www.youtube.com/watch?v=061txvY0N9Q</v>
      </c>
      <c r="S108" s="113" t="str">
        <f ca="1">IFERROR(__xludf.DUMMYFUNCTION("""COMPUTED_VALUE"""),"https://gld.legislaturacba.gob.ar/Publics/Actas.aspx?id=8nQcwAu1nTI=;https://gld.legislaturacba.gob.ar/Publics/Actas.aspx?id=N8wLaiR_NRk=")</f>
        <v>https://gld.legislaturacba.gob.ar/Publics/Actas.aspx?id=8nQcwAu1nTI=;https://gld.legislaturacba.gob.ar/Publics/Actas.aspx?id=N8wLaiR_NRk=</v>
      </c>
      <c r="T108" s="99">
        <f t="shared" ca="1" si="0"/>
        <v>0</v>
      </c>
    </row>
    <row r="109" spans="1:20">
      <c r="A109" s="20">
        <f ca="1">IFERROR(__xludf.DUMMYFUNCTION("""COMPUTED_VALUE"""),108)</f>
        <v>108</v>
      </c>
      <c r="B109" s="20">
        <f ca="1">IFERROR(__xludf.DUMMYFUNCTION("""COMPUTED_VALUE"""),2020)</f>
        <v>2020</v>
      </c>
      <c r="C109" s="20" t="str">
        <f ca="1">IFERROR(__xludf.DUMMYFUNCTION("""COMPUTED_VALUE"""),"VIRTUAL")</f>
        <v>VIRTUAL</v>
      </c>
      <c r="D109" s="96">
        <f ca="1">IFERROR(__xludf.DUMMYFUNCTION("""COMPUTED_VALUE"""),44054)</f>
        <v>44054</v>
      </c>
      <c r="E109" s="20" t="str">
        <f ca="1">IFERROR(__xludf.DUMMYFUNCTION("""COMPUTED_VALUE"""),"SI")</f>
        <v>SI</v>
      </c>
      <c r="F109" s="20" t="str">
        <f ca="1">IFERROR(__xludf.DUMMYFUNCTION("""COMPUTED_VALUE"""),"EQUIDAD Y LUCHA CONTRA LA VIOLENCIA DE GÉNERO;LEGISLACIÓN GENERAL;DEPORTES Y RECREACIÓN")</f>
        <v>EQUIDAD Y LUCHA CONTRA LA VIOLENCIA DE GÉNERO;LEGISLACIÓN GENERAL;DEPORTES Y RECREACIÓN</v>
      </c>
      <c r="G109" s="20">
        <f ca="1">IFERROR(__xludf.DUMMYFUNCTION("""COMPUTED_VALUE"""),3)</f>
        <v>3</v>
      </c>
      <c r="H109" s="20">
        <f ca="1">IFERROR(__xludf.DUMMYFUNCTION("""COMPUTED_VALUE"""),1)</f>
        <v>1</v>
      </c>
      <c r="I109" s="20">
        <f ca="1">IFERROR(__xludf.DUMMYFUNCTION("""COMPUTED_VALUE"""),1)</f>
        <v>1</v>
      </c>
      <c r="J109" s="20" t="str">
        <f ca="1">IFERROR(__xludf.DUMMYFUNCTION("""COMPUTED_VALUE"""),"Ley")</f>
        <v>Ley</v>
      </c>
      <c r="K109" s="20">
        <f ca="1">IFERROR(__xludf.DUMMYFUNCTION("""COMPUTED_VALUE"""),30829)</f>
        <v>30829</v>
      </c>
      <c r="L109" s="20" t="str">
        <f ca="1">IFERROR(__xludf.DUMMYFUNCTION("""COMPUTED_VALUE"""),"Poder Legislativo Provincial")</f>
        <v>Poder Legislativo Provincial</v>
      </c>
      <c r="M109" s="20" t="str">
        <f ca="1">IFERROR(__xludf.DUMMYFUNCTION("""COMPUTED_VALUE"""),"Proyecto de Ley 30829/L/20, iniciado por la legisladora Fernández, estableciendo la Capacitación Obligatoria de Género y Violencia contra las Mujeres (Ley Micaela 27.499), para la totalidad de las autoridades y personal que se desempeñe en las Entidades D"&amp;"eportivas de la Provincia de Córdoba.")</f>
        <v>Proyecto de Ley 30829/L/20, iniciado por la legisladora Fernández, estableciendo la Capacitación Obligatoria de Género y Violencia contra las Mujeres (Ley Micaela 27.499), para la totalidad de las autoridades y personal que se desempeñe en las Entidades Deportivas de la Provincia de Córdoba.</v>
      </c>
      <c r="N109" s="20" t="str">
        <f ca="1">IFERROR(__xludf.DUMMYFUNCTION("""COMPUTED_VALUE"""),"SI")</f>
        <v>SI</v>
      </c>
      <c r="O109" s="20" t="str">
        <f ca="1">IFERROR(__xludf.DUMMYFUNCTION("""COMPUTED_VALUE"""),"SI")</f>
        <v>SI</v>
      </c>
      <c r="P109" s="20">
        <f ca="1">IFERROR(__xludf.DUMMYFUNCTION("""COMPUTED_VALUE"""),1)</f>
        <v>1</v>
      </c>
      <c r="Q109" s="113" t="str">
        <f ca="1">IFERROR(__xludf.DUMMYFUNCTION("""COMPUTED_VALUE"""),"https://gld.legislaturacba.gob.ar/_cdd/api/Documento/descargar?guid=c2c4fa7e-d11d-4d33-a0a0-a6cb07705b43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v>
      </c>
      <c r="R109" s="113" t="str">
        <f ca="1">IFERROR(__xludf.DUMMYFUNCTION("""COMPUTED_VALUE"""),"https://www.youtube.com/watch?v=5_2ZUaK5ubU")</f>
        <v>https://www.youtube.com/watch?v=5_2ZUaK5ubU</v>
      </c>
      <c r="S109" s="113" t="str">
        <f ca="1">IFERROR(__xludf.DUMMYFUNCTION("""COMPUTED_VALUE"""),"https://gld.legislaturacba.gob.ar/Publics/Actas.aspx?id=n-5lZUoGHLU=;https://gld.legislaturacba.gob.ar/Publics/Actas.aspx?id=QHBmzgtMdl0=;https://gld.legislaturacba.gob.ar/Publics/Actas.aspx?id=kiP__nP_xt8=")</f>
        <v>https://gld.legislaturacba.gob.ar/Publics/Actas.aspx?id=n-5lZUoGHLU=;https://gld.legislaturacba.gob.ar/Publics/Actas.aspx?id=QHBmzgtMdl0=;https://gld.legislaturacba.gob.ar/Publics/Actas.aspx?id=kiP__nP_xt8=</v>
      </c>
      <c r="T109" s="99">
        <f t="shared" ca="1" si="0"/>
        <v>0</v>
      </c>
    </row>
    <row r="110" spans="1:20">
      <c r="A110" s="20">
        <f ca="1">IFERROR(__xludf.DUMMYFUNCTION("""COMPUTED_VALUE"""),109)</f>
        <v>109</v>
      </c>
      <c r="B110" s="20">
        <f ca="1">IFERROR(__xludf.DUMMYFUNCTION("""COMPUTED_VALUE"""),2020)</f>
        <v>2020</v>
      </c>
      <c r="C110" s="20" t="str">
        <f ca="1">IFERROR(__xludf.DUMMYFUNCTION("""COMPUTED_VALUE"""),"VIRTUAL")</f>
        <v>VIRTUAL</v>
      </c>
      <c r="D110" s="96">
        <f ca="1">IFERROR(__xludf.DUMMYFUNCTION("""COMPUTED_VALUE"""),44054)</f>
        <v>44054</v>
      </c>
      <c r="E110" s="20" t="str">
        <f ca="1">IFERROR(__xludf.DUMMYFUNCTION("""COMPUTED_VALUE"""),"NO")</f>
        <v>NO</v>
      </c>
      <c r="F110" s="20" t="str">
        <f ca="1">IFERROR(__xludf.DUMMYFUNCTION("""COMPUTED_VALUE"""),"ASUNTOS CONSTITUCIONALES, JUSTICIA Y ACUERDOS")</f>
        <v>ASUNTOS CONSTITUCIONALES, JUSTICIA Y ACUERDOS</v>
      </c>
      <c r="G110" s="20">
        <f ca="1">IFERROR(__xludf.DUMMYFUNCTION("""COMPUTED_VALUE"""),1)</f>
        <v>1</v>
      </c>
      <c r="H110" s="20">
        <f ca="1">IFERROR(__xludf.DUMMYFUNCTION("""COMPUTED_VALUE"""),1)</f>
        <v>1</v>
      </c>
      <c r="I110" s="20">
        <f ca="1">IFERROR(__xludf.DUMMYFUNCTION("""COMPUTED_VALUE"""),1)</f>
        <v>1</v>
      </c>
      <c r="J110" s="20" t="str">
        <f ca="1">IFERROR(__xludf.DUMMYFUNCTION("""COMPUTED_VALUE"""),"Pliego")</f>
        <v>Pliego</v>
      </c>
      <c r="K110" s="20">
        <f ca="1">IFERROR(__xludf.DUMMYFUNCTION("""COMPUTED_VALUE"""),30851)</f>
        <v>30851</v>
      </c>
      <c r="L110" s="20" t="str">
        <f ca="1">IFERROR(__xludf.DUMMYFUNCTION("""COMPUTED_VALUE"""),"Poder Ejecutivo Provincial")</f>
        <v>Poder Ejecutivo Provincial</v>
      </c>
      <c r="M110" s="20" t="str">
        <f ca="1">IFERROR(__xludf.DUMMYFUNCTION("""COMPUTED_VALUE"""),"Pliego 30851/P/20, remitido por el Poder Ejecutivo, solicitando acuerdo para designar a los señores Pablo Ezequiel Choi y Santiago Bergallo como Síndicos Suplentes “ad honorem” por el Sector Público de la Agencia Córdoba de Inversión y Financiamiento.")</f>
        <v>Pliego 30851/P/20, remitido por el Poder Ejecutivo, solicitando acuerdo para designar a los señores Pablo Ezequiel Choi y Santiago Bergallo como Síndicos Suplentes “ad honorem” por el Sector Público de la Agencia Córdoba de Inversión y Financiamiento.</v>
      </c>
      <c r="N110" s="20" t="str">
        <f ca="1">IFERROR(__xludf.DUMMYFUNCTION("""COMPUTED_VALUE"""),"SI")</f>
        <v>SI</v>
      </c>
      <c r="O110" s="20" t="str">
        <f ca="1">IFERROR(__xludf.DUMMYFUNCTION("""COMPUTED_VALUE"""),"NO")</f>
        <v>NO</v>
      </c>
      <c r="P110" s="20">
        <f ca="1">IFERROR(__xludf.DUMMYFUNCTION("""COMPUTED_VALUE"""),0)</f>
        <v>0</v>
      </c>
      <c r="Q110" s="113" t="str">
        <f ca="1">IFERROR(__xludf.DUMMYFUNCTION("""COMPUTED_VALUE"""),"https://gld.legislaturacba.gob.ar/_cdd/api/Documento/descargar?guid=f8fbf754-5189-4b0e-91b0-7daad1ba99f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v>
      </c>
      <c r="R110" s="113" t="str">
        <f ca="1">IFERROR(__xludf.DUMMYFUNCTION("""COMPUTED_VALUE"""),"https://www.youtube.com/watch?v=1Mw3WuCpN0c")</f>
        <v>https://www.youtube.com/watch?v=1Mw3WuCpN0c</v>
      </c>
      <c r="S110" s="113" t="str">
        <f ca="1">IFERROR(__xludf.DUMMYFUNCTION("""COMPUTED_VALUE"""),"https://gld.legislaturacba.gob.ar/Publics/Actas.aspx?id=QvfbQvSF3rM=")</f>
        <v>https://gld.legislaturacba.gob.ar/Publics/Actas.aspx?id=QvfbQvSF3rM=</v>
      </c>
      <c r="T110" s="99">
        <f t="shared" ca="1" si="0"/>
        <v>0</v>
      </c>
    </row>
    <row r="111" spans="1:20">
      <c r="A111" s="20">
        <f ca="1">IFERROR(__xludf.DUMMYFUNCTION("""COMPUTED_VALUE"""),110)</f>
        <v>110</v>
      </c>
      <c r="B111" s="20">
        <f ca="1">IFERROR(__xludf.DUMMYFUNCTION("""COMPUTED_VALUE"""),2020)</f>
        <v>2020</v>
      </c>
      <c r="C111" s="20" t="str">
        <f ca="1">IFERROR(__xludf.DUMMYFUNCTION("""COMPUTED_VALUE"""),"VIRTUAL")</f>
        <v>VIRTUAL</v>
      </c>
      <c r="D111" s="96">
        <f ca="1">IFERROR(__xludf.DUMMYFUNCTION("""COMPUTED_VALUE"""),44056)</f>
        <v>44056</v>
      </c>
      <c r="E111" s="20" t="str">
        <f ca="1">IFERROR(__xludf.DUMMYFUNCTION("""COMPUTED_VALUE"""),"SI")</f>
        <v>SI</v>
      </c>
      <c r="F111" s="20" t="str">
        <f ca="1">IFERROR(__xludf.DUMMYFUNCTION("""COMPUTED_VALUE"""),"DEPORTES Y RECREACIÓN;TURISMO Y SU RELACIÓN CON EL DESARROLLO REGIONAL")</f>
        <v>DEPORTES Y RECREACIÓN;TURISMO Y SU RELACIÓN CON EL DESARROLLO REGIONAL</v>
      </c>
      <c r="G111" s="20">
        <f ca="1">IFERROR(__xludf.DUMMYFUNCTION("""COMPUTED_VALUE"""),2)</f>
        <v>2</v>
      </c>
      <c r="H111" s="20">
        <f ca="1">IFERROR(__xludf.DUMMYFUNCTION("""COMPUTED_VALUE"""),3)</f>
        <v>3</v>
      </c>
      <c r="I111" s="20">
        <f ca="1">IFERROR(__xludf.DUMMYFUNCTION("""COMPUTED_VALUE"""),1)</f>
        <v>1</v>
      </c>
      <c r="J111" s="20" t="str">
        <f ca="1">IFERROR(__xludf.DUMMYFUNCTION("""COMPUTED_VALUE"""),"Ley")</f>
        <v>Ley</v>
      </c>
      <c r="K111" s="20">
        <f ca="1">IFERROR(__xludf.DUMMYFUNCTION("""COMPUTED_VALUE"""),29918)</f>
        <v>29918</v>
      </c>
      <c r="L111" s="20" t="str">
        <f ca="1">IFERROR(__xludf.DUMMYFUNCTION("""COMPUTED_VALUE"""),"Poder Legislativo Provincial")</f>
        <v>Poder Legislativo Provincial</v>
      </c>
      <c r="M111"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11" s="20" t="str">
        <f ca="1">IFERROR(__xludf.DUMMYFUNCTION("""COMPUTED_VALUE"""),"NO")</f>
        <v>NO</v>
      </c>
      <c r="O111" s="20" t="str">
        <f ca="1">IFERROR(__xludf.DUMMYFUNCTION("""COMPUTED_VALUE"""),"NO")</f>
        <v>NO</v>
      </c>
      <c r="P111" s="20">
        <f ca="1">IFERROR(__xludf.DUMMYFUNCTION("""COMPUTED_VALUE"""),0)</f>
        <v>0</v>
      </c>
      <c r="Q111" s="113" t="str">
        <f ca="1">IFERROR(__xludf.DUMMYFUNCTION("""COMPUTED_VALUE"""),"https://gld.legislaturacba.gob.ar/_cdd/api/Documento/descargar?guid=a34cfe61-6c77-4c2b-874c-084d2da4e8b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v>
      </c>
      <c r="R111" s="113" t="str">
        <f ca="1">IFERROR(__xludf.DUMMYFUNCTION("""COMPUTED_VALUE"""),"https://www.youtube.com/watch?v=ILEuuchUnMw")</f>
        <v>https://www.youtube.com/watch?v=ILEuuchUnMw</v>
      </c>
      <c r="S111" s="113" t="str">
        <f ca="1">IFERROR(__xludf.DUMMYFUNCTION("""COMPUTED_VALUE"""),"https://gld.legislaturacba.gob.ar/Publics/Actas.aspx?id=vzuSkNqgoZM=;https://gld.legislaturacba.gob.ar/Publics/Actas.aspx?id=FNJwqNWZm3Y=")</f>
        <v>https://gld.legislaturacba.gob.ar/Publics/Actas.aspx?id=vzuSkNqgoZM=;https://gld.legislaturacba.gob.ar/Publics/Actas.aspx?id=FNJwqNWZm3Y=</v>
      </c>
      <c r="T111" s="99">
        <f t="shared" ca="1" si="0"/>
        <v>0</v>
      </c>
    </row>
    <row r="112" spans="1:20">
      <c r="A112" s="20">
        <f ca="1">IFERROR(__xludf.DUMMYFUNCTION("""COMPUTED_VALUE"""),111)</f>
        <v>111</v>
      </c>
      <c r="B112" s="20">
        <f ca="1">IFERROR(__xludf.DUMMYFUNCTION("""COMPUTED_VALUE"""),2020)</f>
        <v>2020</v>
      </c>
      <c r="C112" s="20" t="str">
        <f ca="1">IFERROR(__xludf.DUMMYFUNCTION("""COMPUTED_VALUE"""),"VIRTUAL")</f>
        <v>VIRTUAL</v>
      </c>
      <c r="D112" s="96">
        <f ca="1">IFERROR(__xludf.DUMMYFUNCTION("""COMPUTED_VALUE"""),44056)</f>
        <v>44056</v>
      </c>
      <c r="E112" s="20" t="str">
        <f ca="1">IFERROR(__xludf.DUMMYFUNCTION("""COMPUTED_VALUE"""),"NO")</f>
        <v>NO</v>
      </c>
      <c r="F112" s="20" t="str">
        <f ca="1">IFERROR(__xludf.DUMMYFUNCTION("""COMPUTED_VALUE"""),"PROMOCIÓN Y DESARROLLO DE ECONOMÍAS REGIONALES Y PYMES")</f>
        <v>PROMOCIÓN Y DESARROLLO DE ECONOMÍAS REGIONALES Y PYMES</v>
      </c>
      <c r="G112" s="20">
        <f ca="1">IFERROR(__xludf.DUMMYFUNCTION("""COMPUTED_VALUE"""),1)</f>
        <v>1</v>
      </c>
      <c r="H112" s="20">
        <f ca="1">IFERROR(__xludf.DUMMYFUNCTION("""COMPUTED_VALUE"""),1)</f>
        <v>1</v>
      </c>
      <c r="I112" s="20">
        <f ca="1">IFERROR(__xludf.DUMMYFUNCTION("""COMPUTED_VALUE"""),1)</f>
        <v>1</v>
      </c>
      <c r="J112" s="20" t="str">
        <f ca="1">IFERROR(__xludf.DUMMYFUNCTION("""COMPUTED_VALUE"""),"NC")</f>
        <v>NC</v>
      </c>
      <c r="K112" s="20" t="str">
        <f ca="1">IFERROR(__xludf.DUMMYFUNCTION("""COMPUTED_VALUE"""),"NA")</f>
        <v>NA</v>
      </c>
      <c r="L112" s="20" t="str">
        <f ca="1">IFERROR(__xludf.DUMMYFUNCTION("""COMPUTED_VALUE"""),"NA")</f>
        <v>NA</v>
      </c>
      <c r="M112" s="20" t="str">
        <f ca="1">IFERROR(__xludf.DUMMYFUNCTION("""COMPUTED_VALUE"""),"Actividades, programas y proyectos desarrollados por el Clúster Informático de la Provincia de Córdoba.")</f>
        <v>Actividades, programas y proyectos desarrollados por el Clúster Informático de la Provincia de Córdoba.</v>
      </c>
      <c r="N112" s="20" t="str">
        <f ca="1">IFERROR(__xludf.DUMMYFUNCTION("""COMPUTED_VALUE"""),"NA")</f>
        <v>NA</v>
      </c>
      <c r="O112" s="20" t="str">
        <f ca="1">IFERROR(__xludf.DUMMYFUNCTION("""COMPUTED_VALUE"""),"SI")</f>
        <v>SI</v>
      </c>
      <c r="P112" s="20">
        <f ca="1">IFERROR(__xludf.DUMMYFUNCTION("""COMPUTED_VALUE"""),6)</f>
        <v>6</v>
      </c>
      <c r="Q112" s="113" t="str">
        <f ca="1">IFERROR(__xludf.DUMMYFUNCTION("""COMPUTED_VALUE"""),"https://gld.legislaturacba.gob.ar/_cdd/api/Documento/descargar?guid=0653e5be-7a1b-44dc-b41e-8c0ce4e08056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v>
      </c>
      <c r="R112" s="113" t="str">
        <f ca="1">IFERROR(__xludf.DUMMYFUNCTION("""COMPUTED_VALUE"""),"https://www.youtube.com/watch?v=hsevjCFKImc")</f>
        <v>https://www.youtube.com/watch?v=hsevjCFKImc</v>
      </c>
      <c r="S112" s="113" t="str">
        <f ca="1">IFERROR(__xludf.DUMMYFUNCTION("""COMPUTED_VALUE"""),"https://gld.legislaturacba.gob.ar/Publics/Actas.aspx?id=gsh6Qt6HFHY=")</f>
        <v>https://gld.legislaturacba.gob.ar/Publics/Actas.aspx?id=gsh6Qt6HFHY=</v>
      </c>
      <c r="T112" s="99">
        <f t="shared" ca="1" si="0"/>
        <v>0</v>
      </c>
    </row>
    <row r="113" spans="1:20">
      <c r="A113" s="20">
        <f ca="1">IFERROR(__xludf.DUMMYFUNCTION("""COMPUTED_VALUE"""),112)</f>
        <v>112</v>
      </c>
      <c r="B113" s="20">
        <f ca="1">IFERROR(__xludf.DUMMYFUNCTION("""COMPUTED_VALUE"""),2020)</f>
        <v>2020</v>
      </c>
      <c r="C113" s="20" t="str">
        <f ca="1">IFERROR(__xludf.DUMMYFUNCTION("""COMPUTED_VALUE"""),"VIRTUAL")</f>
        <v>VIRTUAL</v>
      </c>
      <c r="D113" s="96">
        <f ca="1">IFERROR(__xludf.DUMMYFUNCTION("""COMPUTED_VALUE"""),44056)</f>
        <v>44056</v>
      </c>
      <c r="E113" s="20" t="str">
        <f ca="1">IFERROR(__xludf.DUMMYFUNCTION("""COMPUTED_VALUE"""),"NO")</f>
        <v>NO</v>
      </c>
      <c r="F113" s="20" t="str">
        <f ca="1">IFERROR(__xludf.DUMMYFUNCTION("""COMPUTED_VALUE"""),"ECONOMÍA, PRESUPUESTO, GESTIÓN PÚBLICA E INNOVACIÓN")</f>
        <v>ECONOMÍA, PRESUPUESTO, GESTIÓN PÚBLICA E INNOVACIÓN</v>
      </c>
      <c r="G113" s="20">
        <f ca="1">IFERROR(__xludf.DUMMYFUNCTION("""COMPUTED_VALUE"""),1)</f>
        <v>1</v>
      </c>
      <c r="H113" s="20">
        <f ca="1">IFERROR(__xludf.DUMMYFUNCTION("""COMPUTED_VALUE"""),1)</f>
        <v>1</v>
      </c>
      <c r="I113" s="20">
        <f ca="1">IFERROR(__xludf.DUMMYFUNCTION("""COMPUTED_VALUE"""),1)</f>
        <v>1</v>
      </c>
      <c r="J113" s="20" t="str">
        <f ca="1">IFERROR(__xludf.DUMMYFUNCTION("""COMPUTED_VALUE"""),"Nota")</f>
        <v>Nota</v>
      </c>
      <c r="K113" s="20">
        <f ca="1">IFERROR(__xludf.DUMMYFUNCTION("""COMPUTED_VALUE"""),30187)</f>
        <v>30187</v>
      </c>
      <c r="L113" s="20" t="str">
        <f ca="1">IFERROR(__xludf.DUMMYFUNCTION("""COMPUTED_VALUE"""),"Poder Ejecutivo Provincial")</f>
        <v>Poder Ejecutivo Provincial</v>
      </c>
      <c r="M113" s="20" t="str">
        <f ca="1">IFERROR(__xludf.DUMMYFUNCTION("""COMPUTED_VALUE"""),"Nota 30187/N/20, remitida por el Poder Ejecutivo Provincial, elevando para su conocimiento la Cuenta de Inversión del Ejercicio Financiero 2019.")</f>
        <v>Nota 30187/N/20, remitida por el Poder Ejecutivo Provincial, elevando para su conocimiento la Cuenta de Inversión del Ejercicio Financiero 2019.</v>
      </c>
      <c r="N113" s="20" t="str">
        <f ca="1">IFERROR(__xludf.DUMMYFUNCTION("""COMPUTED_VALUE"""),"SI")</f>
        <v>SI</v>
      </c>
      <c r="O113" s="20" t="str">
        <f ca="1">IFERROR(__xludf.DUMMYFUNCTION("""COMPUTED_VALUE"""),"NO")</f>
        <v>NO</v>
      </c>
      <c r="P113" s="20">
        <f ca="1">IFERROR(__xludf.DUMMYFUNCTION("""COMPUTED_VALUE"""),0)</f>
        <v>0</v>
      </c>
      <c r="Q113" s="113" t="str">
        <f ca="1">IFERROR(__xludf.DUMMYFUNCTION("""COMPUTED_VALUE"""),"https://gld.legislaturacba.gob.ar/_cdd/api/Documento/descargar?guid=5f1b5e08-118e-480e-80bd-a0abbb88474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v>
      </c>
      <c r="R113" s="20" t="str">
        <f ca="1">IFERROR(__xludf.DUMMYFUNCTION("""COMPUTED_VALUE"""),"NA")</f>
        <v>NA</v>
      </c>
      <c r="S113" s="113" t="str">
        <f ca="1">IFERROR(__xludf.DUMMYFUNCTION("""COMPUTED_VALUE"""),"https://gld.legislaturacba.gob.ar/Publics/Actas.aspx?id=_6jqoXJBmsU=")</f>
        <v>https://gld.legislaturacba.gob.ar/Publics/Actas.aspx?id=_6jqoXJBmsU=</v>
      </c>
      <c r="T113" s="99">
        <f t="shared" ca="1" si="0"/>
        <v>0</v>
      </c>
    </row>
    <row r="114" spans="1:20">
      <c r="A114" s="20">
        <f ca="1">IFERROR(__xludf.DUMMYFUNCTION("""COMPUTED_VALUE"""),113)</f>
        <v>113</v>
      </c>
      <c r="B114" s="20">
        <f ca="1">IFERROR(__xludf.DUMMYFUNCTION("""COMPUTED_VALUE"""),2020)</f>
        <v>2020</v>
      </c>
      <c r="C114" s="20" t="str">
        <f ca="1">IFERROR(__xludf.DUMMYFUNCTION("""COMPUTED_VALUE"""),"VIRTUAL")</f>
        <v>VIRTUAL</v>
      </c>
      <c r="D114" s="96">
        <f ca="1">IFERROR(__xludf.DUMMYFUNCTION("""COMPUTED_VALUE"""),44061)</f>
        <v>44061</v>
      </c>
      <c r="E114" s="20" t="str">
        <f ca="1">IFERROR(__xludf.DUMMYFUNCTION("""COMPUTED_VALUE"""),"NO")</f>
        <v>NO</v>
      </c>
      <c r="F114" s="20" t="str">
        <f ca="1">IFERROR(__xludf.DUMMYFUNCTION("""COMPUTED_VALUE"""),"PROMOCIÓN Y DESARROLLO DE LAS COMUNIDADES REGIONALES")</f>
        <v>PROMOCIÓN Y DESARROLLO DE LAS COMUNIDADES REGIONALES</v>
      </c>
      <c r="G114" s="20">
        <f ca="1">IFERROR(__xludf.DUMMYFUNCTION("""COMPUTED_VALUE"""),1)</f>
        <v>1</v>
      </c>
      <c r="H114" s="20">
        <f ca="1">IFERROR(__xludf.DUMMYFUNCTION("""COMPUTED_VALUE"""),1)</f>
        <v>1</v>
      </c>
      <c r="I114" s="20">
        <f ca="1">IFERROR(__xludf.DUMMYFUNCTION("""COMPUTED_VALUE"""),1)</f>
        <v>1</v>
      </c>
      <c r="J114" s="20" t="str">
        <f ca="1">IFERROR(__xludf.DUMMYFUNCTION("""COMPUTED_VALUE"""),"NC")</f>
        <v>NC</v>
      </c>
      <c r="K114" s="20" t="str">
        <f ca="1">IFERROR(__xludf.DUMMYFUNCTION("""COMPUTED_VALUE"""),"NA")</f>
        <v>NA</v>
      </c>
      <c r="L114" s="20" t="str">
        <f ca="1">IFERROR(__xludf.DUMMYFUNCTION("""COMPUTED_VALUE"""),"NA")</f>
        <v>NA</v>
      </c>
      <c r="M114" s="20" t="str">
        <f ca="1">IFERROR(__xludf.DUMMYFUNCTION("""COMPUTED_VALUE"""),"El rol de las Comunidades Regionales en la gestión de residuos sólidos urbanos.")</f>
        <v>El rol de las Comunidades Regionales en la gestión de residuos sólidos urbanos.</v>
      </c>
      <c r="N114" s="20" t="str">
        <f ca="1">IFERROR(__xludf.DUMMYFUNCTION("""COMPUTED_VALUE"""),"NA")</f>
        <v>NA</v>
      </c>
      <c r="O114" s="20" t="str">
        <f ca="1">IFERROR(__xludf.DUMMYFUNCTION("""COMPUTED_VALUE"""),"NO")</f>
        <v>NO</v>
      </c>
      <c r="P114" s="20">
        <f ca="1">IFERROR(__xludf.DUMMYFUNCTION("""COMPUTED_VALUE"""),0)</f>
        <v>0</v>
      </c>
      <c r="Q114" s="113" t="str">
        <f ca="1">IFERROR(__xludf.DUMMYFUNCTION("""COMPUTED_VALUE"""),"https://gld.legislaturacba.gob.ar/_cdd/api/Documento/descargar?guid=b84354d7-68e6-47a1-9285-ddd0166b4846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v>
      </c>
      <c r="R114" s="113" t="str">
        <f ca="1">IFERROR(__xludf.DUMMYFUNCTION("""COMPUTED_VALUE"""),"https://www.youtube.com/watch?v=MADXHdHhY2Q")</f>
        <v>https://www.youtube.com/watch?v=MADXHdHhY2Q</v>
      </c>
      <c r="S114" s="113" t="str">
        <f ca="1">IFERROR(__xludf.DUMMYFUNCTION("""COMPUTED_VALUE"""),"https://gld.legislaturacba.gob.ar/Publics/Actas.aspx?id=zzFOTHxW9eA=")</f>
        <v>https://gld.legislaturacba.gob.ar/Publics/Actas.aspx?id=zzFOTHxW9eA=</v>
      </c>
      <c r="T114" s="99">
        <f t="shared" ca="1" si="0"/>
        <v>0</v>
      </c>
    </row>
    <row r="115" spans="1:20">
      <c r="A115" s="20">
        <f ca="1">IFERROR(__xludf.DUMMYFUNCTION("""COMPUTED_VALUE"""),114)</f>
        <v>114</v>
      </c>
      <c r="B115" s="20">
        <f ca="1">IFERROR(__xludf.DUMMYFUNCTION("""COMPUTED_VALUE"""),2020)</f>
        <v>2020</v>
      </c>
      <c r="C115" s="20" t="str">
        <f ca="1">IFERROR(__xludf.DUMMYFUNCTION("""COMPUTED_VALUE"""),"VIRTUAL")</f>
        <v>VIRTUAL</v>
      </c>
      <c r="D115" s="96">
        <f ca="1">IFERROR(__xludf.DUMMYFUNCTION("""COMPUTED_VALUE"""),44061)</f>
        <v>44061</v>
      </c>
      <c r="E115" s="20" t="str">
        <f ca="1">IFERROR(__xludf.DUMMYFUNCTION("""COMPUTED_VALUE"""),"SI")</f>
        <v>SI</v>
      </c>
      <c r="F115" s="20" t="str">
        <f ca="1">IFERROR(__xludf.DUMMYFUNCTION("""COMPUTED_VALUE"""),"AGRICULTURA, GANADERÍA Y RECURSOS RENOVABLES;LEGISLACIÓN GENERAL")</f>
        <v>AGRICULTURA, GANADERÍA Y RECURSOS RENOVABLES;LEGISLACIÓN GENERAL</v>
      </c>
      <c r="G115" s="20">
        <f ca="1">IFERROR(__xludf.DUMMYFUNCTION("""COMPUTED_VALUE"""),2)</f>
        <v>2</v>
      </c>
      <c r="H115" s="20">
        <f ca="1">IFERROR(__xludf.DUMMYFUNCTION("""COMPUTED_VALUE"""),1)</f>
        <v>1</v>
      </c>
      <c r="I115" s="20">
        <f ca="1">IFERROR(__xludf.DUMMYFUNCTION("""COMPUTED_VALUE"""),1)</f>
        <v>1</v>
      </c>
      <c r="J115" s="20" t="str">
        <f ca="1">IFERROR(__xludf.DUMMYFUNCTION("""COMPUTED_VALUE"""),"Resolución")</f>
        <v>Resolución</v>
      </c>
      <c r="K115" s="20">
        <f ca="1">IFERROR(__xludf.DUMMYFUNCTION("""COMPUTED_VALUE"""),30641)</f>
        <v>30641</v>
      </c>
      <c r="L115" s="20" t="str">
        <f ca="1">IFERROR(__xludf.DUMMYFUNCTION("""COMPUTED_VALUE"""),"Poder Legislativo Provincial")</f>
        <v>Poder Legislativo Provincial</v>
      </c>
      <c r="M115" s="20" t="str">
        <f ca="1">IFERROR(__xludf.DUMMYFUNCTION("""COMPUTED_VALUE"""),"Proyecto de Resolución 30641/R/20, iniciado por la legisladora Irazuzta, citando al Ministro de Agricultura y Ganadería, Sr. Sergio Busso y al Ministro de Seguridad, Sr. Alfonso Mosquera a los fines de que informen sobre las medidas tomadas frente a los m"&amp;"últiples actos de vandalismo acaecidos en distintas zonas rurales de la Provincia.")</f>
        <v>Proyecto de Resolución 30641/R/20, iniciado por la legisladora Irazuzta, citando al Ministro de Agricultura y Ganadería, Sr. Sergio Busso y al Ministro de Seguridad, Sr. Alfonso Mosquera a los fines de que informen sobre las medidas tomadas frente a los múltiples actos de vandalismo acaecidos en distintas zonas rurales de la Provincia.</v>
      </c>
      <c r="N115" s="20" t="str">
        <f ca="1">IFERROR(__xludf.DUMMYFUNCTION("""COMPUTED_VALUE"""),"NO")</f>
        <v>NO</v>
      </c>
      <c r="O115" s="20" t="str">
        <f ca="1">IFERROR(__xludf.DUMMYFUNCTION("""COMPUTED_VALUE"""),"SI")</f>
        <v>SI</v>
      </c>
      <c r="P115" s="20">
        <f ca="1">IFERROR(__xludf.DUMMYFUNCTION("""COMPUTED_VALUE"""),2)</f>
        <v>2</v>
      </c>
      <c r="Q115" s="113" t="str">
        <f ca="1">IFERROR(__xludf.DUMMYFUNCTION("""COMPUTED_VALUE"""),"https://gld.legislaturacba.gob.ar/_cdd/api/Documento/descargar?guid=2fb50760-c4d1-4e0b-91fb-259163c273c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v>
      </c>
      <c r="R115" s="113" t="str">
        <f ca="1">IFERROR(__xludf.DUMMYFUNCTION("""COMPUTED_VALUE"""),"https://www.youtube.com/watch?v=yg8Ug5prpk0")</f>
        <v>https://www.youtube.com/watch?v=yg8Ug5prpk0</v>
      </c>
      <c r="S115" s="113" t="str">
        <f ca="1">IFERROR(__xludf.DUMMYFUNCTION("""COMPUTED_VALUE"""),"https://gld.legislaturacba.gob.ar/Publics/Actas.aspx?id=lW79jZPzvmw=;https://gld.legislaturacba.gob.ar/Publics/Actas.aspx?id=zXbeKwXB5-s=")</f>
        <v>https://gld.legislaturacba.gob.ar/Publics/Actas.aspx?id=lW79jZPzvmw=;https://gld.legislaturacba.gob.ar/Publics/Actas.aspx?id=zXbeKwXB5-s=</v>
      </c>
      <c r="T115" s="99">
        <f t="shared" ca="1" si="0"/>
        <v>0</v>
      </c>
    </row>
    <row r="116" spans="1:20">
      <c r="A116" s="20">
        <f ca="1">IFERROR(__xludf.DUMMYFUNCTION("""COMPUTED_VALUE"""),115)</f>
        <v>115</v>
      </c>
      <c r="B116" s="20">
        <f ca="1">IFERROR(__xludf.DUMMYFUNCTION("""COMPUTED_VALUE"""),2020)</f>
        <v>2020</v>
      </c>
      <c r="C116" s="20" t="str">
        <f ca="1">IFERROR(__xludf.DUMMYFUNCTION("""COMPUTED_VALUE"""),"VIRTUAL")</f>
        <v>VIRTUAL</v>
      </c>
      <c r="D116" s="96">
        <f ca="1">IFERROR(__xludf.DUMMYFUNCTION("""COMPUTED_VALUE"""),44061)</f>
        <v>44061</v>
      </c>
      <c r="E116" s="20" t="str">
        <f ca="1">IFERROR(__xludf.DUMMYFUNCTION("""COMPUTED_VALUE"""),"NO")</f>
        <v>NO</v>
      </c>
      <c r="F116" s="20" t="str">
        <f ca="1">IFERROR(__xludf.DUMMYFUNCTION("""COMPUTED_VALUE"""),"DERECHOS HUMANOS Y DESARROLLO SOCIAL")</f>
        <v>DERECHOS HUMANOS Y DESARROLLO SOCIAL</v>
      </c>
      <c r="G116" s="20">
        <f ca="1">IFERROR(__xludf.DUMMYFUNCTION("""COMPUTED_VALUE"""),1)</f>
        <v>1</v>
      </c>
      <c r="H116" s="20">
        <f ca="1">IFERROR(__xludf.DUMMYFUNCTION("""COMPUTED_VALUE"""),3)</f>
        <v>3</v>
      </c>
      <c r="I116" s="20">
        <f ca="1">IFERROR(__xludf.DUMMYFUNCTION("""COMPUTED_VALUE"""),1)</f>
        <v>1</v>
      </c>
      <c r="J116" s="20" t="str">
        <f ca="1">IFERROR(__xludf.DUMMYFUNCTION("""COMPUTED_VALUE"""),"Ley")</f>
        <v>Ley</v>
      </c>
      <c r="K116" s="20">
        <f ca="1">IFERROR(__xludf.DUMMYFUNCTION("""COMPUTED_VALUE"""),30401)</f>
        <v>30401</v>
      </c>
      <c r="L116" s="20" t="str">
        <f ca="1">IFERROR(__xludf.DUMMYFUNCTION("""COMPUTED_VALUE"""),"Poder Legislativo Provincial")</f>
        <v>Poder Legislativo Provincial</v>
      </c>
      <c r="M116" s="20" t="str">
        <f ca="1">IFERROR(__xludf.DUMMYFUNCTION("""COMPUTED_VALUE"""),"Proyecto de Ley 30401/L/20, iniciado por el legislador Lorenzo, creando el Programa de Inclusión Digital de Comedores y Merenderos Comunitarios, en el marco del Plan Conectividad Córdoba.")</f>
        <v>Proyecto de Ley 30401/L/20, iniciado por el legislador Lorenzo, creando el Programa de Inclusión Digital de Comedores y Merenderos Comunitarios, en el marco del Plan Conectividad Córdoba.</v>
      </c>
      <c r="N116" s="20" t="str">
        <f ca="1">IFERROR(__xludf.DUMMYFUNCTION("""COMPUTED_VALUE"""),"NO")</f>
        <v>NO</v>
      </c>
      <c r="O116" s="20" t="str">
        <f ca="1">IFERROR(__xludf.DUMMYFUNCTION("""COMPUTED_VALUE"""),"NO")</f>
        <v>NO</v>
      </c>
      <c r="P116" s="20">
        <f ca="1">IFERROR(__xludf.DUMMYFUNCTION("""COMPUTED_VALUE"""),0)</f>
        <v>0</v>
      </c>
      <c r="Q116" s="113" t="str">
        <f ca="1">IFERROR(__xludf.DUMMYFUNCTION("""COMPUTED_VALUE"""),"https://gld.legislaturacba.gob.ar/_cdd/api/Documento/descargar?guid=ad8e4e6c-63e5-4a03-805d-5a10f3be60b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v>
      </c>
      <c r="R116" s="113" t="str">
        <f ca="1">IFERROR(__xludf.DUMMYFUNCTION("""COMPUTED_VALUE"""),"https://www.youtube.com/watch?v=tYVO6ybdetE")</f>
        <v>https://www.youtube.com/watch?v=tYVO6ybdetE</v>
      </c>
      <c r="S116" s="113" t="str">
        <f ca="1">IFERROR(__xludf.DUMMYFUNCTION("""COMPUTED_VALUE"""),"https://gld.legislaturacba.gob.ar/Publics/Actas.aspx?id=KFHAn9vxNos=")</f>
        <v>https://gld.legislaturacba.gob.ar/Publics/Actas.aspx?id=KFHAn9vxNos=</v>
      </c>
      <c r="T116" s="99">
        <f t="shared" ca="1" si="0"/>
        <v>0</v>
      </c>
    </row>
    <row r="117" spans="1:20">
      <c r="A117" s="20">
        <f ca="1">IFERROR(__xludf.DUMMYFUNCTION("""COMPUTED_VALUE"""),116)</f>
        <v>116</v>
      </c>
      <c r="B117" s="20">
        <f ca="1">IFERROR(__xludf.DUMMYFUNCTION("""COMPUTED_VALUE"""),2020)</f>
        <v>2020</v>
      </c>
      <c r="C117" s="20" t="str">
        <f ca="1">IFERROR(__xludf.DUMMYFUNCTION("""COMPUTED_VALUE"""),"VIRTUAL")</f>
        <v>VIRTUAL</v>
      </c>
      <c r="D117" s="96">
        <f ca="1">IFERROR(__xludf.DUMMYFUNCTION("""COMPUTED_VALUE"""),44062)</f>
        <v>44062</v>
      </c>
      <c r="E117" s="20" t="str">
        <f ca="1">IFERROR(__xludf.DUMMYFUNCTION("""COMPUTED_VALUE"""),"NO")</f>
        <v>NO</v>
      </c>
      <c r="F117" s="20" t="str">
        <f ca="1">IFERROR(__xludf.DUMMYFUNCTION("""COMPUTED_VALUE"""),"PROMOCIÓN Y DEFENSA DE LOS DERECHOS DE LA NIÑEZ, ADOLESCENCIA Y FAMILIA")</f>
        <v>PROMOCIÓN Y DEFENSA DE LOS DERECHOS DE LA NIÑEZ, ADOLESCENCIA Y FAMILIA</v>
      </c>
      <c r="G117" s="20">
        <f ca="1">IFERROR(__xludf.DUMMYFUNCTION("""COMPUTED_VALUE"""),1)</f>
        <v>1</v>
      </c>
      <c r="H117" s="20">
        <f ca="1">IFERROR(__xludf.DUMMYFUNCTION("""COMPUTED_VALUE"""),1)</f>
        <v>1</v>
      </c>
      <c r="I117" s="20">
        <f ca="1">IFERROR(__xludf.DUMMYFUNCTION("""COMPUTED_VALUE"""),1)</f>
        <v>1</v>
      </c>
      <c r="J117" s="20" t="str">
        <f ca="1">IFERROR(__xludf.DUMMYFUNCTION("""COMPUTED_VALUE"""),"NC")</f>
        <v>NC</v>
      </c>
      <c r="K117" s="20" t="str">
        <f ca="1">IFERROR(__xludf.DUMMYFUNCTION("""COMPUTED_VALUE"""),"NA")</f>
        <v>NA</v>
      </c>
      <c r="L117" s="20" t="str">
        <f ca="1">IFERROR(__xludf.DUMMYFUNCTION("""COMPUTED_VALUE"""),"NA")</f>
        <v>NA</v>
      </c>
      <c r="M117" s="20" t="str">
        <f ca="1">IFERROR(__xludf.DUMMYFUNCTION("""COMPUTED_VALUE"""),"Actividades, programas y proyectos de la Secretaría de Niñez, Adolescencia y Familia.")</f>
        <v>Actividades, programas y proyectos de la Secretaría de Niñez, Adolescencia y Familia.</v>
      </c>
      <c r="N117" s="20" t="str">
        <f ca="1">IFERROR(__xludf.DUMMYFUNCTION("""COMPUTED_VALUE"""),"NA")</f>
        <v>NA</v>
      </c>
      <c r="O117" s="20" t="str">
        <f ca="1">IFERROR(__xludf.DUMMYFUNCTION("""COMPUTED_VALUE"""),"SI")</f>
        <v>SI</v>
      </c>
      <c r="P117" s="20">
        <f ca="1">IFERROR(__xludf.DUMMYFUNCTION("""COMPUTED_VALUE"""),1)</f>
        <v>1</v>
      </c>
      <c r="Q117" s="113" t="str">
        <f ca="1">IFERROR(__xludf.DUMMYFUNCTION("""COMPUTED_VALUE"""),"https://gld.legislaturacba.gob.ar/_cdd/api/Documento/descargar?guid=9b11c1a5-da2c-498f-bc3a-43ff3cc5b228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v>
      </c>
      <c r="R117" s="113" t="str">
        <f ca="1">IFERROR(__xludf.DUMMYFUNCTION("""COMPUTED_VALUE"""),"https://www.youtube.com/watch?v=5KjpBCxpYgY")</f>
        <v>https://www.youtube.com/watch?v=5KjpBCxpYgY</v>
      </c>
      <c r="S117" s="113" t="str">
        <f ca="1">IFERROR(__xludf.DUMMYFUNCTION("""COMPUTED_VALUE"""),"https://gld.legislaturacba.gob.ar/Publics/Actas.aspx?id=v77R276zMnE=")</f>
        <v>https://gld.legislaturacba.gob.ar/Publics/Actas.aspx?id=v77R276zMnE=</v>
      </c>
      <c r="T117" s="99">
        <f t="shared" ca="1" si="0"/>
        <v>0</v>
      </c>
    </row>
    <row r="118" spans="1:20">
      <c r="A118" s="20">
        <f ca="1">IFERROR(__xludf.DUMMYFUNCTION("""COMPUTED_VALUE"""),117)</f>
        <v>117</v>
      </c>
      <c r="B118" s="20">
        <f ca="1">IFERROR(__xludf.DUMMYFUNCTION("""COMPUTED_VALUE"""),2020)</f>
        <v>2020</v>
      </c>
      <c r="C118" s="20" t="str">
        <f ca="1">IFERROR(__xludf.DUMMYFUNCTION("""COMPUTED_VALUE"""),"VIRTUAL")</f>
        <v>VIRTUAL</v>
      </c>
      <c r="D118" s="96">
        <f ca="1">IFERROR(__xludf.DUMMYFUNCTION("""COMPUTED_VALUE"""),44063)</f>
        <v>44063</v>
      </c>
      <c r="E118" s="20" t="str">
        <f ca="1">IFERROR(__xludf.DUMMYFUNCTION("""COMPUTED_VALUE"""),"NO")</f>
        <v>NO</v>
      </c>
      <c r="F118" s="20" t="str">
        <f ca="1">IFERROR(__xludf.DUMMYFUNCTION("""COMPUTED_VALUE"""),"ECONOMÍA SOCIAL, COOPERATIVAS Y MUTUALES")</f>
        <v>ECONOMÍA SOCIAL, COOPERATIVAS Y MUTUALES</v>
      </c>
      <c r="G118" s="20">
        <f ca="1">IFERROR(__xludf.DUMMYFUNCTION("""COMPUTED_VALUE"""),1)</f>
        <v>1</v>
      </c>
      <c r="H118" s="20">
        <f ca="1">IFERROR(__xludf.DUMMYFUNCTION("""COMPUTED_VALUE"""),1)</f>
        <v>1</v>
      </c>
      <c r="I118" s="20">
        <f ca="1">IFERROR(__xludf.DUMMYFUNCTION("""COMPUTED_VALUE"""),1)</f>
        <v>1</v>
      </c>
      <c r="J118" s="20" t="str">
        <f ca="1">IFERROR(__xludf.DUMMYFUNCTION("""COMPUTED_VALUE"""),"NC")</f>
        <v>NC</v>
      </c>
      <c r="K118" s="20" t="str">
        <f ca="1">IFERROR(__xludf.DUMMYFUNCTION("""COMPUTED_VALUE"""),"NA")</f>
        <v>NA</v>
      </c>
      <c r="L118" s="20" t="str">
        <f ca="1">IFERROR(__xludf.DUMMYFUNCTION("""COMPUTED_VALUE"""),"NA")</f>
        <v>NA</v>
      </c>
      <c r="M118" s="20" t="str">
        <f ca="1">IFERROR(__xludf.DUMMYFUNCTION("""COMPUTED_VALUE"""),"Presentación de la iniciativa “Obras para el Barrio + Trabajo para su Gente”, que tiene como finalidad impulsar obras en los barrios para fomentar el trabajo entre los vecinos, en el marco del Programa Potenciar Trabajo.")</f>
        <v>Presentación de la iniciativa “Obras para el Barrio + Trabajo para su Gente”, que tiene como finalidad impulsar obras en los barrios para fomentar el trabajo entre los vecinos, en el marco del Programa Potenciar Trabajo.</v>
      </c>
      <c r="N118" s="20" t="str">
        <f ca="1">IFERROR(__xludf.DUMMYFUNCTION("""COMPUTED_VALUE"""),"NA")</f>
        <v>NA</v>
      </c>
      <c r="O118" s="20" t="str">
        <f ca="1">IFERROR(__xludf.DUMMYFUNCTION("""COMPUTED_VALUE"""),"SI")</f>
        <v>SI</v>
      </c>
      <c r="P118" s="20">
        <f ca="1">IFERROR(__xludf.DUMMYFUNCTION("""COMPUTED_VALUE"""),1)</f>
        <v>1</v>
      </c>
      <c r="Q118" s="113" t="str">
        <f ca="1">IFERROR(__xludf.DUMMYFUNCTION("""COMPUTED_VALUE"""),"https://gld.legislaturacba.gob.ar/_cdd/api/Documento/descargar?guid=1bd68010-5009-4de4-898d-8bae939267d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v>
      </c>
      <c r="R118" s="113" t="str">
        <f ca="1">IFERROR(__xludf.DUMMYFUNCTION("""COMPUTED_VALUE"""),"https://www.youtube.com/watch?v=x037yjzcqME")</f>
        <v>https://www.youtube.com/watch?v=x037yjzcqME</v>
      </c>
      <c r="S118" s="113" t="str">
        <f ca="1">IFERROR(__xludf.DUMMYFUNCTION("""COMPUTED_VALUE"""),"https://gld.legislaturacba.gob.ar/Publics/Actas.aspx?id=g5tPDVv3axc=")</f>
        <v>https://gld.legislaturacba.gob.ar/Publics/Actas.aspx?id=g5tPDVv3axc=</v>
      </c>
      <c r="T118" s="99">
        <f t="shared" ca="1" si="0"/>
        <v>0</v>
      </c>
    </row>
    <row r="119" spans="1:20">
      <c r="A119" s="20">
        <f ca="1">IFERROR(__xludf.DUMMYFUNCTION("""COMPUTED_VALUE"""),118)</f>
        <v>118</v>
      </c>
      <c r="B119" s="20">
        <f ca="1">IFERROR(__xludf.DUMMYFUNCTION("""COMPUTED_VALUE"""),2020)</f>
        <v>2020</v>
      </c>
      <c r="C119" s="20" t="str">
        <f ca="1">IFERROR(__xludf.DUMMYFUNCTION("""COMPUTED_VALUE"""),"VIRTUAL")</f>
        <v>VIRTUAL</v>
      </c>
      <c r="D119" s="96">
        <f ca="1">IFERROR(__xludf.DUMMYFUNCTION("""COMPUTED_VALUE"""),44063)</f>
        <v>44063</v>
      </c>
      <c r="E119" s="20" t="str">
        <f ca="1">IFERROR(__xludf.DUMMYFUNCTION("""COMPUTED_VALUE"""),"NO")</f>
        <v>NO</v>
      </c>
      <c r="F119" s="20" t="str">
        <f ca="1">IFERROR(__xludf.DUMMYFUNCTION("""COMPUTED_VALUE"""),"RELACIONES INTERNACIONALES, MERCOSUR Y COMERCIO EXTERIOR")</f>
        <v>RELACIONES INTERNACIONALES, MERCOSUR Y COMERCIO EXTERIOR</v>
      </c>
      <c r="G119" s="20">
        <f ca="1">IFERROR(__xludf.DUMMYFUNCTION("""COMPUTED_VALUE"""),1)</f>
        <v>1</v>
      </c>
      <c r="H119" s="20">
        <f ca="1">IFERROR(__xludf.DUMMYFUNCTION("""COMPUTED_VALUE"""),1)</f>
        <v>1</v>
      </c>
      <c r="I119" s="20">
        <f ca="1">IFERROR(__xludf.DUMMYFUNCTION("""COMPUTED_VALUE"""),1)</f>
        <v>1</v>
      </c>
      <c r="J119" s="20" t="str">
        <f ca="1">IFERROR(__xludf.DUMMYFUNCTION("""COMPUTED_VALUE"""),"NC")</f>
        <v>NC</v>
      </c>
      <c r="K119" s="20" t="str">
        <f ca="1">IFERROR(__xludf.DUMMYFUNCTION("""COMPUTED_VALUE"""),"NA")</f>
        <v>NA</v>
      </c>
      <c r="L119" s="20" t="str">
        <f ca="1">IFERROR(__xludf.DUMMYFUNCTION("""COMPUTED_VALUE"""),"NA")</f>
        <v>NA</v>
      </c>
      <c r="M119" s="20" t="str">
        <f ca="1">IFERROR(__xludf.DUMMYFUNCTION("""COMPUTED_VALUE"""),"Actividades de la Secretaría de Integración Regional y Relaciones Internacionales. Vinculación con cuerpo consular y macro regiones de ATACALAR y ZICOSUR.")</f>
        <v>Actividades de la Secretaría de Integración Regional y Relaciones Internacionales. Vinculación con cuerpo consular y macro regiones de ATACALAR y ZICOSUR.</v>
      </c>
      <c r="N119" s="20" t="str">
        <f ca="1">IFERROR(__xludf.DUMMYFUNCTION("""COMPUTED_VALUE"""),"NA")</f>
        <v>NA</v>
      </c>
      <c r="O119" s="20" t="str">
        <f ca="1">IFERROR(__xludf.DUMMYFUNCTION("""COMPUTED_VALUE"""),"SI")</f>
        <v>SI</v>
      </c>
      <c r="P119" s="20">
        <f ca="1">IFERROR(__xludf.DUMMYFUNCTION("""COMPUTED_VALUE"""),1)</f>
        <v>1</v>
      </c>
      <c r="Q119" s="113" t="str">
        <f ca="1">IFERROR(__xludf.DUMMYFUNCTION("""COMPUTED_VALUE"""),"https://gld.legislaturacba.gob.ar/_cdd/api/Documento/descargar?guid=6745a9ee-0307-4f21-b068-6eb3ecc42695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v>
      </c>
      <c r="R119" s="113" t="str">
        <f ca="1">IFERROR(__xludf.DUMMYFUNCTION("""COMPUTED_VALUE"""),"https://www.youtube.com/watch?v=fsdt6KPI5K0")</f>
        <v>https://www.youtube.com/watch?v=fsdt6KPI5K0</v>
      </c>
      <c r="S119" s="113" t="str">
        <f ca="1">IFERROR(__xludf.DUMMYFUNCTION("""COMPUTED_VALUE"""),"https://gld.legislaturacba.gob.ar/Publics/Actas.aspx?id=qIHwtN4lEms=")</f>
        <v>https://gld.legislaturacba.gob.ar/Publics/Actas.aspx?id=qIHwtN4lEms=</v>
      </c>
      <c r="T119" s="99">
        <f t="shared" ca="1" si="0"/>
        <v>0</v>
      </c>
    </row>
    <row r="120" spans="1:20">
      <c r="A120" s="20">
        <f ca="1">IFERROR(__xludf.DUMMYFUNCTION("""COMPUTED_VALUE"""),119)</f>
        <v>119</v>
      </c>
      <c r="B120" s="20">
        <f ca="1">IFERROR(__xludf.DUMMYFUNCTION("""COMPUTED_VALUE"""),2020)</f>
        <v>2020</v>
      </c>
      <c r="C120" s="20" t="str">
        <f ca="1">IFERROR(__xludf.DUMMYFUNCTION("""COMPUTED_VALUE"""),"VIRTUAL")</f>
        <v>VIRTUAL</v>
      </c>
      <c r="D120" s="96">
        <f ca="1">IFERROR(__xludf.DUMMYFUNCTION("""COMPUTED_VALUE"""),44063)</f>
        <v>44063</v>
      </c>
      <c r="E120" s="20" t="str">
        <f ca="1">IFERROR(__xludf.DUMMYFUNCTION("""COMPUTED_VALUE"""),"NO")</f>
        <v>NO</v>
      </c>
      <c r="F120" s="20" t="str">
        <f ca="1">IFERROR(__xludf.DUMMYFUNCTION("""COMPUTED_VALUE"""),"SALUD HUMANA")</f>
        <v>SALUD HUMANA</v>
      </c>
      <c r="G120" s="20">
        <f ca="1">IFERROR(__xludf.DUMMYFUNCTION("""COMPUTED_VALUE"""),1)</f>
        <v>1</v>
      </c>
      <c r="H120" s="20">
        <f ca="1">IFERROR(__xludf.DUMMYFUNCTION("""COMPUTED_VALUE"""),2)</f>
        <v>2</v>
      </c>
      <c r="I120" s="20">
        <f ca="1">IFERROR(__xludf.DUMMYFUNCTION("""COMPUTED_VALUE"""),1)</f>
        <v>1</v>
      </c>
      <c r="J120" s="20" t="str">
        <f ca="1">IFERROR(__xludf.DUMMYFUNCTION("""COMPUTED_VALUE"""),"Ley")</f>
        <v>Ley</v>
      </c>
      <c r="K120" s="20">
        <f ca="1">IFERROR(__xludf.DUMMYFUNCTION("""COMPUTED_VALUE"""),30909)</f>
        <v>30909</v>
      </c>
      <c r="L120" s="20" t="str">
        <f ca="1">IFERROR(__xludf.DUMMYFUNCTION("""COMPUTED_VALUE"""),"Poder Legislativo Provincial")</f>
        <v>Poder Legislativo Provincial</v>
      </c>
      <c r="M120" s="20" t="str">
        <f ca="1">IFERROR(__xludf.DUMMYFUNCTION("""COMPUTED_VALUE"""),"Proyecto de Ley 30909/L/20, iniciado por los legisladores Irazuzta, Arduh, Paleo, Capitani, de Ferrari Rueda, Ambrosio, Recalde, Caffaratti, Jure, Gudiño, García Elorrio, Marcone, Rins, Garade Panetta, Rossi, Carrillo y Cossar, regulando el protocolo diri"&amp;"gido a personas ingresadas a internación por el virus SARS-CoV-2 u otras patologías, en los que la valoración clínica hagan prever una inminente intubación o una evolución irreversible hacia la fatalidad; creando un protocolo a los efectos de garantizar e"&amp;"l derecho de visitas y/o conexión virtual de los/las pacientes.")</f>
        <v>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v>
      </c>
      <c r="N120" s="20" t="str">
        <f ca="1">IFERROR(__xludf.DUMMYFUNCTION("""COMPUTED_VALUE"""),"NO")</f>
        <v>NO</v>
      </c>
      <c r="O120" s="20" t="str">
        <f ca="1">IFERROR(__xludf.DUMMYFUNCTION("""COMPUTED_VALUE"""),"SI")</f>
        <v>SI</v>
      </c>
      <c r="P120" s="20">
        <f ca="1">IFERROR(__xludf.DUMMYFUNCTION("""COMPUTED_VALUE"""),1)</f>
        <v>1</v>
      </c>
      <c r="Q120" s="113" t="str">
        <f ca="1">IFERROR(__xludf.DUMMYFUNCTION("""COMPUTED_VALUE"""),"https://gld.legislaturacba.gob.ar/_cdd/api/Documento/descargar?guid=5b507e08-a83f-4218-92dc-03831f6276d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v>
      </c>
      <c r="R120" s="20" t="str">
        <f ca="1">IFERROR(__xludf.DUMMYFUNCTION("""COMPUTED_VALUE"""),"NA")</f>
        <v>NA</v>
      </c>
      <c r="S120" s="113" t="str">
        <f ca="1">IFERROR(__xludf.DUMMYFUNCTION("""COMPUTED_VALUE"""),"https://gld.legislaturacba.gob.ar/Publics/Actas.aspx?id=W7YJs009aLY=")</f>
        <v>https://gld.legislaturacba.gob.ar/Publics/Actas.aspx?id=W7YJs009aLY=</v>
      </c>
      <c r="T120" s="99">
        <f t="shared" ca="1" si="0"/>
        <v>0</v>
      </c>
    </row>
    <row r="121" spans="1:20">
      <c r="A121" s="20">
        <f ca="1">IFERROR(__xludf.DUMMYFUNCTION("""COMPUTED_VALUE"""),120)</f>
        <v>120</v>
      </c>
      <c r="B121" s="20">
        <f ca="1">IFERROR(__xludf.DUMMYFUNCTION("""COMPUTED_VALUE"""),2020)</f>
        <v>2020</v>
      </c>
      <c r="C121" s="20" t="str">
        <f ca="1">IFERROR(__xludf.DUMMYFUNCTION("""COMPUTED_VALUE"""),"VIRTUAL")</f>
        <v>VIRTUAL</v>
      </c>
      <c r="D121" s="96">
        <f ca="1">IFERROR(__xludf.DUMMYFUNCTION("""COMPUTED_VALUE"""),44098)</f>
        <v>44098</v>
      </c>
      <c r="E121" s="20" t="str">
        <f ca="1">IFERROR(__xludf.DUMMYFUNCTION("""COMPUTED_VALUE"""),"NO")</f>
        <v>NO</v>
      </c>
      <c r="F121" s="20" t="str">
        <f ca="1">IFERROR(__xludf.DUMMYFUNCTION("""COMPUTED_VALUE"""),"PROMOCIÓN Y DEFENSA DE LOS DERECHOS DE LA NIÑEZ, ADOLESCENCIA Y FAMILIA")</f>
        <v>PROMOCIÓN Y DEFENSA DE LOS DERECHOS DE LA NIÑEZ, ADOLESCENCIA Y FAMILIA</v>
      </c>
      <c r="G121" s="20">
        <f ca="1">IFERROR(__xludf.DUMMYFUNCTION("""COMPUTED_VALUE"""),1)</f>
        <v>1</v>
      </c>
      <c r="H121" s="20">
        <f ca="1">IFERROR(__xludf.DUMMYFUNCTION("""COMPUTED_VALUE"""),1)</f>
        <v>1</v>
      </c>
      <c r="I121" s="20">
        <f ca="1">IFERROR(__xludf.DUMMYFUNCTION("""COMPUTED_VALUE"""),1)</f>
        <v>1</v>
      </c>
      <c r="J121" s="20" t="str">
        <f ca="1">IFERROR(__xludf.DUMMYFUNCTION("""COMPUTED_VALUE"""),"NC")</f>
        <v>NC</v>
      </c>
      <c r="K121" s="20" t="str">
        <f ca="1">IFERROR(__xludf.DUMMYFUNCTION("""COMPUTED_VALUE"""),"NA")</f>
        <v>NA</v>
      </c>
      <c r="L121" s="20" t="str">
        <f ca="1">IFERROR(__xludf.DUMMYFUNCTION("""COMPUTED_VALUE"""),"NA")</f>
        <v>NA</v>
      </c>
      <c r="M121" s="20" t="str">
        <f ca="1">IFERROR(__xludf.DUMMYFUNCTION("""COMPUTED_VALUE"""),"Sistema de adopciones en la provincia de Córdoba: mirada de Juzgados de Niñez del interior provincial y de capital.")</f>
        <v>Sistema de adopciones en la provincia de Córdoba: mirada de Juzgados de Niñez del interior provincial y de capital.</v>
      </c>
      <c r="N121" s="20" t="str">
        <f ca="1">IFERROR(__xludf.DUMMYFUNCTION("""COMPUTED_VALUE"""),"NA")</f>
        <v>NA</v>
      </c>
      <c r="O121" s="20" t="str">
        <f ca="1">IFERROR(__xludf.DUMMYFUNCTION("""COMPUTED_VALUE"""),"SI")</f>
        <v>SI</v>
      </c>
      <c r="P121" s="20">
        <f ca="1">IFERROR(__xludf.DUMMYFUNCTION("""COMPUTED_VALUE"""),3)</f>
        <v>3</v>
      </c>
      <c r="Q121" s="113" t="str">
        <f ca="1">IFERROR(__xludf.DUMMYFUNCTION("""COMPUTED_VALUE"""),"https://gld.legislaturacba.gob.ar/_cdd/api/Documento/descargar?guid=f836d86d-ab4e-47b3-b2e8-6f477f6fc4d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v>
      </c>
      <c r="R121" s="20" t="str">
        <f ca="1">IFERROR(__xludf.DUMMYFUNCTION("""COMPUTED_VALUE"""),"NA")</f>
        <v>NA</v>
      </c>
      <c r="S121" s="113" t="str">
        <f ca="1">IFERROR(__xludf.DUMMYFUNCTION("""COMPUTED_VALUE"""),"https://gld.legislaturacba.gob.ar/Publics/Actas.aspx?id=pKtkb6NnWRI=")</f>
        <v>https://gld.legislaturacba.gob.ar/Publics/Actas.aspx?id=pKtkb6NnWRI=</v>
      </c>
      <c r="T121" s="99">
        <f t="shared" ca="1" si="0"/>
        <v>0</v>
      </c>
    </row>
    <row r="122" spans="1:20">
      <c r="A122" s="20">
        <f ca="1">IFERROR(__xludf.DUMMYFUNCTION("""COMPUTED_VALUE"""),121)</f>
        <v>121</v>
      </c>
      <c r="B122" s="20">
        <f ca="1">IFERROR(__xludf.DUMMYFUNCTION("""COMPUTED_VALUE"""),2020)</f>
        <v>2020</v>
      </c>
      <c r="C122" s="20" t="str">
        <f ca="1">IFERROR(__xludf.DUMMYFUNCTION("""COMPUTED_VALUE"""),"VIRTUAL")</f>
        <v>VIRTUAL</v>
      </c>
      <c r="D122" s="96">
        <f ca="1">IFERROR(__xludf.DUMMYFUNCTION("""COMPUTED_VALUE"""),44068)</f>
        <v>44068</v>
      </c>
      <c r="E122" s="20" t="str">
        <f ca="1">IFERROR(__xludf.DUMMYFUNCTION("""COMPUTED_VALUE"""),"SI")</f>
        <v>SI</v>
      </c>
      <c r="F122" s="20" t="str">
        <f ca="1">IFERROR(__xludf.DUMMYFUNCTION("""COMPUTED_VALUE"""),"LEGISLACIÓN DEL TRABAJO, PREVISIÓN Y SEGURIDAD SOCIAL;INDUSTRIA Y MINERÍA")</f>
        <v>LEGISLACIÓN DEL TRABAJO, PREVISIÓN Y SEGURIDAD SOCIAL;INDUSTRIA Y MINERÍA</v>
      </c>
      <c r="G122" s="20">
        <f ca="1">IFERROR(__xludf.DUMMYFUNCTION("""COMPUTED_VALUE"""),2)</f>
        <v>2</v>
      </c>
      <c r="H122" s="20">
        <f ca="1">IFERROR(__xludf.DUMMYFUNCTION("""COMPUTED_VALUE"""),1)</f>
        <v>1</v>
      </c>
      <c r="I122" s="20">
        <f ca="1">IFERROR(__xludf.DUMMYFUNCTION("""COMPUTED_VALUE"""),1)</f>
        <v>1</v>
      </c>
      <c r="J122" s="20" t="str">
        <f ca="1">IFERROR(__xludf.DUMMYFUNCTION("""COMPUTED_VALUE"""),"NC")</f>
        <v>NC</v>
      </c>
      <c r="K122" s="20" t="str">
        <f ca="1">IFERROR(__xludf.DUMMYFUNCTION("""COMPUTED_VALUE"""),"NA")</f>
        <v>NA</v>
      </c>
      <c r="L122" s="20" t="str">
        <f ca="1">IFERROR(__xludf.DUMMYFUNCTION("""COMPUTED_VALUE"""),"NA")</f>
        <v>NA</v>
      </c>
      <c r="M122" s="20" t="str">
        <f ca="1">IFERROR(__xludf.DUMMYFUNCTION("""COMPUTED_VALUE"""),"Situación del sector de la industria automotriz en el marco de la pandemia del Coronavirus.")</f>
        <v>Situación del sector de la industria automotriz en el marco de la pandemia del Coronavirus.</v>
      </c>
      <c r="N122" s="20" t="str">
        <f ca="1">IFERROR(__xludf.DUMMYFUNCTION("""COMPUTED_VALUE"""),"SI")</f>
        <v>SI</v>
      </c>
      <c r="O122" s="20" t="str">
        <f ca="1">IFERROR(__xludf.DUMMYFUNCTION("""COMPUTED_VALUE"""),"SI")</f>
        <v>SI</v>
      </c>
      <c r="P122" s="20">
        <f ca="1">IFERROR(__xludf.DUMMYFUNCTION("""COMPUTED_VALUE"""),1)</f>
        <v>1</v>
      </c>
      <c r="Q122" s="113" t="str">
        <f ca="1">IFERROR(__xludf.DUMMYFUNCTION("""COMPUTED_VALUE"""),"https://gld.legislaturacba.gob.ar/_cdd/api/Documento/descargar?guid=0bbf2a75-4624-4ef5-beef-7afbf5323960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v>
      </c>
      <c r="R122" s="20" t="str">
        <f ca="1">IFERROR(__xludf.DUMMYFUNCTION("""COMPUTED_VALUE"""),"NA")</f>
        <v>NA</v>
      </c>
      <c r="S122" s="113" t="str">
        <f ca="1">IFERROR(__xludf.DUMMYFUNCTION("""COMPUTED_VALUE"""),"https://gld.legislaturacba.gob.ar/Publics/Actas.aspx?id=jJTv-KiWCi8=;https://gld.legislaturacba.gob.ar/Publics/Actas.aspx?id=24pmfQb_IAE=")</f>
        <v>https://gld.legislaturacba.gob.ar/Publics/Actas.aspx?id=jJTv-KiWCi8=;https://gld.legislaturacba.gob.ar/Publics/Actas.aspx?id=24pmfQb_IAE=</v>
      </c>
      <c r="T122" s="99">
        <f t="shared" ca="1" si="0"/>
        <v>0</v>
      </c>
    </row>
    <row r="123" spans="1:20">
      <c r="A123" s="20">
        <f ca="1">IFERROR(__xludf.DUMMYFUNCTION("""COMPUTED_VALUE"""),122)</f>
        <v>122</v>
      </c>
      <c r="B123" s="20">
        <f ca="1">IFERROR(__xludf.DUMMYFUNCTION("""COMPUTED_VALUE"""),2020)</f>
        <v>2020</v>
      </c>
      <c r="C123" s="20" t="str">
        <f ca="1">IFERROR(__xludf.DUMMYFUNCTION("""COMPUTED_VALUE"""),"VIRTUAL")</f>
        <v>VIRTUAL</v>
      </c>
      <c r="D123" s="96">
        <f ca="1">IFERROR(__xludf.DUMMYFUNCTION("""COMPUTED_VALUE"""),44068)</f>
        <v>44068</v>
      </c>
      <c r="E123" s="20" t="str">
        <f ca="1">IFERROR(__xludf.DUMMYFUNCTION("""COMPUTED_VALUE"""),"SI")</f>
        <v>SI</v>
      </c>
      <c r="F123" s="20" t="str">
        <f ca="1">IFERROR(__xludf.DUMMYFUNCTION("""COMPUTED_VALUE"""),"OBRAS PÚBLICAS, VIVIENDA Y COMUNICACIONES;ECONOMÍA, PRESUPUESTO, GESTIÓN PÚBLICA E INNOVACIÓN")</f>
        <v>OBRAS PÚBLICAS, VIVIENDA Y COMUNICACIONES;ECONOMÍA, PRESUPUESTO, GESTIÓN PÚBLICA E INNOVACIÓN</v>
      </c>
      <c r="G123" s="20">
        <f ca="1">IFERROR(__xludf.DUMMYFUNCTION("""COMPUTED_VALUE"""),2)</f>
        <v>2</v>
      </c>
      <c r="H123" s="20">
        <f ca="1">IFERROR(__xludf.DUMMYFUNCTION("""COMPUTED_VALUE"""),1)</f>
        <v>1</v>
      </c>
      <c r="I123" s="20">
        <f ca="1">IFERROR(__xludf.DUMMYFUNCTION("""COMPUTED_VALUE"""),1)</f>
        <v>1</v>
      </c>
      <c r="J123" s="20" t="str">
        <f ca="1">IFERROR(__xludf.DUMMYFUNCTION("""COMPUTED_VALUE"""),"Ley")</f>
        <v>Ley</v>
      </c>
      <c r="K123" s="20">
        <f ca="1">IFERROR(__xludf.DUMMYFUNCTION("""COMPUTED_VALUE"""),30746)</f>
        <v>30746</v>
      </c>
      <c r="L123" s="20" t="str">
        <f ca="1">IFERROR(__xludf.DUMMYFUNCTION("""COMPUTED_VALUE"""),"Poder Ejecutivo Provincial")</f>
        <v>Poder Ejecutivo Provincial</v>
      </c>
      <c r="M123" s="20" t="str">
        <f ca="1">IFERROR(__xludf.DUMMYFUNCTION("""COMPUTED_VALUE"""),"Proyecto de Ley Nº 30746/L/20, remitido por el Poder Ejecutivo, declarando de utilidad pública y sujeto a expropiación para la ejecución de la obra: “Mejoramiento y rehabilitación vial e hidráulica de rutas provinciales A-104 - Camino a San Antonio”, los "&amp;"inmuebles necesarios para llevar a cabo la obra mencionada.")</f>
        <v>Proyecto de Ley Nº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v>
      </c>
      <c r="N123" s="20" t="str">
        <f ca="1">IFERROR(__xludf.DUMMYFUNCTION("""COMPUTED_VALUE"""),"SI")</f>
        <v>SI</v>
      </c>
      <c r="O123" s="20" t="str">
        <f ca="1">IFERROR(__xludf.DUMMYFUNCTION("""COMPUTED_VALUE"""),"NO")</f>
        <v>NO</v>
      </c>
      <c r="P123" s="20">
        <f ca="1">IFERROR(__xludf.DUMMYFUNCTION("""COMPUTED_VALUE"""),0)</f>
        <v>0</v>
      </c>
      <c r="Q123" s="113" t="str">
        <f ca="1">IFERROR(__xludf.DUMMYFUNCTION("""COMPUTED_VALUE"""),"https://gld.legislaturacba.gob.ar/_cdd/api/Documento/descargar?guid=95a9e52d-a342-42c6-a1a5-613cde4abc78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v>
      </c>
      <c r="R123" s="20" t="str">
        <f ca="1">IFERROR(__xludf.DUMMYFUNCTION("""COMPUTED_VALUE"""),"NA")</f>
        <v>NA</v>
      </c>
      <c r="S123" s="113" t="str">
        <f ca="1">IFERROR(__xludf.DUMMYFUNCTION("""COMPUTED_VALUE"""),"https://gld.legislaturacba.gob.ar/Publics/Actas.aspx?id=0SVKlrXzb_k=;https://gld.legislaturacba.gob.ar/Publics/Actas.aspx?id=hy8aSjQNwPE=")</f>
        <v>https://gld.legislaturacba.gob.ar/Publics/Actas.aspx?id=0SVKlrXzb_k=;https://gld.legislaturacba.gob.ar/Publics/Actas.aspx?id=hy8aSjQNwPE=</v>
      </c>
      <c r="T123" s="99">
        <f t="shared" ca="1" si="0"/>
        <v>0</v>
      </c>
    </row>
    <row r="124" spans="1:20">
      <c r="A124" s="20">
        <f ca="1">IFERROR(__xludf.DUMMYFUNCTION("""COMPUTED_VALUE"""),123)</f>
        <v>123</v>
      </c>
      <c r="B124" s="20">
        <f ca="1">IFERROR(__xludf.DUMMYFUNCTION("""COMPUTED_VALUE"""),2020)</f>
        <v>2020</v>
      </c>
      <c r="C124" s="20" t="str">
        <f ca="1">IFERROR(__xludf.DUMMYFUNCTION("""COMPUTED_VALUE"""),"VIRTUAL")</f>
        <v>VIRTUAL</v>
      </c>
      <c r="D124" s="96">
        <f ca="1">IFERROR(__xludf.DUMMYFUNCTION("""COMPUTED_VALUE"""),44068)</f>
        <v>44068</v>
      </c>
      <c r="E124" s="20" t="str">
        <f ca="1">IFERROR(__xludf.DUMMYFUNCTION("""COMPUTED_VALUE"""),"NO")</f>
        <v>NO</v>
      </c>
      <c r="F124" s="20" t="str">
        <f ca="1">IFERROR(__xludf.DUMMYFUNCTION("""COMPUTED_VALUE"""),"TURISMO Y SU RELACIÓN CON EL DESARROLLO REGIONAL")</f>
        <v>TURISMO Y SU RELACIÓN CON EL DESARROLLO REGIONAL</v>
      </c>
      <c r="G124" s="20">
        <f ca="1">IFERROR(__xludf.DUMMYFUNCTION("""COMPUTED_VALUE"""),1)</f>
        <v>1</v>
      </c>
      <c r="H124" s="20">
        <f ca="1">IFERROR(__xludf.DUMMYFUNCTION("""COMPUTED_VALUE"""),1)</f>
        <v>1</v>
      </c>
      <c r="I124" s="20">
        <f ca="1">IFERROR(__xludf.DUMMYFUNCTION("""COMPUTED_VALUE"""),1)</f>
        <v>1</v>
      </c>
      <c r="J124" s="20" t="str">
        <f ca="1">IFERROR(__xludf.DUMMYFUNCTION("""COMPUTED_VALUE"""),"NC")</f>
        <v>NC</v>
      </c>
      <c r="K124" s="20" t="str">
        <f ca="1">IFERROR(__xludf.DUMMYFUNCTION("""COMPUTED_VALUE"""),"NA")</f>
        <v>NA</v>
      </c>
      <c r="L124" s="20" t="str">
        <f ca="1">IFERROR(__xludf.DUMMYFUNCTION("""COMPUTED_VALUE"""),"NA")</f>
        <v>NA</v>
      </c>
      <c r="M124" s="20" t="str">
        <f ca="1">IFERROR(__xludf.DUMMYFUNCTION("""COMPUTED_VALUE"""),"Situación del sector turístico de la Provincia de Córdoba en el marco del Aislamiento Social, Preventivo y Obligatorio.")</f>
        <v>Situación del sector turístico de la Provincia de Córdoba en el marco del Aislamiento Social, Preventivo y Obligatorio.</v>
      </c>
      <c r="N124" s="20" t="str">
        <f ca="1">IFERROR(__xludf.DUMMYFUNCTION("""COMPUTED_VALUE"""),"NA")</f>
        <v>NA</v>
      </c>
      <c r="O124" s="20" t="str">
        <f ca="1">IFERROR(__xludf.DUMMYFUNCTION("""COMPUTED_VALUE"""),"SI")</f>
        <v>SI</v>
      </c>
      <c r="P124" s="20">
        <f ca="1">IFERROR(__xludf.DUMMYFUNCTION("""COMPUTED_VALUE"""),12)</f>
        <v>12</v>
      </c>
      <c r="Q124" s="113" t="str">
        <f ca="1">IFERROR(__xludf.DUMMYFUNCTION("""COMPUTED_VALUE"""),"https://gld.legislaturacba.gob.ar/_cdd/api/Documento/descargar?guid=9b1dd03a-12e6-48f6-8f8e-c9a38832de03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v>
      </c>
      <c r="R124" s="20" t="str">
        <f ca="1">IFERROR(__xludf.DUMMYFUNCTION("""COMPUTED_VALUE"""),"NA")</f>
        <v>NA</v>
      </c>
      <c r="S124" s="113" t="str">
        <f ca="1">IFERROR(__xludf.DUMMYFUNCTION("""COMPUTED_VALUE"""),"https://gld.legislaturacba.gob.ar/Publics/Actas.aspx?id=uEgH03TMWzo=")</f>
        <v>https://gld.legislaturacba.gob.ar/Publics/Actas.aspx?id=uEgH03TMWzo=</v>
      </c>
      <c r="T124" s="99">
        <f t="shared" ca="1" si="0"/>
        <v>0</v>
      </c>
    </row>
    <row r="125" spans="1:20">
      <c r="A125" s="20">
        <f ca="1">IFERROR(__xludf.DUMMYFUNCTION("""COMPUTED_VALUE"""),124)</f>
        <v>124</v>
      </c>
      <c r="B125" s="20">
        <f ca="1">IFERROR(__xludf.DUMMYFUNCTION("""COMPUTED_VALUE"""),2020)</f>
        <v>2020</v>
      </c>
      <c r="C125" s="20" t="str">
        <f ca="1">IFERROR(__xludf.DUMMYFUNCTION("""COMPUTED_VALUE"""),"VIRTUAL")</f>
        <v>VIRTUAL</v>
      </c>
      <c r="D125" s="96">
        <f ca="1">IFERROR(__xludf.DUMMYFUNCTION("""COMPUTED_VALUE"""),44070)</f>
        <v>44070</v>
      </c>
      <c r="E125" s="20" t="str">
        <f ca="1">IFERROR(__xludf.DUMMYFUNCTION("""COMPUTED_VALUE"""),"NO")</f>
        <v>NO</v>
      </c>
      <c r="F125" s="20" t="str">
        <f ca="1">IFERROR(__xludf.DUMMYFUNCTION("""COMPUTED_VALUE"""),"SALUD HUMANA")</f>
        <v>SALUD HUMANA</v>
      </c>
      <c r="G125" s="20">
        <f ca="1">IFERROR(__xludf.DUMMYFUNCTION("""COMPUTED_VALUE"""),1)</f>
        <v>1</v>
      </c>
      <c r="H125" s="20">
        <f ca="1">IFERROR(__xludf.DUMMYFUNCTION("""COMPUTED_VALUE"""),3)</f>
        <v>3</v>
      </c>
      <c r="I125" s="20">
        <f ca="1">IFERROR(__xludf.DUMMYFUNCTION("""COMPUTED_VALUE"""),1)</f>
        <v>1</v>
      </c>
      <c r="J125" s="20" t="str">
        <f ca="1">IFERROR(__xludf.DUMMYFUNCTION("""COMPUTED_VALUE"""),"Ley")</f>
        <v>Ley</v>
      </c>
      <c r="K125" s="20">
        <f ca="1">IFERROR(__xludf.DUMMYFUNCTION("""COMPUTED_VALUE"""),30909)</f>
        <v>30909</v>
      </c>
      <c r="L125" s="20" t="str">
        <f ca="1">IFERROR(__xludf.DUMMYFUNCTION("""COMPUTED_VALUE"""),"Poder Legislativo Provincial")</f>
        <v>Poder Legislativo Provincial</v>
      </c>
      <c r="M125" s="20" t="str">
        <f ca="1">IFERROR(__xludf.DUMMYFUNCTION("""COMPUTED_VALUE"""),"Proyecto de Ley 30909/L/20, iniciado por los legisladores Irazuzta, Arduh, Paleo, Capitani, de Ferrari Rueda, Ambrosio, Recalde, Caffaratti, Jure, Gudiño, García Elorrio, Marcone, Rins, Garade Panetta, Rossi, Carrillo y Cossar, regulando el protocolo diri"&amp;"gido a personas ingresadas a internación por el virus SARS-CoV-2 u otras patologías, en los que la valoración clínica hagan prever una inminente intubación o una evolución irreversible hacia la fatalidad; creando un protocolo a los efectos de garantizar e"&amp;"l derecho de visitas y/o conexión virtual de los/las pacientes.")</f>
        <v>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v>
      </c>
      <c r="N125" s="20" t="str">
        <f ca="1">IFERROR(__xludf.DUMMYFUNCTION("""COMPUTED_VALUE"""),"NO")</f>
        <v>NO</v>
      </c>
      <c r="O125" s="20" t="str">
        <f ca="1">IFERROR(__xludf.DUMMYFUNCTION("""COMPUTED_VALUE"""),"SI")</f>
        <v>SI</v>
      </c>
      <c r="P125" s="20">
        <f ca="1">IFERROR(__xludf.DUMMYFUNCTION("""COMPUTED_VALUE"""),3)</f>
        <v>3</v>
      </c>
      <c r="Q125" s="113" t="str">
        <f ca="1">IFERROR(__xludf.DUMMYFUNCTION("""COMPUTED_VALUE"""),"https://gld.legislaturacba.gob.ar/_cdd/api/Documento/descargar?guid=a0d14339-3ca8-4067-976f-8d18bed4ab51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v>
      </c>
      <c r="R125" s="113" t="str">
        <f ca="1">IFERROR(__xludf.DUMMYFUNCTION("""COMPUTED_VALUE"""),"https://www.youtube.com/watch?v=at6uURE5PNU")</f>
        <v>https://www.youtube.com/watch?v=at6uURE5PNU</v>
      </c>
      <c r="S125" s="113" t="str">
        <f ca="1">IFERROR(__xludf.DUMMYFUNCTION("""COMPUTED_VALUE"""),"https://gld.legislaturacba.gob.ar/Publics/Actas.aspx?id=SrgkloHQ82k=")</f>
        <v>https://gld.legislaturacba.gob.ar/Publics/Actas.aspx?id=SrgkloHQ82k=</v>
      </c>
      <c r="T125" s="99">
        <f t="shared" ca="1" si="0"/>
        <v>0</v>
      </c>
    </row>
    <row r="126" spans="1:20">
      <c r="A126" s="20">
        <f ca="1">IFERROR(__xludf.DUMMYFUNCTION("""COMPUTED_VALUE"""),125)</f>
        <v>125</v>
      </c>
      <c r="B126" s="20">
        <f ca="1">IFERROR(__xludf.DUMMYFUNCTION("""COMPUTED_VALUE"""),2020)</f>
        <v>2020</v>
      </c>
      <c r="C126" s="20" t="str">
        <f ca="1">IFERROR(__xludf.DUMMYFUNCTION("""COMPUTED_VALUE"""),"VIRTUAL")</f>
        <v>VIRTUAL</v>
      </c>
      <c r="D126" s="96">
        <f ca="1">IFERROR(__xludf.DUMMYFUNCTION("""COMPUTED_VALUE"""),44070)</f>
        <v>44070</v>
      </c>
      <c r="E126" s="20" t="str">
        <f ca="1">IFERROR(__xludf.DUMMYFUNCTION("""COMPUTED_VALUE"""),"SI")</f>
        <v>SI</v>
      </c>
      <c r="F126" s="20" t="str">
        <f ca="1">IFERROR(__xludf.DUMMYFUNCTION("""COMPUTED_VALUE"""),"ECONOMÍA, PRESUPUESTO, GESTIÓN PÚBLICA E INNOVACIÓN;LEGISLACIÓN GENERAL")</f>
        <v>ECONOMÍA, PRESUPUESTO, GESTIÓN PÚBLICA E INNOVACIÓN;LEGISLACIÓN GENERAL</v>
      </c>
      <c r="G126" s="20">
        <f ca="1">IFERROR(__xludf.DUMMYFUNCTION("""COMPUTED_VALUE"""),2)</f>
        <v>2</v>
      </c>
      <c r="H126" s="20">
        <f ca="1">IFERROR(__xludf.DUMMYFUNCTION("""COMPUTED_VALUE"""),1)</f>
        <v>1</v>
      </c>
      <c r="I126" s="20">
        <f ca="1">IFERROR(__xludf.DUMMYFUNCTION("""COMPUTED_VALUE"""),1)</f>
        <v>1</v>
      </c>
      <c r="J126" s="20" t="str">
        <f ca="1">IFERROR(__xludf.DUMMYFUNCTION("""COMPUTED_VALUE"""),"Ley")</f>
        <v>Ley</v>
      </c>
      <c r="K126" s="20">
        <f ca="1">IFERROR(__xludf.DUMMYFUNCTION("""COMPUTED_VALUE"""),30935)</f>
        <v>30935</v>
      </c>
      <c r="L126" s="20" t="str">
        <f ca="1">IFERROR(__xludf.DUMMYFUNCTION("""COMPUTED_VALUE"""),"Poder Ejecutivo Provincial")</f>
        <v>Poder Ejecutivo Provincial</v>
      </c>
      <c r="M126" s="20" t="str">
        <f ca="1">IFERROR(__xludf.DUMMYFUNCTION("""COMPUTED_VALUE"""),"Proyecto de Ley 30935/L/20, propiciando la ratificación legislativa de los Decretos Nros. 217/20, 252/20, 505/20, 516/20 y 522/20, mediante los cuales se dispuso la eximición del pago de impuestos, la validación de controles mediante plataformas digitales"&amp;" por parte de la DGR y diversas exenciones y diferimientos impositivos, todo en el marco de la Emergencia Sanitaria.")</f>
        <v>Proyecto de Ley 30935/L/20, propiciando la ratificación legislativa de los Decretos Nros. 217/20, 252/20, 505/20, 516/20 y 522/20, mediante los cuales se dispuso la eximición del pago de impuestos, la validación de controles mediante plataformas digitales por parte de la DGR y diversas exenciones y diferimientos impositivos, todo en el marco de la Emergencia Sanitaria.</v>
      </c>
      <c r="N126" s="20" t="str">
        <f ca="1">IFERROR(__xludf.DUMMYFUNCTION("""COMPUTED_VALUE"""),"SI")</f>
        <v>SI</v>
      </c>
      <c r="O126" s="20" t="str">
        <f ca="1">IFERROR(__xludf.DUMMYFUNCTION("""COMPUTED_VALUE"""),"NO")</f>
        <v>NO</v>
      </c>
      <c r="P126" s="20">
        <f ca="1">IFERROR(__xludf.DUMMYFUNCTION("""COMPUTED_VALUE"""),0)</f>
        <v>0</v>
      </c>
      <c r="Q126" s="113" t="str">
        <f ca="1">IFERROR(__xludf.DUMMYFUNCTION("""COMPUTED_VALUE"""),"https://gld.legislaturacba.gob.ar/_cdd/api/Documento/descargar?guid=ecbbd3d7-b741-4664-9052-08c652a874e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v>
      </c>
      <c r="R126" s="113" t="str">
        <f ca="1">IFERROR(__xludf.DUMMYFUNCTION("""COMPUTED_VALUE"""),"https://www.youtube.com/watch?v=eA5paX3p0PQ")</f>
        <v>https://www.youtube.com/watch?v=eA5paX3p0PQ</v>
      </c>
      <c r="S126" s="113" t="str">
        <f ca="1">IFERROR(__xludf.DUMMYFUNCTION("""COMPUTED_VALUE"""),"https://gld.legislaturacba.gob.ar/Publics/Actas.aspx?id=vH1r7IVgwrc=;https://gld.legislaturacba.gob.ar/Publics/Actas.aspx?id=ZGI1f9LVcbw=")</f>
        <v>https://gld.legislaturacba.gob.ar/Publics/Actas.aspx?id=vH1r7IVgwrc=;https://gld.legislaturacba.gob.ar/Publics/Actas.aspx?id=ZGI1f9LVcbw=</v>
      </c>
      <c r="T126" s="99">
        <f t="shared" ca="1" si="0"/>
        <v>0</v>
      </c>
    </row>
    <row r="127" spans="1:20">
      <c r="A127" s="20">
        <f ca="1">IFERROR(__xludf.DUMMYFUNCTION("""COMPUTED_VALUE"""),126)</f>
        <v>126</v>
      </c>
      <c r="B127" s="20">
        <f ca="1">IFERROR(__xludf.DUMMYFUNCTION("""COMPUTED_VALUE"""),2020)</f>
        <v>2020</v>
      </c>
      <c r="C127" s="20" t="str">
        <f ca="1">IFERROR(__xludf.DUMMYFUNCTION("""COMPUTED_VALUE"""),"VIRTUAL")</f>
        <v>VIRTUAL</v>
      </c>
      <c r="D127" s="96">
        <f ca="1">IFERROR(__xludf.DUMMYFUNCTION("""COMPUTED_VALUE"""),44070)</f>
        <v>44070</v>
      </c>
      <c r="E127" s="20" t="str">
        <f ca="1">IFERROR(__xludf.DUMMYFUNCTION("""COMPUTED_VALUE"""),"NO")</f>
        <v>NO</v>
      </c>
      <c r="F127" s="20" t="str">
        <f ca="1">IFERROR(__xludf.DUMMYFUNCTION("""COMPUTED_VALUE"""),"DERECHOS HUMANOS Y DESARROLLO SOCIAL")</f>
        <v>DERECHOS HUMANOS Y DESARROLLO SOCIAL</v>
      </c>
      <c r="G127" s="20">
        <f ca="1">IFERROR(__xludf.DUMMYFUNCTION("""COMPUTED_VALUE"""),1)</f>
        <v>1</v>
      </c>
      <c r="H127" s="20">
        <f ca="1">IFERROR(__xludf.DUMMYFUNCTION("""COMPUTED_VALUE"""),1)</f>
        <v>1</v>
      </c>
      <c r="I127" s="20">
        <f ca="1">IFERROR(__xludf.DUMMYFUNCTION("""COMPUTED_VALUE"""),1)</f>
        <v>1</v>
      </c>
      <c r="J127" s="20" t="str">
        <f ca="1">IFERROR(__xludf.DUMMYFUNCTION("""COMPUTED_VALUE"""),"Ley")</f>
        <v>Ley</v>
      </c>
      <c r="K127" s="20">
        <f ca="1">IFERROR(__xludf.DUMMYFUNCTION("""COMPUTED_VALUE"""),30936)</f>
        <v>30936</v>
      </c>
      <c r="L127" s="20" t="str">
        <f ca="1">IFERROR(__xludf.DUMMYFUNCTION("""COMPUTED_VALUE"""),"Poder Ejecutivo Provincial")</f>
        <v>Poder Ejecutivo Provincial</v>
      </c>
      <c r="M127" s="20" t="str">
        <f ca="1">IFERROR(__xludf.DUMMYFUNCTION("""COMPUTED_VALUE"""),"Proyecto de Ley 30936/E/20, declarando de utilidad pública y sujeto a expropiación una fracción de terreno ubicada en Pedanía Lagunilla, Departamento Santa María, que tiene por objeto la regularización dominial del sector, entregando títulos a los poseedo"&amp;"res y destinando las fracciones restantes a la construcción de planes de viviendas.")</f>
        <v>Proyecto de Ley 30936/E/20,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v>
      </c>
      <c r="N127" s="20" t="str">
        <f ca="1">IFERROR(__xludf.DUMMYFUNCTION("""COMPUTED_VALUE"""),"NO")</f>
        <v>NO</v>
      </c>
      <c r="O127" s="20" t="str">
        <f ca="1">IFERROR(__xludf.DUMMYFUNCTION("""COMPUTED_VALUE"""),"SI")</f>
        <v>SI</v>
      </c>
      <c r="P127" s="20">
        <f ca="1">IFERROR(__xludf.DUMMYFUNCTION("""COMPUTED_VALUE"""),2)</f>
        <v>2</v>
      </c>
      <c r="Q127" s="113" t="str">
        <f ca="1">IFERROR(__xludf.DUMMYFUNCTION("""COMPUTED_VALUE"""),"https://gld.legislaturacba.gob.ar/_cdd/api/Documento/descargar?guid=07e8ad9e-cc60-4693-b3ed-766ce621e391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v>
      </c>
      <c r="R127" s="20" t="str">
        <f ca="1">IFERROR(__xludf.DUMMYFUNCTION("""COMPUTED_VALUE"""),"NA")</f>
        <v>NA</v>
      </c>
      <c r="S127" s="113" t="str">
        <f ca="1">IFERROR(__xludf.DUMMYFUNCTION("""COMPUTED_VALUE"""),"https://gld.legislaturacba.gob.ar/Publics/Actas.aspx?id=K6CYXQ9mI7U=")</f>
        <v>https://gld.legislaturacba.gob.ar/Publics/Actas.aspx?id=K6CYXQ9mI7U=</v>
      </c>
      <c r="T127" s="99">
        <f t="shared" ca="1" si="0"/>
        <v>0</v>
      </c>
    </row>
    <row r="128" spans="1:20">
      <c r="A128" s="20">
        <f ca="1">IFERROR(__xludf.DUMMYFUNCTION("""COMPUTED_VALUE"""),127)</f>
        <v>127</v>
      </c>
      <c r="B128" s="20">
        <f ca="1">IFERROR(__xludf.DUMMYFUNCTION("""COMPUTED_VALUE"""),2020)</f>
        <v>2020</v>
      </c>
      <c r="C128" s="20" t="str">
        <f ca="1">IFERROR(__xludf.DUMMYFUNCTION("""COMPUTED_VALUE"""),"VIRTUAL")</f>
        <v>VIRTUAL</v>
      </c>
      <c r="D128" s="96">
        <f ca="1">IFERROR(__xludf.DUMMYFUNCTION("""COMPUTED_VALUE"""),44075)</f>
        <v>44075</v>
      </c>
      <c r="E128" s="20" t="str">
        <f ca="1">IFERROR(__xludf.DUMMYFUNCTION("""COMPUTED_VALUE"""),"NO")</f>
        <v>NO</v>
      </c>
      <c r="F128" s="20" t="str">
        <f ca="1">IFERROR(__xludf.DUMMYFUNCTION("""COMPUTED_VALUE"""),"ASUNTOS CONSTITUCIONALES, JUSTICIA Y ACUERDOS")</f>
        <v>ASUNTOS CONSTITUCIONALES, JUSTICIA Y ACUERDOS</v>
      </c>
      <c r="G128" s="20">
        <f ca="1">IFERROR(__xludf.DUMMYFUNCTION("""COMPUTED_VALUE"""),1)</f>
        <v>1</v>
      </c>
      <c r="H128" s="20">
        <f ca="1">IFERROR(__xludf.DUMMYFUNCTION("""COMPUTED_VALUE"""),1)</f>
        <v>1</v>
      </c>
      <c r="I128" s="20">
        <f ca="1">IFERROR(__xludf.DUMMYFUNCTION("""COMPUTED_VALUE"""),1)</f>
        <v>1</v>
      </c>
      <c r="J128" s="20" t="str">
        <f ca="1">IFERROR(__xludf.DUMMYFUNCTION("""COMPUTED_VALUE"""),"Nota")</f>
        <v>Nota</v>
      </c>
      <c r="K128" s="20">
        <f ca="1">IFERROR(__xludf.DUMMYFUNCTION("""COMPUTED_VALUE"""),30977)</f>
        <v>30977</v>
      </c>
      <c r="L128" s="20" t="str">
        <f ca="1">IFERROR(__xludf.DUMMYFUNCTION("""COMPUTED_VALUE"""),"Poder Ejecutivo Provincial")</f>
        <v>Poder Ejecutivo Provincial</v>
      </c>
      <c r="M128" s="20" t="str">
        <f ca="1">IFERROR(__xludf.DUMMYFUNCTION("""COMPUTED_VALUE"""),"Nota 30977/N/20, remitida por el Poder Ejecutivo ejerciendo veto parcial (Art. 109 y 104 CP) sobre la Ley Nº 10.705 modificatoria del Código arancelario para Abogados y Procuradores de la Provincia de Córdoba.")</f>
        <v>Nota 30977/N/20, remitida por el Poder Ejecutivo ejerciendo veto parcial (Art. 109 y 104 CP) sobre la Ley Nº 10.705 modificatoria del Código arancelario para Abogados y Procuradores de la Provincia de Córdoba.</v>
      </c>
      <c r="N128" s="20" t="str">
        <f ca="1">IFERROR(__xludf.DUMMYFUNCTION("""COMPUTED_VALUE"""),"SI")</f>
        <v>SI</v>
      </c>
      <c r="O128" s="20" t="str">
        <f ca="1">IFERROR(__xludf.DUMMYFUNCTION("""COMPUTED_VALUE"""),"NO")</f>
        <v>NO</v>
      </c>
      <c r="P128" s="20">
        <f ca="1">IFERROR(__xludf.DUMMYFUNCTION("""COMPUTED_VALUE"""),0)</f>
        <v>0</v>
      </c>
      <c r="Q128" s="113" t="str">
        <f ca="1">IFERROR(__xludf.DUMMYFUNCTION("""COMPUTED_VALUE"""),"https://gld.legislaturacba.gob.ar/_cdd/api/Documento/descargar?guid=672f12f6-5ab4-448c-8bcc-42450a289323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v>
      </c>
      <c r="R128" s="113" t="str">
        <f ca="1">IFERROR(__xludf.DUMMYFUNCTION("""COMPUTED_VALUE"""),"https://www.youtube.com/watch?v=7Vn9mBijDiA")</f>
        <v>https://www.youtube.com/watch?v=7Vn9mBijDiA</v>
      </c>
      <c r="S128" s="113" t="str">
        <f ca="1">IFERROR(__xludf.DUMMYFUNCTION("""COMPUTED_VALUE"""),"https://gld.legislaturacba.gob.ar/Publics/Actas.aspx?id=Tz6t9K5zrMo=")</f>
        <v>https://gld.legislaturacba.gob.ar/Publics/Actas.aspx?id=Tz6t9K5zrMo=</v>
      </c>
      <c r="T128" s="99">
        <f t="shared" ca="1" si="0"/>
        <v>0</v>
      </c>
    </row>
    <row r="129" spans="1:20">
      <c r="A129" s="20">
        <f ca="1">IFERROR(__xludf.DUMMYFUNCTION("""COMPUTED_VALUE"""),128)</f>
        <v>128</v>
      </c>
      <c r="B129" s="20">
        <f ca="1">IFERROR(__xludf.DUMMYFUNCTION("""COMPUTED_VALUE"""),2020)</f>
        <v>2020</v>
      </c>
      <c r="C129" s="20" t="str">
        <f ca="1">IFERROR(__xludf.DUMMYFUNCTION("""COMPUTED_VALUE"""),"VIRTUAL")</f>
        <v>VIRTUAL</v>
      </c>
      <c r="D129" s="96">
        <f ca="1">IFERROR(__xludf.DUMMYFUNCTION("""COMPUTED_VALUE"""),44075)</f>
        <v>44075</v>
      </c>
      <c r="E129" s="20" t="str">
        <f ca="1">IFERROR(__xludf.DUMMYFUNCTION("""COMPUTED_VALUE"""),"SI")</f>
        <v>SI</v>
      </c>
      <c r="F129" s="20" t="str">
        <f ca="1">IFERROR(__xludf.DUMMYFUNCTION("""COMPUTED_VALUE"""),"DEPORTES Y RECREACIÓN;LEGISLACIÓN GENERAL;TURISMO Y SU RELACIÓN CON EL DESARROLLO REGIONAL")</f>
        <v>DEPORTES Y RECREACIÓN;LEGISLACIÓN GENERAL;TURISMO Y SU RELACIÓN CON EL DESARROLLO REGIONAL</v>
      </c>
      <c r="G129" s="20">
        <f ca="1">IFERROR(__xludf.DUMMYFUNCTION("""COMPUTED_VALUE"""),3)</f>
        <v>3</v>
      </c>
      <c r="H129" s="20">
        <f ca="1">IFERROR(__xludf.DUMMYFUNCTION("""COMPUTED_VALUE"""),1)</f>
        <v>1</v>
      </c>
      <c r="I129" s="20">
        <f ca="1">IFERROR(__xludf.DUMMYFUNCTION("""COMPUTED_VALUE"""),1)</f>
        <v>1</v>
      </c>
      <c r="J129" s="20" t="str">
        <f ca="1">IFERROR(__xludf.DUMMYFUNCTION("""COMPUTED_VALUE"""),"Ley")</f>
        <v>Ley</v>
      </c>
      <c r="K129" s="20">
        <f ca="1">IFERROR(__xludf.DUMMYFUNCTION("""COMPUTED_VALUE"""),29918)</f>
        <v>29918</v>
      </c>
      <c r="L129" s="20" t="str">
        <f ca="1">IFERROR(__xludf.DUMMYFUNCTION("""COMPUTED_VALUE"""),"Poder Legislativo Provincial")</f>
        <v>Poder Legislativo Provincial</v>
      </c>
      <c r="M129"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29" s="20" t="str">
        <f ca="1">IFERROR(__xludf.DUMMYFUNCTION("""COMPUTED_VALUE"""),"NO")</f>
        <v>NO</v>
      </c>
      <c r="O129" s="20" t="str">
        <f ca="1">IFERROR(__xludf.DUMMYFUNCTION("""COMPUTED_VALUE"""),"NO")</f>
        <v>NO</v>
      </c>
      <c r="P129" s="20">
        <f ca="1">IFERROR(__xludf.DUMMYFUNCTION("""COMPUTED_VALUE"""),0)</f>
        <v>0</v>
      </c>
      <c r="Q129" s="113" t="str">
        <f ca="1">IFERROR(__xludf.DUMMYFUNCTION("""COMPUTED_VALUE"""),"https://gld.legislaturacba.gob.ar/_cdd/api/Documento/descargar?guid=bc80f525-346e-4e54-bb32-3a4e0e95eec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v>
      </c>
      <c r="R129" s="113" t="str">
        <f ca="1">IFERROR(__xludf.DUMMYFUNCTION("""COMPUTED_VALUE"""),"https://www.youtube.com/watch?v=C0GkAsSbHM0")</f>
        <v>https://www.youtube.com/watch?v=C0GkAsSbHM0</v>
      </c>
      <c r="S129" s="113" t="str">
        <f ca="1">IFERROR(__xludf.DUMMYFUNCTION("""COMPUTED_VALUE"""),"https://gld.legislaturacba.gob.ar/Publics/Actas.aspx?id=MsNHQuKT_rI=;https://gld.legislaturacba.gob.ar/Publics/Actas.aspx?id=0FBdnpclJUs=;https://gld.legislaturacba.gob.ar/Publics/Actas.aspx?id=TDdQKWj1Gas=")</f>
        <v>https://gld.legislaturacba.gob.ar/Publics/Actas.aspx?id=MsNHQuKT_rI=;https://gld.legislaturacba.gob.ar/Publics/Actas.aspx?id=0FBdnpclJUs=;https://gld.legislaturacba.gob.ar/Publics/Actas.aspx?id=TDdQKWj1Gas=</v>
      </c>
      <c r="T129" s="99">
        <f t="shared" ca="1" si="0"/>
        <v>0</v>
      </c>
    </row>
    <row r="130" spans="1:20">
      <c r="A130" s="20">
        <f ca="1">IFERROR(__xludf.DUMMYFUNCTION("""COMPUTED_VALUE"""),129)</f>
        <v>129</v>
      </c>
      <c r="B130" s="20">
        <f ca="1">IFERROR(__xludf.DUMMYFUNCTION("""COMPUTED_VALUE"""),2020)</f>
        <v>2020</v>
      </c>
      <c r="C130" s="20" t="str">
        <f ca="1">IFERROR(__xludf.DUMMYFUNCTION("""COMPUTED_VALUE"""),"VIRTUAL")</f>
        <v>VIRTUAL</v>
      </c>
      <c r="D130" s="96">
        <f ca="1">IFERROR(__xludf.DUMMYFUNCTION("""COMPUTED_VALUE"""),44076)</f>
        <v>44076</v>
      </c>
      <c r="E130" s="20" t="str">
        <f ca="1">IFERROR(__xludf.DUMMYFUNCTION("""COMPUTED_VALUE"""),"NO")</f>
        <v>NO</v>
      </c>
      <c r="F130" s="20" t="str">
        <f ca="1">IFERROR(__xludf.DUMMYFUNCTION("""COMPUTED_VALUE"""),"EDUCACIÓN, CULTURA, CIENCIA, TECNOLOGÍA E INFORMÁTICA")</f>
        <v>EDUCACIÓN, CULTURA, CIENCIA, TECNOLOGÍA E INFORMÁTICA</v>
      </c>
      <c r="G130" s="20">
        <f ca="1">IFERROR(__xludf.DUMMYFUNCTION("""COMPUTED_VALUE"""),1)</f>
        <v>1</v>
      </c>
      <c r="H130" s="20">
        <f ca="1">IFERROR(__xludf.DUMMYFUNCTION("""COMPUTED_VALUE"""),1)</f>
        <v>1</v>
      </c>
      <c r="I130" s="20">
        <f ca="1">IFERROR(__xludf.DUMMYFUNCTION("""COMPUTED_VALUE"""),1)</f>
        <v>1</v>
      </c>
      <c r="J130" s="20" t="str">
        <f ca="1">IFERROR(__xludf.DUMMYFUNCTION("""COMPUTED_VALUE"""),"NC")</f>
        <v>NC</v>
      </c>
      <c r="K130" s="20" t="str">
        <f ca="1">IFERROR(__xludf.DUMMYFUNCTION("""COMPUTED_VALUE"""),"NA")</f>
        <v>NA</v>
      </c>
      <c r="L130" s="20" t="str">
        <f ca="1">IFERROR(__xludf.DUMMYFUNCTION("""COMPUTED_VALUE"""),"NA")</f>
        <v>NA</v>
      </c>
      <c r="M130" s="20" t="str">
        <f ca="1">IFERROR(__xludf.DUMMYFUNCTION("""COMPUTED_VALUE"""),"Situación del sector de artistas y de las salas de teatro de Córdoba en el marco de la Pandemia COVID-19.")</f>
        <v>Situación del sector de artistas y de las salas de teatro de Córdoba en el marco de la Pandemia COVID-19.</v>
      </c>
      <c r="N130" s="20" t="str">
        <f ca="1">IFERROR(__xludf.DUMMYFUNCTION("""COMPUTED_VALUE"""),"NA")</f>
        <v>NA</v>
      </c>
      <c r="O130" s="20" t="str">
        <f ca="1">IFERROR(__xludf.DUMMYFUNCTION("""COMPUTED_VALUE"""),"SI")</f>
        <v>SI</v>
      </c>
      <c r="P130" s="20">
        <f ca="1">IFERROR(__xludf.DUMMYFUNCTION("""COMPUTED_VALUE"""),3)</f>
        <v>3</v>
      </c>
      <c r="Q130" s="113" t="str">
        <f ca="1">IFERROR(__xludf.DUMMYFUNCTION("""COMPUTED_VALUE"""),"https://gld.legislaturacba.gob.ar/_cdd/api/Documento/descargar?guid=4e617ad6-6271-4dbb-8e91-ceacfe143e92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v>
      </c>
      <c r="R130" s="20" t="str">
        <f ca="1">IFERROR(__xludf.DUMMYFUNCTION("""COMPUTED_VALUE"""),"NA")</f>
        <v>NA</v>
      </c>
      <c r="S130" s="113" t="str">
        <f ca="1">IFERROR(__xludf.DUMMYFUNCTION("""COMPUTED_VALUE"""),"https://gld.legislaturacba.gob.ar/Publics/Actas.aspx?id=gTl7fVOeuB8=")</f>
        <v>https://gld.legislaturacba.gob.ar/Publics/Actas.aspx?id=gTl7fVOeuB8=</v>
      </c>
      <c r="T130" s="99">
        <f t="shared" ca="1" si="0"/>
        <v>0</v>
      </c>
    </row>
    <row r="131" spans="1:20">
      <c r="A131" s="20">
        <f ca="1">IFERROR(__xludf.DUMMYFUNCTION("""COMPUTED_VALUE"""),130)</f>
        <v>130</v>
      </c>
      <c r="B131" s="20">
        <f ca="1">IFERROR(__xludf.DUMMYFUNCTION("""COMPUTED_VALUE"""),2020)</f>
        <v>2020</v>
      </c>
      <c r="C131" s="20" t="str">
        <f ca="1">IFERROR(__xludf.DUMMYFUNCTION("""COMPUTED_VALUE"""),"VIRTUAL")</f>
        <v>VIRTUAL</v>
      </c>
      <c r="D131" s="96">
        <f ca="1">IFERROR(__xludf.DUMMYFUNCTION("""COMPUTED_VALUE"""),44077)</f>
        <v>44077</v>
      </c>
      <c r="E131" s="20" t="str">
        <f ca="1">IFERROR(__xludf.DUMMYFUNCTION("""COMPUTED_VALUE"""),"NO")</f>
        <v>NO</v>
      </c>
      <c r="F131" s="20" t="str">
        <f ca="1">IFERROR(__xludf.DUMMYFUNCTION("""COMPUTED_VALUE"""),"AGRICULTURA, GANADERÍA Y RECURSOS RENOVABLES")</f>
        <v>AGRICULTURA, GANADERÍA Y RECURSOS RENOVABLES</v>
      </c>
      <c r="G131" s="20">
        <f ca="1">IFERROR(__xludf.DUMMYFUNCTION("""COMPUTED_VALUE"""),1)</f>
        <v>1</v>
      </c>
      <c r="H131" s="20">
        <f ca="1">IFERROR(__xludf.DUMMYFUNCTION("""COMPUTED_VALUE"""),1)</f>
        <v>1</v>
      </c>
      <c r="I131" s="20">
        <f ca="1">IFERROR(__xludf.DUMMYFUNCTION("""COMPUTED_VALUE"""),1)</f>
        <v>1</v>
      </c>
      <c r="J131" s="20" t="str">
        <f ca="1">IFERROR(__xludf.DUMMYFUNCTION("""COMPUTED_VALUE"""),"NC")</f>
        <v>NC</v>
      </c>
      <c r="K131" s="20" t="str">
        <f ca="1">IFERROR(__xludf.DUMMYFUNCTION("""COMPUTED_VALUE"""),"NA")</f>
        <v>NA</v>
      </c>
      <c r="L131" s="20" t="str">
        <f ca="1">IFERROR(__xludf.DUMMYFUNCTION("""COMPUTED_VALUE"""),"NA")</f>
        <v>NA</v>
      </c>
      <c r="M131" s="20" t="str">
        <f ca="1">IFERROR(__xludf.DUMMYFUNCTION("""COMPUTED_VALUE"""),"Presentación del Programa de Desarrollo de la Cadena Caprina (ProDeCCa) para el Noroeste de la Provincia de Córdoba.")</f>
        <v>Presentación del Programa de Desarrollo de la Cadena Caprina (ProDeCCa) para el Noroeste de la Provincia de Córdoba.</v>
      </c>
      <c r="N131" s="20" t="str">
        <f ca="1">IFERROR(__xludf.DUMMYFUNCTION("""COMPUTED_VALUE"""),"NA")</f>
        <v>NA</v>
      </c>
      <c r="O131" s="20" t="str">
        <f ca="1">IFERROR(__xludf.DUMMYFUNCTION("""COMPUTED_VALUE"""),"SI")</f>
        <v>SI</v>
      </c>
      <c r="P131" s="20">
        <f ca="1">IFERROR(__xludf.DUMMYFUNCTION("""COMPUTED_VALUE"""),1)</f>
        <v>1</v>
      </c>
      <c r="Q131" s="113" t="str">
        <f ca="1">IFERROR(__xludf.DUMMYFUNCTION("""COMPUTED_VALUE"""),"https://gld.legislaturacba.gob.ar/_cdd/api/Documento/descargar?guid=8d5e5d7a-fecc-4dd2-9681-db21ed172b56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v>
      </c>
      <c r="R131" s="113" t="str">
        <f ca="1">IFERROR(__xludf.DUMMYFUNCTION("""COMPUTED_VALUE"""),"https://www.youtube.com/watch?v=7Vn9mBijDiA")</f>
        <v>https://www.youtube.com/watch?v=7Vn9mBijDiA</v>
      </c>
      <c r="S131" s="113" t="str">
        <f ca="1">IFERROR(__xludf.DUMMYFUNCTION("""COMPUTED_VALUE"""),"https://gld.legislaturacba.gob.ar/Publics/Actas.aspx?id=SeKyNVbxBw8=")</f>
        <v>https://gld.legislaturacba.gob.ar/Publics/Actas.aspx?id=SeKyNVbxBw8=</v>
      </c>
      <c r="T131" s="99">
        <f t="shared" ca="1" si="0"/>
        <v>0</v>
      </c>
    </row>
    <row r="132" spans="1:20">
      <c r="A132" s="20">
        <f ca="1">IFERROR(__xludf.DUMMYFUNCTION("""COMPUTED_VALUE"""),131)</f>
        <v>131</v>
      </c>
      <c r="B132" s="20">
        <f ca="1">IFERROR(__xludf.DUMMYFUNCTION("""COMPUTED_VALUE"""),2020)</f>
        <v>2020</v>
      </c>
      <c r="C132" s="20" t="str">
        <f ca="1">IFERROR(__xludf.DUMMYFUNCTION("""COMPUTED_VALUE"""),"VIRTUAL")</f>
        <v>VIRTUAL</v>
      </c>
      <c r="D132" s="96">
        <f ca="1">IFERROR(__xludf.DUMMYFUNCTION("""COMPUTED_VALUE"""),44077)</f>
        <v>44077</v>
      </c>
      <c r="E132" s="20" t="str">
        <f ca="1">IFERROR(__xludf.DUMMYFUNCTION("""COMPUTED_VALUE"""),"NO")</f>
        <v>NO</v>
      </c>
      <c r="F132" s="20" t="str">
        <f ca="1">IFERROR(__xludf.DUMMYFUNCTION("""COMPUTED_VALUE"""),"PROMOCIÓN Y DEFENSA DE LOS DERECHOS DE LA NIÑEZ, ADOLESCENCIA Y FAMILIA")</f>
        <v>PROMOCIÓN Y DEFENSA DE LOS DERECHOS DE LA NIÑEZ, ADOLESCENCIA Y FAMILIA</v>
      </c>
      <c r="G132" s="20">
        <f ca="1">IFERROR(__xludf.DUMMYFUNCTION("""COMPUTED_VALUE"""),1)</f>
        <v>1</v>
      </c>
      <c r="H132" s="20">
        <f ca="1">IFERROR(__xludf.DUMMYFUNCTION("""COMPUTED_VALUE"""),1)</f>
        <v>1</v>
      </c>
      <c r="I132" s="20">
        <f ca="1">IFERROR(__xludf.DUMMYFUNCTION("""COMPUTED_VALUE"""),1)</f>
        <v>1</v>
      </c>
      <c r="J132" s="20" t="str">
        <f ca="1">IFERROR(__xludf.DUMMYFUNCTION("""COMPUTED_VALUE"""),"NC")</f>
        <v>NC</v>
      </c>
      <c r="K132" s="20" t="str">
        <f ca="1">IFERROR(__xludf.DUMMYFUNCTION("""COMPUTED_VALUE"""),"NA")</f>
        <v>NA</v>
      </c>
      <c r="L132" s="20" t="str">
        <f ca="1">IFERROR(__xludf.DUMMYFUNCTION("""COMPUTED_VALUE"""),"NA")</f>
        <v>NA</v>
      </c>
      <c r="M132" s="20" t="str">
        <f ca="1">IFERROR(__xludf.DUMMYFUNCTION("""COMPUTED_VALUE"""),"Análisis del procedimiento de adopciones en la Provincia de Córdoba.")</f>
        <v>Análisis del procedimiento de adopciones en la Provincia de Córdoba.</v>
      </c>
      <c r="N132" s="20" t="str">
        <f ca="1">IFERROR(__xludf.DUMMYFUNCTION("""COMPUTED_VALUE"""),"NA")</f>
        <v>NA</v>
      </c>
      <c r="O132" s="20" t="str">
        <f ca="1">IFERROR(__xludf.DUMMYFUNCTION("""COMPUTED_VALUE"""),"SI")</f>
        <v>SI</v>
      </c>
      <c r="P132" s="20">
        <f ca="1">IFERROR(__xludf.DUMMYFUNCTION("""COMPUTED_VALUE"""),5)</f>
        <v>5</v>
      </c>
      <c r="Q132" s="113" t="str">
        <f ca="1">IFERROR(__xludf.DUMMYFUNCTION("""COMPUTED_VALUE"""),"https://gld.legislaturacba.gob.ar/_cdd/api/Documento/descargar?guid=919f7d2b-67ed-490c-acd8-f6637a973c81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v>
      </c>
      <c r="R132" s="113" t="str">
        <f ca="1">IFERROR(__xludf.DUMMYFUNCTION("""COMPUTED_VALUE"""),"https://www.youtube.com/watch?v=qehJBhhCaIM")</f>
        <v>https://www.youtube.com/watch?v=qehJBhhCaIM</v>
      </c>
      <c r="S132" s="113" t="str">
        <f ca="1">IFERROR(__xludf.DUMMYFUNCTION("""COMPUTED_VALUE"""),"https://gld.legislaturacba.gob.ar/Publics/Actas.aspx?id=Inh6degDYrY=")</f>
        <v>https://gld.legislaturacba.gob.ar/Publics/Actas.aspx?id=Inh6degDYrY=</v>
      </c>
      <c r="T132" s="99">
        <f t="shared" ca="1" si="0"/>
        <v>0</v>
      </c>
    </row>
    <row r="133" spans="1:20">
      <c r="A133" s="20">
        <f ca="1">IFERROR(__xludf.DUMMYFUNCTION("""COMPUTED_VALUE"""),132)</f>
        <v>132</v>
      </c>
      <c r="B133" s="20">
        <f ca="1">IFERROR(__xludf.DUMMYFUNCTION("""COMPUTED_VALUE"""),2020)</f>
        <v>2020</v>
      </c>
      <c r="C133" s="20" t="str">
        <f ca="1">IFERROR(__xludf.DUMMYFUNCTION("""COMPUTED_VALUE"""),"VIRTUAL")</f>
        <v>VIRTUAL</v>
      </c>
      <c r="D133" s="96">
        <f ca="1">IFERROR(__xludf.DUMMYFUNCTION("""COMPUTED_VALUE"""),44077)</f>
        <v>44077</v>
      </c>
      <c r="E133" s="20" t="str">
        <f ca="1">IFERROR(__xludf.DUMMYFUNCTION("""COMPUTED_VALUE"""),"NO")</f>
        <v>NO</v>
      </c>
      <c r="F133" s="20" t="str">
        <f ca="1">IFERROR(__xludf.DUMMYFUNCTION("""COMPUTED_VALUE"""),"TURISMO Y SU RELACIÓN CON EL DESARROLLO REGIONAL")</f>
        <v>TURISMO Y SU RELACIÓN CON EL DESARROLLO REGIONAL</v>
      </c>
      <c r="G133" s="20">
        <f ca="1">IFERROR(__xludf.DUMMYFUNCTION("""COMPUTED_VALUE"""),1)</f>
        <v>1</v>
      </c>
      <c r="H133" s="20">
        <f ca="1">IFERROR(__xludf.DUMMYFUNCTION("""COMPUTED_VALUE"""),1)</f>
        <v>1</v>
      </c>
      <c r="I133" s="20">
        <f ca="1">IFERROR(__xludf.DUMMYFUNCTION("""COMPUTED_VALUE"""),1)</f>
        <v>1</v>
      </c>
      <c r="J133" s="20" t="str">
        <f ca="1">IFERROR(__xludf.DUMMYFUNCTION("""COMPUTED_VALUE"""),"NC")</f>
        <v>NC</v>
      </c>
      <c r="K133" s="20" t="str">
        <f ca="1">IFERROR(__xludf.DUMMYFUNCTION("""COMPUTED_VALUE"""),"NA")</f>
        <v>NA</v>
      </c>
      <c r="L133" s="20" t="str">
        <f ca="1">IFERROR(__xludf.DUMMYFUNCTION("""COMPUTED_VALUE"""),"NA")</f>
        <v>NA</v>
      </c>
      <c r="M133" s="20" t="str">
        <f ca="1">IFERROR(__xludf.DUMMYFUNCTION("""COMPUTED_VALUE"""),"Situación del sector turístico de la Provincia de Córdoba en el marco del Aislamiento Social, Preventivo y Obligatorio.")</f>
        <v>Situación del sector turístico de la Provincia de Córdoba en el marco del Aislamiento Social, Preventivo y Obligatorio.</v>
      </c>
      <c r="N133" s="20" t="str">
        <f ca="1">IFERROR(__xludf.DUMMYFUNCTION("""COMPUTED_VALUE"""),"NA")</f>
        <v>NA</v>
      </c>
      <c r="O133" s="20" t="str">
        <f ca="1">IFERROR(__xludf.DUMMYFUNCTION("""COMPUTED_VALUE"""),"SI")</f>
        <v>SI</v>
      </c>
      <c r="P133" s="20">
        <f ca="1">IFERROR(__xludf.DUMMYFUNCTION("""COMPUTED_VALUE"""),18)</f>
        <v>18</v>
      </c>
      <c r="Q133" s="113" t="str">
        <f ca="1">IFERROR(__xludf.DUMMYFUNCTION("""COMPUTED_VALUE"""),"https://gld.legislaturacba.gob.ar/_cdd/api/Documento/descargar?guid=9a0dc4e7-571f-4f52-9122-5c7d3aa3e7e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v>
      </c>
      <c r="R133" s="113" t="str">
        <f ca="1">IFERROR(__xludf.DUMMYFUNCTION("""COMPUTED_VALUE"""),"https://www.youtube.com/watch?v=QB7BthKNc6M")</f>
        <v>https://www.youtube.com/watch?v=QB7BthKNc6M</v>
      </c>
      <c r="S133" s="113" t="str">
        <f ca="1">IFERROR(__xludf.DUMMYFUNCTION("""COMPUTED_VALUE"""),"https://gld.legislaturacba.gob.ar/Publics/Actas.aspx?id=rNuySbc59e4=")</f>
        <v>https://gld.legislaturacba.gob.ar/Publics/Actas.aspx?id=rNuySbc59e4=</v>
      </c>
      <c r="T133" s="99">
        <f t="shared" ca="1" si="0"/>
        <v>0</v>
      </c>
    </row>
    <row r="134" spans="1:20">
      <c r="A134" s="20">
        <f ca="1">IFERROR(__xludf.DUMMYFUNCTION("""COMPUTED_VALUE"""),133)</f>
        <v>133</v>
      </c>
      <c r="B134" s="20">
        <f ca="1">IFERROR(__xludf.DUMMYFUNCTION("""COMPUTED_VALUE"""),2020)</f>
        <v>2020</v>
      </c>
      <c r="C134" s="20" t="str">
        <f ca="1">IFERROR(__xludf.DUMMYFUNCTION("""COMPUTED_VALUE"""),"VIRTUAL")</f>
        <v>VIRTUAL</v>
      </c>
      <c r="D134" s="96">
        <f ca="1">IFERROR(__xludf.DUMMYFUNCTION("""COMPUTED_VALUE"""),44082)</f>
        <v>44082</v>
      </c>
      <c r="E134" s="20" t="str">
        <f ca="1">IFERROR(__xludf.DUMMYFUNCTION("""COMPUTED_VALUE"""),"SI")</f>
        <v>SI</v>
      </c>
      <c r="F134" s="20" t="str">
        <f ca="1">IFERROR(__xludf.DUMMYFUNCTION("""COMPUTED_VALUE"""),"LEGISLACIÓN DEL TRABAJO, PREVISIÓN Y SEGURIDAD SOCIAL;OBRAS PÚBLICAS, VIVIENDA Y COMUNICACIONES")</f>
        <v>LEGISLACIÓN DEL TRABAJO, PREVISIÓN Y SEGURIDAD SOCIAL;OBRAS PÚBLICAS, VIVIENDA Y COMUNICACIONES</v>
      </c>
      <c r="G134" s="20">
        <f ca="1">IFERROR(__xludf.DUMMYFUNCTION("""COMPUTED_VALUE"""),2)</f>
        <v>2</v>
      </c>
      <c r="H134" s="20">
        <f ca="1">IFERROR(__xludf.DUMMYFUNCTION("""COMPUTED_VALUE"""),1)</f>
        <v>1</v>
      </c>
      <c r="I134" s="20">
        <f ca="1">IFERROR(__xludf.DUMMYFUNCTION("""COMPUTED_VALUE"""),1)</f>
        <v>1</v>
      </c>
      <c r="J134" s="20" t="str">
        <f ca="1">IFERROR(__xludf.DUMMYFUNCTION("""COMPUTED_VALUE"""),"NC")</f>
        <v>NC</v>
      </c>
      <c r="K134" s="20" t="str">
        <f ca="1">IFERROR(__xludf.DUMMYFUNCTION("""COMPUTED_VALUE"""),"NA")</f>
        <v>NA</v>
      </c>
      <c r="L134" s="20" t="str">
        <f ca="1">IFERROR(__xludf.DUMMYFUNCTION("""COMPUTED_VALUE"""),"NA")</f>
        <v>NA</v>
      </c>
      <c r="M134" s="20" t="str">
        <f ca="1">IFERROR(__xludf.DUMMYFUNCTION("""COMPUTED_VALUE"""),"Situación del sector de la construcción en el marco de la Pandemia Covid-19.")</f>
        <v>Situación del sector de la construcción en el marco de la Pandemia Covid-19.</v>
      </c>
      <c r="N134" s="20" t="str">
        <f ca="1">IFERROR(__xludf.DUMMYFUNCTION("""COMPUTED_VALUE"""),"NA")</f>
        <v>NA</v>
      </c>
      <c r="O134" s="20" t="str">
        <f ca="1">IFERROR(__xludf.DUMMYFUNCTION("""COMPUTED_VALUE"""),"SI")</f>
        <v>SI</v>
      </c>
      <c r="P134" s="20">
        <f ca="1">IFERROR(__xludf.DUMMYFUNCTION("""COMPUTED_VALUE"""),1)</f>
        <v>1</v>
      </c>
      <c r="Q134" s="113" t="str">
        <f ca="1">IFERROR(__xludf.DUMMYFUNCTION("""COMPUTED_VALUE"""),"https://gld.legislaturacba.gob.ar/_cdd/api/Documento/descargar?guid=e409fe82-53bf-401b-9d00-0117c22a0755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v>
      </c>
      <c r="R134" s="20" t="str">
        <f ca="1">IFERROR(__xludf.DUMMYFUNCTION("""COMPUTED_VALUE"""),"NA")</f>
        <v>NA</v>
      </c>
      <c r="S134" s="113" t="str">
        <f ca="1">IFERROR(__xludf.DUMMYFUNCTION("""COMPUTED_VALUE"""),"https://gld.legislaturacba.gob.ar/Publics/Actas.aspx?id=zPH447Z1zK0=;https://gld.legislaturacba.gob.ar/Publics/Actas.aspx?id=aAM_or9jrJI=")</f>
        <v>https://gld.legislaturacba.gob.ar/Publics/Actas.aspx?id=zPH447Z1zK0=;https://gld.legislaturacba.gob.ar/Publics/Actas.aspx?id=aAM_or9jrJI=</v>
      </c>
      <c r="T134" s="99">
        <f t="shared" ca="1" si="0"/>
        <v>0</v>
      </c>
    </row>
    <row r="135" spans="1:20">
      <c r="A135" s="20">
        <f ca="1">IFERROR(__xludf.DUMMYFUNCTION("""COMPUTED_VALUE"""),134)</f>
        <v>134</v>
      </c>
      <c r="B135" s="20">
        <f ca="1">IFERROR(__xludf.DUMMYFUNCTION("""COMPUTED_VALUE"""),2020)</f>
        <v>2020</v>
      </c>
      <c r="C135" s="20" t="str">
        <f ca="1">IFERROR(__xludf.DUMMYFUNCTION("""COMPUTED_VALUE"""),"VIRTUAL")</f>
        <v>VIRTUAL</v>
      </c>
      <c r="D135" s="96">
        <f ca="1">IFERROR(__xludf.DUMMYFUNCTION("""COMPUTED_VALUE"""),44082)</f>
        <v>44082</v>
      </c>
      <c r="E135" s="20" t="str">
        <f ca="1">IFERROR(__xludf.DUMMYFUNCTION("""COMPUTED_VALUE"""),"SI")</f>
        <v>SI</v>
      </c>
      <c r="F135" s="20" t="str">
        <f ca="1">IFERROR(__xludf.DUMMYFUNCTION("""COMPUTED_VALUE"""),"DERECHOS HUMANOS Y DESARROLLO SOCIAL;ECONOMÍA, PRESUPUESTO, GESTIÓN PÚBLICA E INNOVACIÓN")</f>
        <v>DERECHOS HUMANOS Y DESARROLLO SOCIAL;ECONOMÍA, PRESUPUESTO, GESTIÓN PÚBLICA E INNOVACIÓN</v>
      </c>
      <c r="G135" s="20">
        <f ca="1">IFERROR(__xludf.DUMMYFUNCTION("""COMPUTED_VALUE"""),2)</f>
        <v>2</v>
      </c>
      <c r="H135" s="20">
        <f ca="1">IFERROR(__xludf.DUMMYFUNCTION("""COMPUTED_VALUE"""),1)</f>
        <v>1</v>
      </c>
      <c r="I135" s="20">
        <f ca="1">IFERROR(__xludf.DUMMYFUNCTION("""COMPUTED_VALUE"""),1)</f>
        <v>1</v>
      </c>
      <c r="J135" s="20" t="str">
        <f ca="1">IFERROR(__xludf.DUMMYFUNCTION("""COMPUTED_VALUE"""),"Ley")</f>
        <v>Ley</v>
      </c>
      <c r="K135" s="20">
        <f ca="1">IFERROR(__xludf.DUMMYFUNCTION("""COMPUTED_VALUE"""),30936)</f>
        <v>30936</v>
      </c>
      <c r="L135" s="20" t="str">
        <f ca="1">IFERROR(__xludf.DUMMYFUNCTION("""COMPUTED_VALUE"""),"Poder Ejecutivo Provincial")</f>
        <v>Poder Ejecutivo Provincial</v>
      </c>
      <c r="M135" s="20" t="str">
        <f ca="1">IFERROR(__xludf.DUMMYFUNCTION("""COMPUTED_VALUE"""),"Proyecto de Ley 30936/L/20, declarando de utilidad pública y sujeto a expropiación una fracción de terreno ubicada en Pedanía Lagunilla, Departamento Santa María, que tiene por objeto la regularización dominial del sector, entregando títulos a los poseedo"&amp;"res y destinando las fracciones restantes a la construcción de planes de viviendas.")</f>
        <v>Proyecto de Ley 30936/L/20,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v>
      </c>
      <c r="N135" s="20" t="str">
        <f ca="1">IFERROR(__xludf.DUMMYFUNCTION("""COMPUTED_VALUE"""),"SI")</f>
        <v>SI</v>
      </c>
      <c r="O135" s="20" t="str">
        <f ca="1">IFERROR(__xludf.DUMMYFUNCTION("""COMPUTED_VALUE"""),"NO")</f>
        <v>NO</v>
      </c>
      <c r="P135" s="20">
        <f ca="1">IFERROR(__xludf.DUMMYFUNCTION("""COMPUTED_VALUE"""),0)</f>
        <v>0</v>
      </c>
      <c r="Q135" s="113" t="str">
        <f ca="1">IFERROR(__xludf.DUMMYFUNCTION("""COMPUTED_VALUE"""),"https://gld.legislaturacba.gob.ar/_cdd/api/Documento/descargar?guid=24b111ab-ba74-49e8-b1a7-21896bc49fd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v>
      </c>
      <c r="R135" s="113" t="str">
        <f ca="1">IFERROR(__xludf.DUMMYFUNCTION("""COMPUTED_VALUE"""),"https://www.youtube.com/watch?v=OXJFBhtMYqo")</f>
        <v>https://www.youtube.com/watch?v=OXJFBhtMYqo</v>
      </c>
      <c r="S135" s="113" t="str">
        <f ca="1">IFERROR(__xludf.DUMMYFUNCTION("""COMPUTED_VALUE"""),"https://gld.legislaturacba.gob.ar/Publics/Actas.aspx?id=C5tWEDeO3Vk=;https://gld.legislaturacba.gob.ar/Publics/Actas.aspx?id=jOC3-5UrufI=")</f>
        <v>https://gld.legislaturacba.gob.ar/Publics/Actas.aspx?id=C5tWEDeO3Vk=;https://gld.legislaturacba.gob.ar/Publics/Actas.aspx?id=jOC3-5UrufI=</v>
      </c>
      <c r="T135" s="99">
        <f t="shared" ca="1" si="0"/>
        <v>0</v>
      </c>
    </row>
    <row r="136" spans="1:20">
      <c r="A136" s="20">
        <f ca="1">IFERROR(__xludf.DUMMYFUNCTION("""COMPUTED_VALUE"""),135)</f>
        <v>135</v>
      </c>
      <c r="B136" s="20">
        <f ca="1">IFERROR(__xludf.DUMMYFUNCTION("""COMPUTED_VALUE"""),2020)</f>
        <v>2020</v>
      </c>
      <c r="C136" s="20" t="str">
        <f ca="1">IFERROR(__xludf.DUMMYFUNCTION("""COMPUTED_VALUE"""),"VIRTUAL")</f>
        <v>VIRTUAL</v>
      </c>
      <c r="D136" s="96">
        <f ca="1">IFERROR(__xludf.DUMMYFUNCTION("""COMPUTED_VALUE"""),44082)</f>
        <v>44082</v>
      </c>
      <c r="E136" s="20" t="str">
        <f ca="1">IFERROR(__xludf.DUMMYFUNCTION("""COMPUTED_VALUE"""),"NO")</f>
        <v>NO</v>
      </c>
      <c r="F136" s="20" t="str">
        <f ca="1">IFERROR(__xludf.DUMMYFUNCTION("""COMPUTED_VALUE"""),"RELACIONES INTERNACIONALES, MERCOSUR Y COMERCIO EXTERIOR")</f>
        <v>RELACIONES INTERNACIONALES, MERCOSUR Y COMERCIO EXTERIOR</v>
      </c>
      <c r="G136" s="20">
        <f ca="1">IFERROR(__xludf.DUMMYFUNCTION("""COMPUTED_VALUE"""),1)</f>
        <v>1</v>
      </c>
      <c r="H136" s="20">
        <f ca="1">IFERROR(__xludf.DUMMYFUNCTION("""COMPUTED_VALUE"""),1)</f>
        <v>1</v>
      </c>
      <c r="I136" s="20">
        <f ca="1">IFERROR(__xludf.DUMMYFUNCTION("""COMPUTED_VALUE"""),1)</f>
        <v>1</v>
      </c>
      <c r="J136" s="20" t="str">
        <f ca="1">IFERROR(__xludf.DUMMYFUNCTION("""COMPUTED_VALUE"""),"NC")</f>
        <v>NC</v>
      </c>
      <c r="K136" s="20" t="str">
        <f ca="1">IFERROR(__xludf.DUMMYFUNCTION("""COMPUTED_VALUE"""),"NA")</f>
        <v>NA</v>
      </c>
      <c r="L136" s="20" t="str">
        <f ca="1">IFERROR(__xludf.DUMMYFUNCTION("""COMPUTED_VALUE"""),"NA")</f>
        <v>NA</v>
      </c>
      <c r="M136" s="20" t="str">
        <f ca="1">IFERROR(__xludf.DUMMYFUNCTION("""COMPUTED_VALUE"""),"Política agroexportadora de Córdoba y evaluación de negociaciones nacionales para la producción de cerdos en Argentina por parte de China.")</f>
        <v>Política agroexportadora de Córdoba y evaluación de negociaciones nacionales para la producción de cerdos en Argentina por parte de China.</v>
      </c>
      <c r="N136" s="20" t="str">
        <f ca="1">IFERROR(__xludf.DUMMYFUNCTION("""COMPUTED_VALUE"""),"NA")</f>
        <v>NA</v>
      </c>
      <c r="O136" s="20" t="str">
        <f ca="1">IFERROR(__xludf.DUMMYFUNCTION("""COMPUTED_VALUE"""),"SI")</f>
        <v>SI</v>
      </c>
      <c r="P136" s="20">
        <f ca="1">IFERROR(__xludf.DUMMYFUNCTION("""COMPUTED_VALUE"""),1)</f>
        <v>1</v>
      </c>
      <c r="Q136" s="113" t="str">
        <f ca="1">IFERROR(__xludf.DUMMYFUNCTION("""COMPUTED_VALUE"""),"https://gld.legislaturacba.gob.ar/_cdd/api/Documento/descargar?guid=f0890968-24b1-4283-9367-eb178be62ff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v>
      </c>
      <c r="R136" s="113" t="str">
        <f ca="1">IFERROR(__xludf.DUMMYFUNCTION("""COMPUTED_VALUE"""),"https://www.youtube.com/watch?v=60uQjzyPatM")</f>
        <v>https://www.youtube.com/watch?v=60uQjzyPatM</v>
      </c>
      <c r="S136" s="113" t="str">
        <f ca="1">IFERROR(__xludf.DUMMYFUNCTION("""COMPUTED_VALUE"""),"https://gld.legislaturacba.gob.ar/Publics/Actas.aspx?id=i-QcwcG44qA=")</f>
        <v>https://gld.legislaturacba.gob.ar/Publics/Actas.aspx?id=i-QcwcG44qA=</v>
      </c>
      <c r="T136" s="99">
        <f t="shared" ca="1" si="0"/>
        <v>0</v>
      </c>
    </row>
    <row r="137" spans="1:20">
      <c r="A137" s="20">
        <f ca="1">IFERROR(__xludf.DUMMYFUNCTION("""COMPUTED_VALUE"""),136)</f>
        <v>136</v>
      </c>
      <c r="B137" s="20">
        <f ca="1">IFERROR(__xludf.DUMMYFUNCTION("""COMPUTED_VALUE"""),2020)</f>
        <v>2020</v>
      </c>
      <c r="C137" s="20" t="str">
        <f ca="1">IFERROR(__xludf.DUMMYFUNCTION("""COMPUTED_VALUE"""),"VIRTUAL")</f>
        <v>VIRTUAL</v>
      </c>
      <c r="D137" s="96">
        <f ca="1">IFERROR(__xludf.DUMMYFUNCTION("""COMPUTED_VALUE"""),44083)</f>
        <v>44083</v>
      </c>
      <c r="E137" s="20" t="str">
        <f ca="1">IFERROR(__xludf.DUMMYFUNCTION("""COMPUTED_VALUE"""),"SI")</f>
        <v>SI</v>
      </c>
      <c r="F137" s="20" t="str">
        <f ca="1">IFERROR(__xludf.DUMMYFUNCTION("""COMPUTED_VALUE"""),"DEPORTES Y RECREACIÓN;LEGISLACIÓN GENERAL;TURISMO Y SU RELACIÓN CON EL DESARROLLO REGIONAL")</f>
        <v>DEPORTES Y RECREACIÓN;LEGISLACIÓN GENERAL;TURISMO Y SU RELACIÓN CON EL DESARROLLO REGIONAL</v>
      </c>
      <c r="G137" s="20">
        <f ca="1">IFERROR(__xludf.DUMMYFUNCTION("""COMPUTED_VALUE"""),3)</f>
        <v>3</v>
      </c>
      <c r="H137" s="20">
        <f ca="1">IFERROR(__xludf.DUMMYFUNCTION("""COMPUTED_VALUE"""),1)</f>
        <v>1</v>
      </c>
      <c r="I137" s="20">
        <f ca="1">IFERROR(__xludf.DUMMYFUNCTION("""COMPUTED_VALUE"""),1)</f>
        <v>1</v>
      </c>
      <c r="J137" s="20" t="str">
        <f ca="1">IFERROR(__xludf.DUMMYFUNCTION("""COMPUTED_VALUE"""),"Ley")</f>
        <v>Ley</v>
      </c>
      <c r="K137" s="20">
        <f ca="1">IFERROR(__xludf.DUMMYFUNCTION("""COMPUTED_VALUE"""),29918)</f>
        <v>29918</v>
      </c>
      <c r="L137" s="20" t="str">
        <f ca="1">IFERROR(__xludf.DUMMYFUNCTION("""COMPUTED_VALUE"""),"Poder Legislativo Provincial")</f>
        <v>Poder Legislativo Provincial</v>
      </c>
      <c r="M137"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37" s="20" t="str">
        <f ca="1">IFERROR(__xludf.DUMMYFUNCTION("""COMPUTED_VALUE"""),"NO")</f>
        <v>NO</v>
      </c>
      <c r="O137" s="20" t="str">
        <f ca="1">IFERROR(__xludf.DUMMYFUNCTION("""COMPUTED_VALUE"""),"NO")</f>
        <v>NO</v>
      </c>
      <c r="P137" s="20">
        <f ca="1">IFERROR(__xludf.DUMMYFUNCTION("""COMPUTED_VALUE"""),0)</f>
        <v>0</v>
      </c>
      <c r="Q137" s="113" t="str">
        <f ca="1">IFERROR(__xludf.DUMMYFUNCTION("""COMPUTED_VALUE"""),"https://gld.legislaturacba.gob.ar/_cdd/api/Documento/descargar?guid=2203264a-00ea-42ed-b245-191de82ef780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v>
      </c>
      <c r="R137" s="20" t="str">
        <f ca="1">IFERROR(__xludf.DUMMYFUNCTION("""COMPUTED_VALUE"""),"NA")</f>
        <v>NA</v>
      </c>
      <c r="S137" s="113" t="str">
        <f ca="1">IFERROR(__xludf.DUMMYFUNCTION("""COMPUTED_VALUE"""),"https://gld.legislaturacba.gob.ar/Publics/Actas.aspx?id=RTONUjDdWK8=;https://gld.legislaturacba.gob.ar/Publics/Actas.aspx?id=eTUR2rQYVCQ=;https://gld.legislaturacba.gob.ar/Publics/Actas.aspx?id=XpVIBT4DHG8=")</f>
        <v>https://gld.legislaturacba.gob.ar/Publics/Actas.aspx?id=RTONUjDdWK8=;https://gld.legislaturacba.gob.ar/Publics/Actas.aspx?id=eTUR2rQYVCQ=;https://gld.legislaturacba.gob.ar/Publics/Actas.aspx?id=XpVIBT4DHG8=</v>
      </c>
      <c r="T137" s="99">
        <f t="shared" ca="1" si="0"/>
        <v>0</v>
      </c>
    </row>
    <row r="138" spans="1:20">
      <c r="A138" s="20">
        <f ca="1">IFERROR(__xludf.DUMMYFUNCTION("""COMPUTED_VALUE"""),137)</f>
        <v>137</v>
      </c>
      <c r="B138" s="20">
        <f ca="1">IFERROR(__xludf.DUMMYFUNCTION("""COMPUTED_VALUE"""),2020)</f>
        <v>2020</v>
      </c>
      <c r="C138" s="20" t="str">
        <f ca="1">IFERROR(__xludf.DUMMYFUNCTION("""COMPUTED_VALUE"""),"VIRTUAL")</f>
        <v>VIRTUAL</v>
      </c>
      <c r="D138" s="96">
        <f ca="1">IFERROR(__xludf.DUMMYFUNCTION("""COMPUTED_VALUE"""),44083)</f>
        <v>44083</v>
      </c>
      <c r="E138" s="20" t="str">
        <f ca="1">IFERROR(__xludf.DUMMYFUNCTION("""COMPUTED_VALUE"""),"NO")</f>
        <v>NO</v>
      </c>
      <c r="F138" s="20" t="str">
        <f ca="1">IFERROR(__xludf.DUMMYFUNCTION("""COMPUTED_VALUE"""),"EQUIDAD Y LUCHA CONTRA LA VIOLENCIA DE GÉNERO")</f>
        <v>EQUIDAD Y LUCHA CONTRA LA VIOLENCIA DE GÉNERO</v>
      </c>
      <c r="G138" s="20">
        <f ca="1">IFERROR(__xludf.DUMMYFUNCTION("""COMPUTED_VALUE"""),1)</f>
        <v>1</v>
      </c>
      <c r="H138" s="20">
        <f ca="1">IFERROR(__xludf.DUMMYFUNCTION("""COMPUTED_VALUE"""),1)</f>
        <v>1</v>
      </c>
      <c r="I138" s="20">
        <f ca="1">IFERROR(__xludf.DUMMYFUNCTION("""COMPUTED_VALUE"""),1)</f>
        <v>1</v>
      </c>
      <c r="J138" s="20" t="str">
        <f ca="1">IFERROR(__xludf.DUMMYFUNCTION("""COMPUTED_VALUE"""),"NC")</f>
        <v>NC</v>
      </c>
      <c r="K138" s="20" t="str">
        <f ca="1">IFERROR(__xludf.DUMMYFUNCTION("""COMPUTED_VALUE"""),"NA")</f>
        <v>NA</v>
      </c>
      <c r="L138" s="20" t="str">
        <f ca="1">IFERROR(__xludf.DUMMYFUNCTION("""COMPUTED_VALUE"""),"NA")</f>
        <v>NA</v>
      </c>
      <c r="M138" s="20" t="str">
        <f ca="1">IFERROR(__xludf.DUMMYFUNCTION("""COMPUTED_VALUE"""),"Presentación del informe “La Mujer y la Economía”.")</f>
        <v>Presentación del informe “La Mujer y la Economía”.</v>
      </c>
      <c r="N138" s="20" t="str">
        <f ca="1">IFERROR(__xludf.DUMMYFUNCTION("""COMPUTED_VALUE"""),"NA")</f>
        <v>NA</v>
      </c>
      <c r="O138" s="20" t="str">
        <f ca="1">IFERROR(__xludf.DUMMYFUNCTION("""COMPUTED_VALUE"""),"SI")</f>
        <v>SI</v>
      </c>
      <c r="P138" s="20">
        <f ca="1">IFERROR(__xludf.DUMMYFUNCTION("""COMPUTED_VALUE"""),2)</f>
        <v>2</v>
      </c>
      <c r="Q138" s="113" t="str">
        <f ca="1">IFERROR(__xludf.DUMMYFUNCTION("""COMPUTED_VALUE"""),"https://gld.legislaturacba.gob.ar/_cdd/api/Documento/descargar?guid=807a1607-96e1-437f-8fa1-e0b312fb0419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v>
      </c>
      <c r="R138" s="20" t="str">
        <f ca="1">IFERROR(__xludf.DUMMYFUNCTION("""COMPUTED_VALUE"""),"NA")</f>
        <v>NA</v>
      </c>
      <c r="S138" s="113" t="str">
        <f ca="1">IFERROR(__xludf.DUMMYFUNCTION("""COMPUTED_VALUE"""),"https://gld.legislaturacba.gob.ar/Publics/Actas.aspx?id=oA3G08hpoKk=")</f>
        <v>https://gld.legislaturacba.gob.ar/Publics/Actas.aspx?id=oA3G08hpoKk=</v>
      </c>
      <c r="T138" s="99">
        <f t="shared" ca="1" si="0"/>
        <v>0</v>
      </c>
    </row>
    <row r="139" spans="1:20">
      <c r="A139" s="20">
        <f ca="1">IFERROR(__xludf.DUMMYFUNCTION("""COMPUTED_VALUE"""),138)</f>
        <v>138</v>
      </c>
      <c r="B139" s="20">
        <f ca="1">IFERROR(__xludf.DUMMYFUNCTION("""COMPUTED_VALUE"""),2020)</f>
        <v>2020</v>
      </c>
      <c r="C139" s="20" t="str">
        <f ca="1">IFERROR(__xludf.DUMMYFUNCTION("""COMPUTED_VALUE"""),"VIRTUAL")</f>
        <v>VIRTUAL</v>
      </c>
      <c r="D139" s="96">
        <f ca="1">IFERROR(__xludf.DUMMYFUNCTION("""COMPUTED_VALUE"""),44084)</f>
        <v>44084</v>
      </c>
      <c r="E139" s="20" t="str">
        <f ca="1">IFERROR(__xludf.DUMMYFUNCTION("""COMPUTED_VALUE"""),"NO")</f>
        <v>NO</v>
      </c>
      <c r="F139" s="20" t="str">
        <f ca="1">IFERROR(__xludf.DUMMYFUNCTION("""COMPUTED_VALUE"""),"AMBIENTE")</f>
        <v>AMBIENTE</v>
      </c>
      <c r="G139" s="20">
        <f ca="1">IFERROR(__xludf.DUMMYFUNCTION("""COMPUTED_VALUE"""),1)</f>
        <v>1</v>
      </c>
      <c r="H139" s="20">
        <f ca="1">IFERROR(__xludf.DUMMYFUNCTION("""COMPUTED_VALUE"""),1)</f>
        <v>1</v>
      </c>
      <c r="I139" s="20">
        <f ca="1">IFERROR(__xludf.DUMMYFUNCTION("""COMPUTED_VALUE"""),1)</f>
        <v>1</v>
      </c>
      <c r="J139" s="20" t="str">
        <f ca="1">IFERROR(__xludf.DUMMYFUNCTION("""COMPUTED_VALUE"""),"NC")</f>
        <v>NC</v>
      </c>
      <c r="K139" s="20" t="str">
        <f ca="1">IFERROR(__xludf.DUMMYFUNCTION("""COMPUTED_VALUE"""),"NA")</f>
        <v>NA</v>
      </c>
      <c r="L139" s="20" t="str">
        <f ca="1">IFERROR(__xludf.DUMMYFUNCTION("""COMPUTED_VALUE"""),"NA")</f>
        <v>NA</v>
      </c>
      <c r="M139" s="20" t="str">
        <f ca="1">IFERROR(__xludf.DUMMYFUNCTION("""COMPUTED_VALUE"""),"Informe respecto a la situación provocada por los incendios en la Provincia de Córdoba y procedimientos llevados a cabo.")</f>
        <v>Informe respecto a la situación provocada por los incendios en la Provincia de Córdoba y procedimientos llevados a cabo.</v>
      </c>
      <c r="N139" s="20" t="str">
        <f ca="1">IFERROR(__xludf.DUMMYFUNCTION("""COMPUTED_VALUE"""),"NA")</f>
        <v>NA</v>
      </c>
      <c r="O139" s="20" t="str">
        <f ca="1">IFERROR(__xludf.DUMMYFUNCTION("""COMPUTED_VALUE"""),"SI")</f>
        <v>SI</v>
      </c>
      <c r="P139" s="20">
        <f ca="1">IFERROR(__xludf.DUMMYFUNCTION("""COMPUTED_VALUE"""),1)</f>
        <v>1</v>
      </c>
      <c r="Q139" s="113" t="str">
        <f ca="1">IFERROR(__xludf.DUMMYFUNCTION("""COMPUTED_VALUE"""),"https://gld.legislaturacba.gob.ar/_cdd/api/Documento/descargar?guid=8eeb3a59-bf1a-4975-9065-3b71cf44e77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v>
      </c>
      <c r="R139" s="113" t="str">
        <f ca="1">IFERROR(__xludf.DUMMYFUNCTION("""COMPUTED_VALUE"""),"https://www.youtube.com/watch?v=ACHEZpNSiC8")</f>
        <v>https://www.youtube.com/watch?v=ACHEZpNSiC8</v>
      </c>
      <c r="S139" s="113" t="str">
        <f ca="1">IFERROR(__xludf.DUMMYFUNCTION("""COMPUTED_VALUE"""),"https://gld.legislaturacba.gob.ar/Publics/Actas.aspx?id=_vCTw4hZxXQ=")</f>
        <v>https://gld.legislaturacba.gob.ar/Publics/Actas.aspx?id=_vCTw4hZxXQ=</v>
      </c>
      <c r="T139" s="99">
        <f t="shared" ca="1" si="0"/>
        <v>0</v>
      </c>
    </row>
    <row r="140" spans="1:20">
      <c r="A140" s="20">
        <f ca="1">IFERROR(__xludf.DUMMYFUNCTION("""COMPUTED_VALUE"""),139)</f>
        <v>139</v>
      </c>
      <c r="B140" s="20">
        <f ca="1">IFERROR(__xludf.DUMMYFUNCTION("""COMPUTED_VALUE"""),2020)</f>
        <v>2020</v>
      </c>
      <c r="C140" s="20" t="str">
        <f ca="1">IFERROR(__xludf.DUMMYFUNCTION("""COMPUTED_VALUE"""),"VIRTUAL")</f>
        <v>VIRTUAL</v>
      </c>
      <c r="D140" s="96">
        <f ca="1">IFERROR(__xludf.DUMMYFUNCTION("""COMPUTED_VALUE"""),44084)</f>
        <v>44084</v>
      </c>
      <c r="E140" s="20" t="str">
        <f ca="1">IFERROR(__xludf.DUMMYFUNCTION("""COMPUTED_VALUE"""),"NO")</f>
        <v>NO</v>
      </c>
      <c r="F140" s="20" t="str">
        <f ca="1">IFERROR(__xludf.DUMMYFUNCTION("""COMPUTED_VALUE"""),"TURISMO Y SU RELACIÓN CON EL DESARROLLO REGIONAL")</f>
        <v>TURISMO Y SU RELACIÓN CON EL DESARROLLO REGIONAL</v>
      </c>
      <c r="G140" s="20">
        <f ca="1">IFERROR(__xludf.DUMMYFUNCTION("""COMPUTED_VALUE"""),1)</f>
        <v>1</v>
      </c>
      <c r="H140" s="20">
        <f ca="1">IFERROR(__xludf.DUMMYFUNCTION("""COMPUTED_VALUE"""),1)</f>
        <v>1</v>
      </c>
      <c r="I140" s="20">
        <f ca="1">IFERROR(__xludf.DUMMYFUNCTION("""COMPUTED_VALUE"""),1)</f>
        <v>1</v>
      </c>
      <c r="J140" s="20" t="str">
        <f ca="1">IFERROR(__xludf.DUMMYFUNCTION("""COMPUTED_VALUE"""),"NC")</f>
        <v>NC</v>
      </c>
      <c r="K140" s="20" t="str">
        <f ca="1">IFERROR(__xludf.DUMMYFUNCTION("""COMPUTED_VALUE"""),"NA")</f>
        <v>NA</v>
      </c>
      <c r="L140" s="20" t="str">
        <f ca="1">IFERROR(__xludf.DUMMYFUNCTION("""COMPUTED_VALUE"""),"NA")</f>
        <v>NA</v>
      </c>
      <c r="M140" s="20" t="str">
        <f ca="1">IFERROR(__xludf.DUMMYFUNCTION("""COMPUTED_VALUE"""),"Análisis y evaluación de lo expuesto por los sectores turísticos de la Provincia de Córdoba, en las dos reuniones anteriores, respecto a su situación en el marco del Aislamiento Social, Preventivo y Obligatorio.")</f>
        <v>Análisis y evaluación de lo expuesto por los sectores turísticos de la Provincia de Córdoba, en las dos reuniones anteriores, respecto a su situación en el marco del Aislamiento Social, Preventivo y Obligatorio.</v>
      </c>
      <c r="N140" s="20" t="str">
        <f ca="1">IFERROR(__xludf.DUMMYFUNCTION("""COMPUTED_VALUE"""),"NA")</f>
        <v>NA</v>
      </c>
      <c r="O140" s="20" t="str">
        <f ca="1">IFERROR(__xludf.DUMMYFUNCTION("""COMPUTED_VALUE"""),"NO")</f>
        <v>NO</v>
      </c>
      <c r="P140" s="20">
        <f ca="1">IFERROR(__xludf.DUMMYFUNCTION("""COMPUTED_VALUE"""),0)</f>
        <v>0</v>
      </c>
      <c r="Q140" s="113" t="str">
        <f ca="1">IFERROR(__xludf.DUMMYFUNCTION("""COMPUTED_VALUE"""),"https://gld.legislaturacba.gob.ar/_cdd/api/Documento/descargar?guid=1b490837-6a27-42bc-90f4-48cc5438b762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v>
      </c>
      <c r="R140" s="113" t="str">
        <f ca="1">IFERROR(__xludf.DUMMYFUNCTION("""COMPUTED_VALUE"""),"https://www.youtube.com/watch?v=bfCu1Bs-Y6k")</f>
        <v>https://www.youtube.com/watch?v=bfCu1Bs-Y6k</v>
      </c>
      <c r="S140" s="113" t="str">
        <f ca="1">IFERROR(__xludf.DUMMYFUNCTION("""COMPUTED_VALUE"""),"https://gld.legislaturacba.gob.ar/Publics/Actas.aspx?id=y4WCXLMdzDQ=")</f>
        <v>https://gld.legislaturacba.gob.ar/Publics/Actas.aspx?id=y4WCXLMdzDQ=</v>
      </c>
      <c r="T140" s="99">
        <f t="shared" ca="1" si="0"/>
        <v>0</v>
      </c>
    </row>
    <row r="141" spans="1:20">
      <c r="A141" s="20">
        <f ca="1">IFERROR(__xludf.DUMMYFUNCTION("""COMPUTED_VALUE"""),140)</f>
        <v>140</v>
      </c>
      <c r="B141" s="20">
        <f ca="1">IFERROR(__xludf.DUMMYFUNCTION("""COMPUTED_VALUE"""),2020)</f>
        <v>2020</v>
      </c>
      <c r="C141" s="20" t="str">
        <f ca="1">IFERROR(__xludf.DUMMYFUNCTION("""COMPUTED_VALUE"""),"VIRTUAL")</f>
        <v>VIRTUAL</v>
      </c>
      <c r="D141" s="96">
        <f ca="1">IFERROR(__xludf.DUMMYFUNCTION("""COMPUTED_VALUE"""),44089)</f>
        <v>44089</v>
      </c>
      <c r="E141" s="20" t="str">
        <f ca="1">IFERROR(__xludf.DUMMYFUNCTION("""COMPUTED_VALUE"""),"NO")</f>
        <v>NO</v>
      </c>
      <c r="F141" s="20" t="str">
        <f ca="1">IFERROR(__xludf.DUMMYFUNCTION("""COMPUTED_VALUE"""),"EDUCACIÓN, CULTURA, CIENCIA, TECNOLOGÍA E INFORMÁTICA")</f>
        <v>EDUCACIÓN, CULTURA, CIENCIA, TECNOLOGÍA E INFORMÁTICA</v>
      </c>
      <c r="G141" s="20">
        <f ca="1">IFERROR(__xludf.DUMMYFUNCTION("""COMPUTED_VALUE"""),1)</f>
        <v>1</v>
      </c>
      <c r="H141" s="20">
        <f ca="1">IFERROR(__xludf.DUMMYFUNCTION("""COMPUTED_VALUE"""),1)</f>
        <v>1</v>
      </c>
      <c r="I141" s="20">
        <f ca="1">IFERROR(__xludf.DUMMYFUNCTION("""COMPUTED_VALUE"""),1)</f>
        <v>1</v>
      </c>
      <c r="J141" s="20" t="str">
        <f ca="1">IFERROR(__xludf.DUMMYFUNCTION("""COMPUTED_VALUE"""),"NC")</f>
        <v>NC</v>
      </c>
      <c r="K141" s="20" t="str">
        <f ca="1">IFERROR(__xludf.DUMMYFUNCTION("""COMPUTED_VALUE"""),"NA")</f>
        <v>NA</v>
      </c>
      <c r="L141" s="20" t="str">
        <f ca="1">IFERROR(__xludf.DUMMYFUNCTION("""COMPUTED_VALUE"""),"NA")</f>
        <v>NA</v>
      </c>
      <c r="M141" s="20" t="str">
        <f ca="1">IFERROR(__xludf.DUMMYFUNCTION("""COMPUTED_VALUE"""),"Situación de los jardines maternales o de infantes en el marco de la Pandemia COVID-19.")</f>
        <v>Situación de los jardines maternales o de infantes en el marco de la Pandemia COVID-19.</v>
      </c>
      <c r="N141" s="20" t="str">
        <f ca="1">IFERROR(__xludf.DUMMYFUNCTION("""COMPUTED_VALUE"""),"NA")</f>
        <v>NA</v>
      </c>
      <c r="O141" s="20" t="str">
        <f ca="1">IFERROR(__xludf.DUMMYFUNCTION("""COMPUTED_VALUE"""),"SI")</f>
        <v>SI</v>
      </c>
      <c r="P141" s="20">
        <f ca="1">IFERROR(__xludf.DUMMYFUNCTION("""COMPUTED_VALUE"""),5)</f>
        <v>5</v>
      </c>
      <c r="Q141" s="113" t="str">
        <f ca="1">IFERROR(__xludf.DUMMYFUNCTION("""COMPUTED_VALUE"""),"https://gld.legislaturacba.gob.ar/_cdd/api/Documento/descargar?guid=6f1b238d-69bd-4edc-962e-c4b9d58febc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v>
      </c>
      <c r="R141" s="113" t="str">
        <f ca="1">IFERROR(__xludf.DUMMYFUNCTION("""COMPUTED_VALUE"""),"https://www.youtube.com/watch?v=qjPs-qozZyc")</f>
        <v>https://www.youtube.com/watch?v=qjPs-qozZyc</v>
      </c>
      <c r="S141" s="113" t="str">
        <f ca="1">IFERROR(__xludf.DUMMYFUNCTION("""COMPUTED_VALUE"""),"https://gld.legislaturacba.gob.ar/Publics/Actas.aspx?id=YmU-n5ECg6k=")</f>
        <v>https://gld.legislaturacba.gob.ar/Publics/Actas.aspx?id=YmU-n5ECg6k=</v>
      </c>
      <c r="T141" s="99">
        <f t="shared" ca="1" si="0"/>
        <v>0</v>
      </c>
    </row>
    <row r="142" spans="1:20">
      <c r="A142" s="20">
        <f ca="1">IFERROR(__xludf.DUMMYFUNCTION("""COMPUTED_VALUE"""),141)</f>
        <v>141</v>
      </c>
      <c r="B142" s="20">
        <f ca="1">IFERROR(__xludf.DUMMYFUNCTION("""COMPUTED_VALUE"""),2020)</f>
        <v>2020</v>
      </c>
      <c r="C142" s="20" t="str">
        <f ca="1">IFERROR(__xludf.DUMMYFUNCTION("""COMPUTED_VALUE"""),"VIRTUAL")</f>
        <v>VIRTUAL</v>
      </c>
      <c r="D142" s="96">
        <f ca="1">IFERROR(__xludf.DUMMYFUNCTION("""COMPUTED_VALUE"""),44089)</f>
        <v>44089</v>
      </c>
      <c r="E142" s="20" t="str">
        <f ca="1">IFERROR(__xludf.DUMMYFUNCTION("""COMPUTED_VALUE"""),"NO")</f>
        <v>NO</v>
      </c>
      <c r="F142" s="20" t="str">
        <f ca="1">IFERROR(__xludf.DUMMYFUNCTION("""COMPUTED_VALUE"""),"SALUD HUMANA")</f>
        <v>SALUD HUMANA</v>
      </c>
      <c r="G142" s="20">
        <f ca="1">IFERROR(__xludf.DUMMYFUNCTION("""COMPUTED_VALUE"""),1)</f>
        <v>1</v>
      </c>
      <c r="H142" s="20">
        <f ca="1">IFERROR(__xludf.DUMMYFUNCTION("""COMPUTED_VALUE"""),1)</f>
        <v>1</v>
      </c>
      <c r="I142" s="20">
        <f ca="1">IFERROR(__xludf.DUMMYFUNCTION("""COMPUTED_VALUE"""),1)</f>
        <v>1</v>
      </c>
      <c r="J142" s="20" t="str">
        <f ca="1">IFERROR(__xludf.DUMMYFUNCTION("""COMPUTED_VALUE"""),"NC")</f>
        <v>NC</v>
      </c>
      <c r="K142" s="20" t="str">
        <f ca="1">IFERROR(__xludf.DUMMYFUNCTION("""COMPUTED_VALUE"""),"NA")</f>
        <v>NA</v>
      </c>
      <c r="L142" s="20" t="str">
        <f ca="1">IFERROR(__xludf.DUMMYFUNCTION("""COMPUTED_VALUE"""),"NA")</f>
        <v>NA</v>
      </c>
      <c r="M142" s="20" t="str">
        <f ca="1">IFERROR(__xludf.DUMMYFUNCTION("""COMPUTED_VALUE"""),"La importancia de la donación de plasma para su utilización en el tratamiento de pacientes con diagnóstico de Coronavirus.")</f>
        <v>La importancia de la donación de plasma para su utilización en el tratamiento de pacientes con diagnóstico de Coronavirus.</v>
      </c>
      <c r="N142" s="20" t="str">
        <f ca="1">IFERROR(__xludf.DUMMYFUNCTION("""COMPUTED_VALUE"""),"NA")</f>
        <v>NA</v>
      </c>
      <c r="O142" s="20" t="str">
        <f ca="1">IFERROR(__xludf.DUMMYFUNCTION("""COMPUTED_VALUE"""),"SI")</f>
        <v>SI</v>
      </c>
      <c r="P142" s="20">
        <f ca="1">IFERROR(__xludf.DUMMYFUNCTION("""COMPUTED_VALUE"""),1)</f>
        <v>1</v>
      </c>
      <c r="Q142" s="113" t="str">
        <f ca="1">IFERROR(__xludf.DUMMYFUNCTION("""COMPUTED_VALUE"""),"https://gld.legislaturacba.gob.ar/_cdd/api/Documento/descargar?guid=acc79acf-fd1e-4c8b-a88a-7fa250576e47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v>
      </c>
      <c r="R142" s="113" t="str">
        <f ca="1">IFERROR(__xludf.DUMMYFUNCTION("""COMPUTED_VALUE"""),"https://www.youtube.com/watch?v=90lnND66oos")</f>
        <v>https://www.youtube.com/watch?v=90lnND66oos</v>
      </c>
      <c r="S142" s="113" t="str">
        <f ca="1">IFERROR(__xludf.DUMMYFUNCTION("""COMPUTED_VALUE"""),"https://gld.legislaturacba.gob.ar/Publics/Actas.aspx?id=-JAnU4ouq80=")</f>
        <v>https://gld.legislaturacba.gob.ar/Publics/Actas.aspx?id=-JAnU4ouq80=</v>
      </c>
      <c r="T142" s="99">
        <f t="shared" ca="1" si="0"/>
        <v>0</v>
      </c>
    </row>
    <row r="143" spans="1:20">
      <c r="A143" s="20">
        <f ca="1">IFERROR(__xludf.DUMMYFUNCTION("""COMPUTED_VALUE"""),142)</f>
        <v>142</v>
      </c>
      <c r="B143" s="20">
        <f ca="1">IFERROR(__xludf.DUMMYFUNCTION("""COMPUTED_VALUE"""),2020)</f>
        <v>2020</v>
      </c>
      <c r="C143" s="20" t="str">
        <f ca="1">IFERROR(__xludf.DUMMYFUNCTION("""COMPUTED_VALUE"""),"VIRTUAL")</f>
        <v>VIRTUAL</v>
      </c>
      <c r="D143" s="96">
        <f ca="1">IFERROR(__xludf.DUMMYFUNCTION("""COMPUTED_VALUE"""),44089)</f>
        <v>44089</v>
      </c>
      <c r="E143" s="20" t="str">
        <f ca="1">IFERROR(__xludf.DUMMYFUNCTION("""COMPUTED_VALUE"""),"SI")</f>
        <v>SI</v>
      </c>
      <c r="F143" s="20" t="str">
        <f ca="1">IFERROR(__xludf.DUMMYFUNCTION("""COMPUTED_VALUE"""),"DEPORTES Y RECREACIÓN;LEGISLACIÓN GENERAL;TURISMO Y SU RELACIÓN CON EL DESARROLLO REGIONAL")</f>
        <v>DEPORTES Y RECREACIÓN;LEGISLACIÓN GENERAL;TURISMO Y SU RELACIÓN CON EL DESARROLLO REGIONAL</v>
      </c>
      <c r="G143" s="20">
        <f ca="1">IFERROR(__xludf.DUMMYFUNCTION("""COMPUTED_VALUE"""),3)</f>
        <v>3</v>
      </c>
      <c r="H143" s="20">
        <f ca="1">IFERROR(__xludf.DUMMYFUNCTION("""COMPUTED_VALUE"""),1)</f>
        <v>1</v>
      </c>
      <c r="I143" s="20">
        <f ca="1">IFERROR(__xludf.DUMMYFUNCTION("""COMPUTED_VALUE"""),1)</f>
        <v>1</v>
      </c>
      <c r="J143" s="20" t="str">
        <f ca="1">IFERROR(__xludf.DUMMYFUNCTION("""COMPUTED_VALUE"""),"Ley")</f>
        <v>Ley</v>
      </c>
      <c r="K143" s="20">
        <f ca="1">IFERROR(__xludf.DUMMYFUNCTION("""COMPUTED_VALUE"""),29918)</f>
        <v>29918</v>
      </c>
      <c r="L143" s="20" t="str">
        <f ca="1">IFERROR(__xludf.DUMMYFUNCTION("""COMPUTED_VALUE"""),"Poder Legislativo Provincial")</f>
        <v>Poder Legislativo Provincial</v>
      </c>
      <c r="M143" s="20" t="str">
        <f ca="1">IFERROR(__xludf.DUMMYFUNCTION("""COMPUTED_VALUE"""),"Proyecto de Ley 29918/L/20, iniciado por los Legisladores González, Caserio y Majul, regulando la práctica del montañismo como actividad deportiva, de interés cultural o socio-recreativa.")</f>
        <v>Proyecto de Ley 29918/L/20, iniciado por los Legisladores González, Caserio y Majul, regulando la práctica del montañismo como actividad deportiva, de interés cultural o socio-recreativa.</v>
      </c>
      <c r="N143" s="20" t="str">
        <f ca="1">IFERROR(__xludf.DUMMYFUNCTION("""COMPUTED_VALUE"""),"SI")</f>
        <v>SI</v>
      </c>
      <c r="O143" s="20" t="str">
        <f ca="1">IFERROR(__xludf.DUMMYFUNCTION("""COMPUTED_VALUE"""),"NO")</f>
        <v>NO</v>
      </c>
      <c r="P143" s="20">
        <f ca="1">IFERROR(__xludf.DUMMYFUNCTION("""COMPUTED_VALUE"""),0)</f>
        <v>0</v>
      </c>
      <c r="Q143" s="113" t="str">
        <f ca="1">IFERROR(__xludf.DUMMYFUNCTION("""COMPUTED_VALUE"""),"https://gld.legislaturacba.gob.ar/_cdd/api/Documento/descargar?guid=e07ab7e6-d77f-4088-abe6-181ec4d1f54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v>
      </c>
      <c r="R143" s="113" t="str">
        <f ca="1">IFERROR(__xludf.DUMMYFUNCTION("""COMPUTED_VALUE"""),"https://www.youtube.com/watch?v=mN2SCaTz7H4")</f>
        <v>https://www.youtube.com/watch?v=mN2SCaTz7H4</v>
      </c>
      <c r="S143" s="113" t="str">
        <f ca="1">IFERROR(__xludf.DUMMYFUNCTION("""COMPUTED_VALUE"""),"https://gld.legislaturacba.gob.ar/Publics/Actas.aspx?id=zewMGhUKxyM=;https://gld.legislaturacba.gob.ar/Publics/Actas.aspx?id=GMwZnJwnwgE=;https://gld.legislaturacba.gob.ar/Publics/Actas.aspx?id=0Eqm4TgambM=")</f>
        <v>https://gld.legislaturacba.gob.ar/Publics/Actas.aspx?id=zewMGhUKxyM=;https://gld.legislaturacba.gob.ar/Publics/Actas.aspx?id=GMwZnJwnwgE=;https://gld.legislaturacba.gob.ar/Publics/Actas.aspx?id=0Eqm4TgambM=</v>
      </c>
      <c r="T143" s="99">
        <f t="shared" ca="1" si="0"/>
        <v>0</v>
      </c>
    </row>
    <row r="144" spans="1:20">
      <c r="A144" s="20">
        <f ca="1">IFERROR(__xludf.DUMMYFUNCTION("""COMPUTED_VALUE"""),143)</f>
        <v>143</v>
      </c>
      <c r="B144" s="20">
        <f ca="1">IFERROR(__xludf.DUMMYFUNCTION("""COMPUTED_VALUE"""),2020)</f>
        <v>2020</v>
      </c>
      <c r="C144" s="20" t="str">
        <f ca="1">IFERROR(__xludf.DUMMYFUNCTION("""COMPUTED_VALUE"""),"VIRTUAL")</f>
        <v>VIRTUAL</v>
      </c>
      <c r="D144" s="96">
        <f ca="1">IFERROR(__xludf.DUMMYFUNCTION("""COMPUTED_VALUE"""),44090)</f>
        <v>44090</v>
      </c>
      <c r="E144" s="20" t="str">
        <f ca="1">IFERROR(__xludf.DUMMYFUNCTION("""COMPUTED_VALUE"""),"NO")</f>
        <v>NO</v>
      </c>
      <c r="F144" s="20" t="str">
        <f ca="1">IFERROR(__xludf.DUMMYFUNCTION("""COMPUTED_VALUE"""),"SERVICIOS PÚBLICOS")</f>
        <v>SERVICIOS PÚBLICOS</v>
      </c>
      <c r="G144" s="20">
        <f ca="1">IFERROR(__xludf.DUMMYFUNCTION("""COMPUTED_VALUE"""),1)</f>
        <v>1</v>
      </c>
      <c r="H144" s="20">
        <f ca="1">IFERROR(__xludf.DUMMYFUNCTION("""COMPUTED_VALUE"""),1)</f>
        <v>1</v>
      </c>
      <c r="I144" s="20">
        <f ca="1">IFERROR(__xludf.DUMMYFUNCTION("""COMPUTED_VALUE"""),1)</f>
        <v>1</v>
      </c>
      <c r="J144" s="20" t="str">
        <f ca="1">IFERROR(__xludf.DUMMYFUNCTION("""COMPUTED_VALUE"""),"NC")</f>
        <v>NC</v>
      </c>
      <c r="K144" s="20" t="str">
        <f ca="1">IFERROR(__xludf.DUMMYFUNCTION("""COMPUTED_VALUE"""),"NA")</f>
        <v>NA</v>
      </c>
      <c r="L144" s="20" t="str">
        <f ca="1">IFERROR(__xludf.DUMMYFUNCTION("""COMPUTED_VALUE"""),"NA")</f>
        <v>NA</v>
      </c>
      <c r="M144" s="20" t="str">
        <f ca="1">IFERROR(__xludf.DUMMYFUNCTION("""COMPUTED_VALUE"""),"El transporte en el marco de la Pandemia COVID-19.")</f>
        <v>El transporte en el marco de la Pandemia COVID-19.</v>
      </c>
      <c r="N144" s="20" t="str">
        <f ca="1">IFERROR(__xludf.DUMMYFUNCTION("""COMPUTED_VALUE"""),"NA")</f>
        <v>NA</v>
      </c>
      <c r="O144" s="20" t="str">
        <f ca="1">IFERROR(__xludf.DUMMYFUNCTION("""COMPUTED_VALUE"""),"SI")</f>
        <v>SI</v>
      </c>
      <c r="P144" s="20">
        <f ca="1">IFERROR(__xludf.DUMMYFUNCTION("""COMPUTED_VALUE"""),1)</f>
        <v>1</v>
      </c>
      <c r="Q144" s="113" t="str">
        <f ca="1">IFERROR(__xludf.DUMMYFUNCTION("""COMPUTED_VALUE"""),"https://gld.legislaturacba.gob.ar/_cdd/api/Documento/descargar?guid=15978e32-d10a-410a-80ef-5e2032e3d83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v>
      </c>
      <c r="R144" s="113" t="str">
        <f ca="1">IFERROR(__xludf.DUMMYFUNCTION("""COMPUTED_VALUE"""),"https://www.youtube.com/watch?v=h3EUrMgHoKw")</f>
        <v>https://www.youtube.com/watch?v=h3EUrMgHoKw</v>
      </c>
      <c r="S144" s="113" t="str">
        <f ca="1">IFERROR(__xludf.DUMMYFUNCTION("""COMPUTED_VALUE"""),"https://gld.legislaturacba.gob.ar/Publics/Actas.aspx?id=JGIGmQKoAic=")</f>
        <v>https://gld.legislaturacba.gob.ar/Publics/Actas.aspx?id=JGIGmQKoAic=</v>
      </c>
      <c r="T144" s="99">
        <f t="shared" ca="1" si="0"/>
        <v>0</v>
      </c>
    </row>
    <row r="145" spans="1:20">
      <c r="A145" s="20">
        <f ca="1">IFERROR(__xludf.DUMMYFUNCTION("""COMPUTED_VALUE"""),144)</f>
        <v>144</v>
      </c>
      <c r="B145" s="20">
        <f ca="1">IFERROR(__xludf.DUMMYFUNCTION("""COMPUTED_VALUE"""),2020)</f>
        <v>2020</v>
      </c>
      <c r="C145" s="20" t="str">
        <f ca="1">IFERROR(__xludf.DUMMYFUNCTION("""COMPUTED_VALUE"""),"VIRTUAL")</f>
        <v>VIRTUAL</v>
      </c>
      <c r="D145" s="96">
        <f ca="1">IFERROR(__xludf.DUMMYFUNCTION("""COMPUTED_VALUE"""),44091)</f>
        <v>44091</v>
      </c>
      <c r="E145" s="20" t="str">
        <f ca="1">IFERROR(__xludf.DUMMYFUNCTION("""COMPUTED_VALUE"""),"SI")</f>
        <v>SI</v>
      </c>
      <c r="F145" s="20" t="str">
        <f ca="1">IFERROR(__xludf.DUMMYFUNCTION("""COMPUTED_VALUE"""),"DEPORTES Y RECREACIÓN;LEGISLACIÓN GENERAL")</f>
        <v>DEPORTES Y RECREACIÓN;LEGISLACIÓN GENERAL</v>
      </c>
      <c r="G145" s="20">
        <f ca="1">IFERROR(__xludf.DUMMYFUNCTION("""COMPUTED_VALUE"""),2)</f>
        <v>2</v>
      </c>
      <c r="H145" s="20">
        <f ca="1">IFERROR(__xludf.DUMMYFUNCTION("""COMPUTED_VALUE"""),2)</f>
        <v>2</v>
      </c>
      <c r="I145" s="20">
        <f ca="1">IFERROR(__xludf.DUMMYFUNCTION("""COMPUTED_VALUE"""),1)</f>
        <v>1</v>
      </c>
      <c r="J145" s="20" t="str">
        <f ca="1">IFERROR(__xludf.DUMMYFUNCTION("""COMPUTED_VALUE"""),"Ley")</f>
        <v>Ley</v>
      </c>
      <c r="K145" s="20">
        <f ca="1">IFERROR(__xludf.DUMMYFUNCTION("""COMPUTED_VALUE"""),30943)</f>
        <v>30943</v>
      </c>
      <c r="L145" s="20" t="str">
        <f ca="1">IFERROR(__xludf.DUMMYFUNCTION("""COMPUTED_VALUE"""),"Poder Legislativo Provincial")</f>
        <v>Poder Legislativo Provincial</v>
      </c>
      <c r="M145" s="20" t="str">
        <f ca="1">IFERROR(__xludf.DUMMYFUNCTION("""COMPUTED_VALUE"""),"Proyecto de Ley 30943/L/20, iniciado por los Legisladores Giraldi, Majul, Carpintero, Piasco, Miranda y Petrone, designando con el nombre de Osvaldo “el Turco” WEHBE, a las cabinas de transmisión del estadio Mario Alberto Kempes.")</f>
        <v>Proyecto de Ley 30943/L/20, iniciado por los Legisladores Giraldi, Majul, Carpintero, Piasco, Miranda y Petrone, designando con el nombre de Osvaldo “el Turco” WEHBE, a las cabinas de transmisión del estadio Mario Alberto Kempes.</v>
      </c>
      <c r="N145" s="20" t="str">
        <f ca="1">IFERROR(__xludf.DUMMYFUNCTION("""COMPUTED_VALUE"""),"SI")</f>
        <v>SI</v>
      </c>
      <c r="O145" s="20" t="str">
        <f ca="1">IFERROR(__xludf.DUMMYFUNCTION("""COMPUTED_VALUE"""),"SI")</f>
        <v>SI</v>
      </c>
      <c r="P145" s="20">
        <f ca="1">IFERROR(__xludf.DUMMYFUNCTION("""COMPUTED_VALUE"""),1)</f>
        <v>1</v>
      </c>
      <c r="Q145" s="113" t="str">
        <f ca="1">IFERROR(__xludf.DUMMYFUNCTION("""COMPUTED_VALUE"""),"https://gld.legislaturacba.gob.ar/_cdd/api/Documento/descargar?guid=d6d44107-e9b6-4e6a-a429-c5741a6e57e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v>
      </c>
      <c r="R145" s="113" t="str">
        <f ca="1">IFERROR(__xludf.DUMMYFUNCTION("""COMPUTED_VALUE"""),"https://www.youtube.com/watch?v=mhktJQOgiIc")</f>
        <v>https://www.youtube.com/watch?v=mhktJQOgiIc</v>
      </c>
      <c r="S145" s="113" t="str">
        <f ca="1">IFERROR(__xludf.DUMMYFUNCTION("""COMPUTED_VALUE"""),"https://gld.legislaturacba.gob.ar/Publics/Actas.aspx?id=LEFsDiKYfpM=;https://gld.legislaturacba.gob.ar/Publics/Actas.aspx?id=z_lE-Cqo4ak=")</f>
        <v>https://gld.legislaturacba.gob.ar/Publics/Actas.aspx?id=LEFsDiKYfpM=;https://gld.legislaturacba.gob.ar/Publics/Actas.aspx?id=z_lE-Cqo4ak=</v>
      </c>
      <c r="T145" s="99">
        <f t="shared" ca="1" si="0"/>
        <v>0</v>
      </c>
    </row>
    <row r="146" spans="1:20">
      <c r="A146" s="20">
        <f ca="1">IFERROR(__xludf.DUMMYFUNCTION("""COMPUTED_VALUE"""),145)</f>
        <v>145</v>
      </c>
      <c r="B146" s="20">
        <f ca="1">IFERROR(__xludf.DUMMYFUNCTION("""COMPUTED_VALUE"""),2020)</f>
        <v>2020</v>
      </c>
      <c r="C146" s="20" t="str">
        <f ca="1">IFERROR(__xludf.DUMMYFUNCTION("""COMPUTED_VALUE"""),"VIRTUAL")</f>
        <v>VIRTUAL</v>
      </c>
      <c r="D146" s="96">
        <f ca="1">IFERROR(__xludf.DUMMYFUNCTION("""COMPUTED_VALUE"""),44091)</f>
        <v>44091</v>
      </c>
      <c r="E146" s="20" t="str">
        <f ca="1">IFERROR(__xludf.DUMMYFUNCTION("""COMPUTED_VALUE"""),"NO")</f>
        <v>NO</v>
      </c>
      <c r="F146" s="20" t="str">
        <f ca="1">IFERROR(__xludf.DUMMYFUNCTION("""COMPUTED_VALUE"""),"TURISMO Y SU RELACIÓN CON EL DESARROLLO REGIONAL")</f>
        <v>TURISMO Y SU RELACIÓN CON EL DESARROLLO REGIONAL</v>
      </c>
      <c r="G146" s="20">
        <f ca="1">IFERROR(__xludf.DUMMYFUNCTION("""COMPUTED_VALUE"""),1)</f>
        <v>1</v>
      </c>
      <c r="H146" s="20">
        <f ca="1">IFERROR(__xludf.DUMMYFUNCTION("""COMPUTED_VALUE"""),1)</f>
        <v>1</v>
      </c>
      <c r="I146" s="20">
        <f ca="1">IFERROR(__xludf.DUMMYFUNCTION("""COMPUTED_VALUE"""),1)</f>
        <v>1</v>
      </c>
      <c r="J146" s="20" t="str">
        <f ca="1">IFERROR(__xludf.DUMMYFUNCTION("""COMPUTED_VALUE"""),"NC")</f>
        <v>NC</v>
      </c>
      <c r="K146" s="20" t="str">
        <f ca="1">IFERROR(__xludf.DUMMYFUNCTION("""COMPUTED_VALUE"""),"NA")</f>
        <v>NA</v>
      </c>
      <c r="L146" s="20" t="str">
        <f ca="1">IFERROR(__xludf.DUMMYFUNCTION("""COMPUTED_VALUE"""),"NA")</f>
        <v>NA</v>
      </c>
      <c r="M146" s="20" t="str">
        <f ca="1">IFERROR(__xludf.DUMMYFUNCTION("""COMPUTED_VALUE"""),"Situación de los sectores turísticos de la Provincia de Córdoba en el marco del Aislamiento Social, Preventivo y Obligatorio por la Pandemia COVID-19.")</f>
        <v>Situación de los sectores turísticos de la Provincia de Córdoba en el marco del Aislamiento Social, Preventivo y Obligatorio por la Pandemia COVID-19.</v>
      </c>
      <c r="N146" s="20" t="str">
        <f ca="1">IFERROR(__xludf.DUMMYFUNCTION("""COMPUTED_VALUE"""),"NA")</f>
        <v>NA</v>
      </c>
      <c r="O146" s="20" t="str">
        <f ca="1">IFERROR(__xludf.DUMMYFUNCTION("""COMPUTED_VALUE"""),"SI")</f>
        <v>SI</v>
      </c>
      <c r="P146" s="20">
        <f ca="1">IFERROR(__xludf.DUMMYFUNCTION("""COMPUTED_VALUE"""),1)</f>
        <v>1</v>
      </c>
      <c r="Q146" s="113" t="str">
        <f ca="1">IFERROR(__xludf.DUMMYFUNCTION("""COMPUTED_VALUE"""),"https://gld.legislaturacba.gob.ar/_cdd/api/Documento/descargar?guid=7c21cd59-fb9a-4d7b-bfcf-cee020a42d7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v>
      </c>
      <c r="R146" s="113" t="str">
        <f ca="1">IFERROR(__xludf.DUMMYFUNCTION("""COMPUTED_VALUE"""),"https://www.youtube.com/watch?v=yurBNP5nAnY")</f>
        <v>https://www.youtube.com/watch?v=yurBNP5nAnY</v>
      </c>
      <c r="S146" s="113" t="str">
        <f ca="1">IFERROR(__xludf.DUMMYFUNCTION("""COMPUTED_VALUE"""),"https://gld.legislaturacba.gob.ar/Publics/Actas.aspx?id=JnDh9TMz0Sw=")</f>
        <v>https://gld.legislaturacba.gob.ar/Publics/Actas.aspx?id=JnDh9TMz0Sw=</v>
      </c>
      <c r="T146" s="99">
        <f t="shared" ca="1" si="0"/>
        <v>0</v>
      </c>
    </row>
    <row r="147" spans="1:20">
      <c r="A147" s="20">
        <f ca="1">IFERROR(__xludf.DUMMYFUNCTION("""COMPUTED_VALUE"""),146)</f>
        <v>146</v>
      </c>
      <c r="B147" s="20">
        <f ca="1">IFERROR(__xludf.DUMMYFUNCTION("""COMPUTED_VALUE"""),2020)</f>
        <v>2020</v>
      </c>
      <c r="C147" s="20" t="str">
        <f ca="1">IFERROR(__xludf.DUMMYFUNCTION("""COMPUTED_VALUE"""),"VIRTUAL")</f>
        <v>VIRTUAL</v>
      </c>
      <c r="D147" s="96">
        <f ca="1">IFERROR(__xludf.DUMMYFUNCTION("""COMPUTED_VALUE"""),44091)</f>
        <v>44091</v>
      </c>
      <c r="E147" s="20" t="str">
        <f ca="1">IFERROR(__xludf.DUMMYFUNCTION("""COMPUTED_VALUE"""),"SI")</f>
        <v>SI</v>
      </c>
      <c r="F147"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147" s="20">
        <f ca="1">IFERROR(__xludf.DUMMYFUNCTION("""COMPUTED_VALUE"""),2)</f>
        <v>2</v>
      </c>
      <c r="H147" s="20">
        <f ca="1">IFERROR(__xludf.DUMMYFUNCTION("""COMPUTED_VALUE"""),1)</f>
        <v>1</v>
      </c>
      <c r="I147" s="20">
        <f ca="1">IFERROR(__xludf.DUMMYFUNCTION("""COMPUTED_VALUE"""),1)</f>
        <v>1</v>
      </c>
      <c r="J147" s="20" t="str">
        <f ca="1">IFERROR(__xludf.DUMMYFUNCTION("""COMPUTED_VALUE"""),"NC")</f>
        <v>NC</v>
      </c>
      <c r="K147" s="20" t="str">
        <f ca="1">IFERROR(__xludf.DUMMYFUNCTION("""COMPUTED_VALUE"""),"NA")</f>
        <v>NA</v>
      </c>
      <c r="L147" s="20" t="str">
        <f ca="1">IFERROR(__xludf.DUMMYFUNCTION("""COMPUTED_VALUE"""),"NA")</f>
        <v>NA</v>
      </c>
      <c r="M147" s="20" t="str">
        <f ca="1">IFERROR(__xludf.DUMMYFUNCTION("""COMPUTED_VALUE"""),"Continuación del tratamiento del Grooming y ciberacoso en el marco de la Pandemia COVID-19.")</f>
        <v>Continuación del tratamiento del Grooming y ciberacoso en el marco de la Pandemia COVID-19.</v>
      </c>
      <c r="N147" s="20" t="str">
        <f ca="1">IFERROR(__xludf.DUMMYFUNCTION("""COMPUTED_VALUE"""),"NA")</f>
        <v>NA</v>
      </c>
      <c r="O147" s="20" t="str">
        <f ca="1">IFERROR(__xludf.DUMMYFUNCTION("""COMPUTED_VALUE"""),"SI")</f>
        <v>SI</v>
      </c>
      <c r="P147" s="20">
        <f ca="1">IFERROR(__xludf.DUMMYFUNCTION("""COMPUTED_VALUE"""),1)</f>
        <v>1</v>
      </c>
      <c r="Q147" s="113" t="str">
        <f ca="1">IFERROR(__xludf.DUMMYFUNCTION("""COMPUTED_VALUE"""),"https://gld.legislaturacba.gob.ar/_cdd/api/Documento/descargar?guid=8ebee80f-447d-43a8-83a6-f68b4b7c981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v>
      </c>
      <c r="R147" s="113" t="str">
        <f ca="1">IFERROR(__xludf.DUMMYFUNCTION("""COMPUTED_VALUE"""),"https://www.youtube.com/watch?v=AvcfqDLIjJ0")</f>
        <v>https://www.youtube.com/watch?v=AvcfqDLIjJ0</v>
      </c>
      <c r="S147" s="113" t="str">
        <f ca="1">IFERROR(__xludf.DUMMYFUNCTION("""COMPUTED_VALUE"""),"https://gld.legislaturacba.gob.ar/Publics/Actas.aspx?id=GtUVpHM7gug=;https://gld.legislaturacba.gob.ar/Publics/Actas.aspx?id=RpZv2gqGEj0=")</f>
        <v>https://gld.legislaturacba.gob.ar/Publics/Actas.aspx?id=GtUVpHM7gug=;https://gld.legislaturacba.gob.ar/Publics/Actas.aspx?id=RpZv2gqGEj0=</v>
      </c>
      <c r="T147" s="99">
        <f t="shared" ca="1" si="0"/>
        <v>0</v>
      </c>
    </row>
    <row r="148" spans="1:20">
      <c r="A148" s="20">
        <f ca="1">IFERROR(__xludf.DUMMYFUNCTION("""COMPUTED_VALUE"""),147)</f>
        <v>147</v>
      </c>
      <c r="B148" s="20">
        <f ca="1">IFERROR(__xludf.DUMMYFUNCTION("""COMPUTED_VALUE"""),2020)</f>
        <v>2020</v>
      </c>
      <c r="C148" s="20" t="str">
        <f ca="1">IFERROR(__xludf.DUMMYFUNCTION("""COMPUTED_VALUE"""),"VIRTUAL")</f>
        <v>VIRTUAL</v>
      </c>
      <c r="D148" s="96">
        <f ca="1">IFERROR(__xludf.DUMMYFUNCTION("""COMPUTED_VALUE"""),44096)</f>
        <v>44096</v>
      </c>
      <c r="E148" s="20" t="str">
        <f ca="1">IFERROR(__xludf.DUMMYFUNCTION("""COMPUTED_VALUE"""),"NO")</f>
        <v>NO</v>
      </c>
      <c r="F148" s="20" t="str">
        <f ca="1">IFERROR(__xludf.DUMMYFUNCTION("""COMPUTED_VALUE"""),"LEGISLACIÓN DEL TRABAJO, PREVISIÓN Y SEGURIDAD SOCIAL")</f>
        <v>LEGISLACIÓN DEL TRABAJO, PREVISIÓN Y SEGURIDAD SOCIAL</v>
      </c>
      <c r="G148" s="20">
        <f ca="1">IFERROR(__xludf.DUMMYFUNCTION("""COMPUTED_VALUE"""),1)</f>
        <v>1</v>
      </c>
      <c r="H148" s="20">
        <f ca="1">IFERROR(__xludf.DUMMYFUNCTION("""COMPUTED_VALUE"""),1)</f>
        <v>1</v>
      </c>
      <c r="I148" s="20">
        <f ca="1">IFERROR(__xludf.DUMMYFUNCTION("""COMPUTED_VALUE"""),1)</f>
        <v>1</v>
      </c>
      <c r="J148" s="20" t="str">
        <f ca="1">IFERROR(__xludf.DUMMYFUNCTION("""COMPUTED_VALUE"""),"NC")</f>
        <v>NC</v>
      </c>
      <c r="K148" s="20" t="str">
        <f ca="1">IFERROR(__xludf.DUMMYFUNCTION("""COMPUTED_VALUE"""),"NA")</f>
        <v>NA</v>
      </c>
      <c r="L148" s="20" t="str">
        <f ca="1">IFERROR(__xludf.DUMMYFUNCTION("""COMPUTED_VALUE"""),"NA")</f>
        <v>NA</v>
      </c>
      <c r="M148" s="20" t="str">
        <f ca="1">IFERROR(__xludf.DUMMYFUNCTION("""COMPUTED_VALUE"""),"Situación del sector de los trabajadores de espectáculos públicos en el marco de la Pandemia COVID-19.")</f>
        <v>Situación del sector de los trabajadores de espectáculos públicos en el marco de la Pandemia COVID-19.</v>
      </c>
      <c r="N148" s="20" t="str">
        <f ca="1">IFERROR(__xludf.DUMMYFUNCTION("""COMPUTED_VALUE"""),"NA")</f>
        <v>NA</v>
      </c>
      <c r="O148" s="20" t="str">
        <f ca="1">IFERROR(__xludf.DUMMYFUNCTION("""COMPUTED_VALUE"""),"SI")</f>
        <v>SI</v>
      </c>
      <c r="P148" s="20">
        <f ca="1">IFERROR(__xludf.DUMMYFUNCTION("""COMPUTED_VALUE"""),1)</f>
        <v>1</v>
      </c>
      <c r="Q148" s="113" t="str">
        <f ca="1">IFERROR(__xludf.DUMMYFUNCTION("""COMPUTED_VALUE"""),"https://gld.legislaturacba.gob.ar/_cdd/api/Documento/descargar?guid=3e955c07-2390-4979-84ec-e854d2dee54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v>
      </c>
      <c r="R148" s="113" t="str">
        <f ca="1">IFERROR(__xludf.DUMMYFUNCTION("""COMPUTED_VALUE"""),"https://www.youtube.com/watch?v=SS0ONVjFLd4")</f>
        <v>https://www.youtube.com/watch?v=SS0ONVjFLd4</v>
      </c>
      <c r="S148" s="113" t="str">
        <f ca="1">IFERROR(__xludf.DUMMYFUNCTION("""COMPUTED_VALUE"""),"https://gld.legislaturacba.gob.ar/Publics/Actas.aspx?id=lpwQXM4m7lE=")</f>
        <v>https://gld.legislaturacba.gob.ar/Publics/Actas.aspx?id=lpwQXM4m7lE=</v>
      </c>
      <c r="T148" s="99">
        <f t="shared" ca="1" si="0"/>
        <v>0</v>
      </c>
    </row>
    <row r="149" spans="1:20">
      <c r="A149" s="20">
        <f ca="1">IFERROR(__xludf.DUMMYFUNCTION("""COMPUTED_VALUE"""),148)</f>
        <v>148</v>
      </c>
      <c r="B149" s="20">
        <f ca="1">IFERROR(__xludf.DUMMYFUNCTION("""COMPUTED_VALUE"""),2020)</f>
        <v>2020</v>
      </c>
      <c r="C149" s="20" t="str">
        <f ca="1">IFERROR(__xludf.DUMMYFUNCTION("""COMPUTED_VALUE"""),"VIRTUAL")</f>
        <v>VIRTUAL</v>
      </c>
      <c r="D149" s="96">
        <f ca="1">IFERROR(__xludf.DUMMYFUNCTION("""COMPUTED_VALUE"""),44096)</f>
        <v>44096</v>
      </c>
      <c r="E149" s="20" t="str">
        <f ca="1">IFERROR(__xludf.DUMMYFUNCTION("""COMPUTED_VALUE"""),"SI")</f>
        <v>SI</v>
      </c>
      <c r="F149" s="20" t="str">
        <f ca="1">IFERROR(__xludf.DUMMYFUNCTION("""COMPUTED_VALUE"""),"ECONOMÍA, PRESUPUESTO, GESTIÓN PÚBLICA E INNOVACIÓN;LEGISLACIÓN GENERAL")</f>
        <v>ECONOMÍA, PRESUPUESTO, GESTIÓN PÚBLICA E INNOVACIÓN;LEGISLACIÓN GENERAL</v>
      </c>
      <c r="G149" s="20">
        <f ca="1">IFERROR(__xludf.DUMMYFUNCTION("""COMPUTED_VALUE"""),2)</f>
        <v>2</v>
      </c>
      <c r="H149" s="20">
        <f ca="1">IFERROR(__xludf.DUMMYFUNCTION("""COMPUTED_VALUE"""),1)</f>
        <v>1</v>
      </c>
      <c r="I149" s="20">
        <f ca="1">IFERROR(__xludf.DUMMYFUNCTION("""COMPUTED_VALUE"""),1)</f>
        <v>1</v>
      </c>
      <c r="J149" s="20" t="str">
        <f ca="1">IFERROR(__xludf.DUMMYFUNCTION("""COMPUTED_VALUE"""),"Ley")</f>
        <v>Ley</v>
      </c>
      <c r="K149" s="20">
        <f ca="1">IFERROR(__xludf.DUMMYFUNCTION("""COMPUTED_VALUE"""),31206)</f>
        <v>31206</v>
      </c>
      <c r="L149" s="20" t="str">
        <f ca="1">IFERROR(__xludf.DUMMYFUNCTION("""COMPUTED_VALUE"""),"Poder Ejecutivo Provincial")</f>
        <v>Poder Ejecutivo Provincial</v>
      </c>
      <c r="M149" s="20" t="str">
        <f ca="1">IFERROR(__xludf.DUMMYFUNCTION("""COMPUTED_VALUE"""),"Proyecto de Ley 31206/L/20, remitido por el Poder Ejecutivo, ratificando el “Convenio Marco de Cooperación y Asistencia Técnica” entre el Instituto Nacional de Estadísticas y Censos y la Dirección General de Estadísticas y Censos de la Provincia, aprobado"&amp;" por Decreto Nº 480 de fecha 2 de julio con el fin de dar cumplimiento a las tareas establecidas para el Programa Anual de Estadística 2020.")</f>
        <v>Proyecto de Ley 31206/L/20, remitido por el Poder Ejecutivo, ratificando el “Convenio Marco de Cooperación y Asistencia Técnica” entre el Instituto Nacional de Estadísticas y Censos y la Dirección General de Estadísticas y Censos de la Provincia, aprobado por Decreto Nº 480 de fecha 2 de julio con el fin de dar cumplimiento a las tareas establecidas para el Programa Anual de Estadística 2020.</v>
      </c>
      <c r="N149" s="20" t="str">
        <f ca="1">IFERROR(__xludf.DUMMYFUNCTION("""COMPUTED_VALUE"""),"SI")</f>
        <v>SI</v>
      </c>
      <c r="O149" s="20" t="str">
        <f ca="1">IFERROR(__xludf.DUMMYFUNCTION("""COMPUTED_VALUE"""),"NO")</f>
        <v>NO</v>
      </c>
      <c r="P149" s="20">
        <f ca="1">IFERROR(__xludf.DUMMYFUNCTION("""COMPUTED_VALUE"""),0)</f>
        <v>0</v>
      </c>
      <c r="Q149" s="113" t="str">
        <f ca="1">IFERROR(__xludf.DUMMYFUNCTION("""COMPUTED_VALUE"""),"https://gld.legislaturacba.gob.ar/_cdd/api/Documento/descargar?guid=8d1f8260-4ba8-4ef4-817c-3601f54f505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v>
      </c>
      <c r="R149" s="113" t="str">
        <f ca="1">IFERROR(__xludf.DUMMYFUNCTION("""COMPUTED_VALUE"""),"https://www.youtube.com/watch?v=mC1lqGMl2XU")</f>
        <v>https://www.youtube.com/watch?v=mC1lqGMl2XU</v>
      </c>
      <c r="S149" s="113" t="str">
        <f ca="1">IFERROR(__xludf.DUMMYFUNCTION("""COMPUTED_VALUE"""),"https://gld.legislaturacba.gob.ar/Publics/Actas.aspx?id=5zY69mbZrZg=;https://gld.legislaturacba.gob.ar/Publics/Actas.aspx?id=PfSUe_9VIj8=")</f>
        <v>https://gld.legislaturacba.gob.ar/Publics/Actas.aspx?id=5zY69mbZrZg=;https://gld.legislaturacba.gob.ar/Publics/Actas.aspx?id=PfSUe_9VIj8=</v>
      </c>
      <c r="T149" s="99">
        <f t="shared" ca="1" si="0"/>
        <v>0</v>
      </c>
    </row>
    <row r="150" spans="1:20">
      <c r="A150" s="20">
        <f ca="1">IFERROR(__xludf.DUMMYFUNCTION("""COMPUTED_VALUE"""),149)</f>
        <v>149</v>
      </c>
      <c r="B150" s="20">
        <f ca="1">IFERROR(__xludf.DUMMYFUNCTION("""COMPUTED_VALUE"""),2020)</f>
        <v>2020</v>
      </c>
      <c r="C150" s="20" t="str">
        <f ca="1">IFERROR(__xludf.DUMMYFUNCTION("""COMPUTED_VALUE"""),"VIRTUAL")</f>
        <v>VIRTUAL</v>
      </c>
      <c r="D150" s="96">
        <f ca="1">IFERROR(__xludf.DUMMYFUNCTION("""COMPUTED_VALUE"""),44096)</f>
        <v>44096</v>
      </c>
      <c r="E150" s="20" t="str">
        <f ca="1">IFERROR(__xludf.DUMMYFUNCTION("""COMPUTED_VALUE"""),"SI")</f>
        <v>SI</v>
      </c>
      <c r="F150" s="20" t="str">
        <f ca="1">IFERROR(__xludf.DUMMYFUNCTION("""COMPUTED_VALUE"""),"EDUCACIÓN, CULTURA, CIENCIA, TECNOLOGÍA E INFORMÁTICA;SERVICIOS PÚBLICOS")</f>
        <v>EDUCACIÓN, CULTURA, CIENCIA, TECNOLOGÍA E INFORMÁTICA;SERVICIOS PÚBLICOS</v>
      </c>
      <c r="G150" s="20">
        <f ca="1">IFERROR(__xludf.DUMMYFUNCTION("""COMPUTED_VALUE"""),2)</f>
        <v>2</v>
      </c>
      <c r="H150" s="20">
        <f ca="1">IFERROR(__xludf.DUMMYFUNCTION("""COMPUTED_VALUE"""),1)</f>
        <v>1</v>
      </c>
      <c r="I150" s="20">
        <f ca="1">IFERROR(__xludf.DUMMYFUNCTION("""COMPUTED_VALUE"""),1)</f>
        <v>1</v>
      </c>
      <c r="J150" s="20" t="str">
        <f ca="1">IFERROR(__xludf.DUMMYFUNCTION("""COMPUTED_VALUE"""),"NC")</f>
        <v>NC</v>
      </c>
      <c r="K150" s="20" t="str">
        <f ca="1">IFERROR(__xludf.DUMMYFUNCTION("""COMPUTED_VALUE"""),"NA")</f>
        <v>NA</v>
      </c>
      <c r="L150" s="20" t="str">
        <f ca="1">IFERROR(__xludf.DUMMYFUNCTION("""COMPUTED_VALUE"""),"NA")</f>
        <v>NA</v>
      </c>
      <c r="M150" s="20" t="str">
        <f ca="1">IFERROR(__xludf.DUMMYFUNCTION("""COMPUTED_VALUE"""),"Situación del sector de transportistas escolares y propietarios de cantinas escolares en el marco de la Pandemia COVID 19.")</f>
        <v>Situación del sector de transportistas escolares y propietarios de cantinas escolares en el marco de la Pandemia COVID 19.</v>
      </c>
      <c r="N150" s="20" t="str">
        <f ca="1">IFERROR(__xludf.DUMMYFUNCTION("""COMPUTED_VALUE"""),"NA")</f>
        <v>NA</v>
      </c>
      <c r="O150" s="20" t="str">
        <f ca="1">IFERROR(__xludf.DUMMYFUNCTION("""COMPUTED_VALUE"""),"SI")</f>
        <v>SI</v>
      </c>
      <c r="P150" s="20">
        <f ca="1">IFERROR(__xludf.DUMMYFUNCTION("""COMPUTED_VALUE"""),6)</f>
        <v>6</v>
      </c>
      <c r="Q150" s="113" t="str">
        <f ca="1">IFERROR(__xludf.DUMMYFUNCTION("""COMPUTED_VALUE"""),"https://gld.legislaturacba.gob.ar/_cdd/api/Documento/descargar?guid=d0dea5ff-a075-4530-9bf6-c3ad83ed67f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v>
      </c>
      <c r="R150" s="20" t="str">
        <f ca="1">IFERROR(__xludf.DUMMYFUNCTION("""COMPUTED_VALUE"""),"NA")</f>
        <v>NA</v>
      </c>
      <c r="S150" s="113" t="str">
        <f ca="1">IFERROR(__xludf.DUMMYFUNCTION("""COMPUTED_VALUE"""),"https://gld.legislaturacba.gob.ar/Publics/Actas.aspx?id=AwLStwGZO3k=;https://gld.legislaturacba.gob.ar/Publics/Actas.aspx?id=EpbEay1TisY=")</f>
        <v>https://gld.legislaturacba.gob.ar/Publics/Actas.aspx?id=AwLStwGZO3k=;https://gld.legislaturacba.gob.ar/Publics/Actas.aspx?id=EpbEay1TisY=</v>
      </c>
      <c r="T150" s="99">
        <f t="shared" ca="1" si="0"/>
        <v>0</v>
      </c>
    </row>
    <row r="151" spans="1:20">
      <c r="A151" s="20">
        <f ca="1">IFERROR(__xludf.DUMMYFUNCTION("""COMPUTED_VALUE"""),150)</f>
        <v>150</v>
      </c>
      <c r="B151" s="20">
        <f ca="1">IFERROR(__xludf.DUMMYFUNCTION("""COMPUTED_VALUE"""),2020)</f>
        <v>2020</v>
      </c>
      <c r="C151" s="20" t="str">
        <f ca="1">IFERROR(__xludf.DUMMYFUNCTION("""COMPUTED_VALUE"""),"VIRTUAL")</f>
        <v>VIRTUAL</v>
      </c>
      <c r="D151" s="96">
        <f ca="1">IFERROR(__xludf.DUMMYFUNCTION("""COMPUTED_VALUE"""),44097)</f>
        <v>44097</v>
      </c>
      <c r="E151" s="20" t="str">
        <f ca="1">IFERROR(__xludf.DUMMYFUNCTION("""COMPUTED_VALUE"""),"NO")</f>
        <v>NO</v>
      </c>
      <c r="F151" s="20" t="str">
        <f ca="1">IFERROR(__xludf.DUMMYFUNCTION("""COMPUTED_VALUE"""),"DEPORTES Y RECREACIÓN")</f>
        <v>DEPORTES Y RECREACIÓN</v>
      </c>
      <c r="G151" s="20">
        <f ca="1">IFERROR(__xludf.DUMMYFUNCTION("""COMPUTED_VALUE"""),1)</f>
        <v>1</v>
      </c>
      <c r="H151" s="20">
        <f ca="1">IFERROR(__xludf.DUMMYFUNCTION("""COMPUTED_VALUE"""),1)</f>
        <v>1</v>
      </c>
      <c r="I151" s="20">
        <f ca="1">IFERROR(__xludf.DUMMYFUNCTION("""COMPUTED_VALUE"""),1)</f>
        <v>1</v>
      </c>
      <c r="J151" s="20" t="str">
        <f ca="1">IFERROR(__xludf.DUMMYFUNCTION("""COMPUTED_VALUE"""),"Ley")</f>
        <v>Ley</v>
      </c>
      <c r="K151" s="20">
        <f ca="1">IFERROR(__xludf.DUMMYFUNCTION("""COMPUTED_VALUE"""),31114)</f>
        <v>31114</v>
      </c>
      <c r="L151" s="20" t="str">
        <f ca="1">IFERROR(__xludf.DUMMYFUNCTION("""COMPUTED_VALUE"""),"Poder Legislativo Provincial")</f>
        <v>Poder Legislativo Provincial</v>
      </c>
      <c r="M151" s="20" t="str">
        <f ca="1">IFERROR(__xludf.DUMMYFUNCTION("""COMPUTED_VALUE"""),"Creando el Programa de Emergencia y asistencia del Deporte Barrial, Social y comunitario, el cual tendrá como duración un año")</f>
        <v>Creando el Programa de Emergencia y asistencia del Deporte Barrial, Social y comunitario, el cual tendrá como duración un año</v>
      </c>
      <c r="N151" s="20" t="str">
        <f ca="1">IFERROR(__xludf.DUMMYFUNCTION("""COMPUTED_VALUE"""),"NO")</f>
        <v>NO</v>
      </c>
      <c r="O151" s="20" t="str">
        <f ca="1">IFERROR(__xludf.DUMMYFUNCTION("""COMPUTED_VALUE"""),"NO")</f>
        <v>NO</v>
      </c>
      <c r="P151" s="20">
        <f ca="1">IFERROR(__xludf.DUMMYFUNCTION("""COMPUTED_VALUE"""),0)</f>
        <v>0</v>
      </c>
      <c r="Q151" s="113" t="str">
        <f ca="1">IFERROR(__xludf.DUMMYFUNCTION("""COMPUTED_VALUE"""),"https://gld.legislaturacba.gob.ar/_cdd/api/Documento/descargar?guid=5b951337-649a-4cda-8a45-77a1ab18aeb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v>
      </c>
      <c r="R151" s="113" t="str">
        <f ca="1">IFERROR(__xludf.DUMMYFUNCTION("""COMPUTED_VALUE"""),"https://www.youtube.com/watch?v=mC1lqGMl2XU")</f>
        <v>https://www.youtube.com/watch?v=mC1lqGMl2XU</v>
      </c>
      <c r="S151" s="113" t="str">
        <f ca="1">IFERROR(__xludf.DUMMYFUNCTION("""COMPUTED_VALUE"""),"https://gld.legislaturacba.gob.ar/Publics/Actas.aspx?id=V1kKjZ1SDac=")</f>
        <v>https://gld.legislaturacba.gob.ar/Publics/Actas.aspx?id=V1kKjZ1SDac=</v>
      </c>
      <c r="T151" s="99">
        <f t="shared" ca="1" si="0"/>
        <v>0</v>
      </c>
    </row>
    <row r="152" spans="1:20">
      <c r="A152" s="20">
        <f ca="1">IFERROR(__xludf.DUMMYFUNCTION("""COMPUTED_VALUE"""),151)</f>
        <v>151</v>
      </c>
      <c r="B152" s="20">
        <f ca="1">IFERROR(__xludf.DUMMYFUNCTION("""COMPUTED_VALUE"""),2020)</f>
        <v>2020</v>
      </c>
      <c r="C152" s="20" t="str">
        <f ca="1">IFERROR(__xludf.DUMMYFUNCTION("""COMPUTED_VALUE"""),"VIRTUAL")</f>
        <v>VIRTUAL</v>
      </c>
      <c r="D152" s="96">
        <f ca="1">IFERROR(__xludf.DUMMYFUNCTION("""COMPUTED_VALUE"""),44098)</f>
        <v>44098</v>
      </c>
      <c r="E152" s="20" t="str">
        <f ca="1">IFERROR(__xludf.DUMMYFUNCTION("""COMPUTED_VALUE"""),"SI")</f>
        <v>SI</v>
      </c>
      <c r="F152" s="20" t="str">
        <f ca="1">IFERROR(__xludf.DUMMYFUNCTION("""COMPUTED_VALUE"""),"AMBIENTE;PROMOCIÓN Y DESARROLLO DE LAS COMUNIDADES REGIONALES")</f>
        <v>AMBIENTE;PROMOCIÓN Y DESARROLLO DE LAS COMUNIDADES REGIONALES</v>
      </c>
      <c r="G152" s="20">
        <f ca="1">IFERROR(__xludf.DUMMYFUNCTION("""COMPUTED_VALUE"""),2)</f>
        <v>2</v>
      </c>
      <c r="H152" s="20">
        <f ca="1">IFERROR(__xludf.DUMMYFUNCTION("""COMPUTED_VALUE"""),3)</f>
        <v>3</v>
      </c>
      <c r="I152" s="20">
        <f ca="1">IFERROR(__xludf.DUMMYFUNCTION("""COMPUTED_VALUE"""),1)</f>
        <v>1</v>
      </c>
      <c r="J152" s="20" t="str">
        <f ca="1">IFERROR(__xludf.DUMMYFUNCTION("""COMPUTED_VALUE"""),"NC")</f>
        <v>NC</v>
      </c>
      <c r="K152" s="20" t="str">
        <f ca="1">IFERROR(__xludf.DUMMYFUNCTION("""COMPUTED_VALUE"""),"NA")</f>
        <v>NA</v>
      </c>
      <c r="L152" s="20" t="str">
        <f ca="1">IFERROR(__xludf.DUMMYFUNCTION("""COMPUTED_VALUE"""),"NA")</f>
        <v>NA</v>
      </c>
      <c r="M152" s="20" t="str">
        <f ca="1">IFERROR(__xludf.DUMMYFUNCTION("""COMPUTED_VALUE"""),"Análisis de la propuesta Reserva Urbana Tierras del Tacú en el Concejo Deliberante de Villa General Belgrano")</f>
        <v>Análisis de la propuesta Reserva Urbana Tierras del Tacú en el Concejo Deliberante de Villa General Belgrano</v>
      </c>
      <c r="N152" s="20" t="str">
        <f ca="1">IFERROR(__xludf.DUMMYFUNCTION("""COMPUTED_VALUE"""),"NA")</f>
        <v>NA</v>
      </c>
      <c r="O152" s="20" t="str">
        <f ca="1">IFERROR(__xludf.DUMMYFUNCTION("""COMPUTED_VALUE"""),"SI")</f>
        <v>SI</v>
      </c>
      <c r="P152" s="20">
        <f ca="1">IFERROR(__xludf.DUMMYFUNCTION("""COMPUTED_VALUE"""),4)</f>
        <v>4</v>
      </c>
      <c r="Q152" s="113" t="str">
        <f ca="1">IFERROR(__xludf.DUMMYFUNCTION("""COMPUTED_VALUE"""),"https://gld.legislaturacba.gob.ar/_cdd/api/Documento/descargar?guid=9ec6a8c0-d3ec-4089-a96a-11fa7be98aa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v>
      </c>
      <c r="R152" s="113" t="str">
        <f ca="1">IFERROR(__xludf.DUMMYFUNCTION("""COMPUTED_VALUE"""),"https://www.youtube.com/watch?v=t2NCVhlsLZ4")</f>
        <v>https://www.youtube.com/watch?v=t2NCVhlsLZ4</v>
      </c>
      <c r="S152" s="113" t="str">
        <f ca="1">IFERROR(__xludf.DUMMYFUNCTION("""COMPUTED_VALUE"""),"https://gld.legislaturacba.gob.ar/Publics/Actas.aspx?id=5dE_aP7spDU=;https://gld.legislaturacba.gob.ar/Publics/Actas.aspx?id=5EyUjmHGKSU=")</f>
        <v>https://gld.legislaturacba.gob.ar/Publics/Actas.aspx?id=5dE_aP7spDU=;https://gld.legislaturacba.gob.ar/Publics/Actas.aspx?id=5EyUjmHGKSU=</v>
      </c>
      <c r="T152" s="99">
        <f t="shared" ca="1" si="0"/>
        <v>0</v>
      </c>
    </row>
    <row r="153" spans="1:20">
      <c r="A153" s="20">
        <f ca="1">IFERROR(__xludf.DUMMYFUNCTION("""COMPUTED_VALUE"""),152)</f>
        <v>152</v>
      </c>
      <c r="B153" s="20">
        <f ca="1">IFERROR(__xludf.DUMMYFUNCTION("""COMPUTED_VALUE"""),2020)</f>
        <v>2020</v>
      </c>
      <c r="C153" s="20" t="str">
        <f ca="1">IFERROR(__xludf.DUMMYFUNCTION("""COMPUTED_VALUE"""),"VIRTUAL")</f>
        <v>VIRTUAL</v>
      </c>
      <c r="D153" s="96">
        <f ca="1">IFERROR(__xludf.DUMMYFUNCTION("""COMPUTED_VALUE"""),44098)</f>
        <v>44098</v>
      </c>
      <c r="E153" s="20" t="str">
        <f ca="1">IFERROR(__xludf.DUMMYFUNCTION("""COMPUTED_VALUE"""),"SI")</f>
        <v>SI</v>
      </c>
      <c r="F153" s="20" t="str">
        <f ca="1">IFERROR(__xludf.DUMMYFUNCTION("""COMPUTED_VALUE"""),"INDUSTRIA Y MINERÍA;PROMOCIÓN Y DESARROLLO DE ECONOMÍAS REGIONALES Y PYMES")</f>
        <v>INDUSTRIA Y MINERÍA;PROMOCIÓN Y DESARROLLO DE ECONOMÍAS REGIONALES Y PYMES</v>
      </c>
      <c r="G153" s="20">
        <f ca="1">IFERROR(__xludf.DUMMYFUNCTION("""COMPUTED_VALUE"""),2)</f>
        <v>2</v>
      </c>
      <c r="H153" s="20">
        <f ca="1">IFERROR(__xludf.DUMMYFUNCTION("""COMPUTED_VALUE"""),1)</f>
        <v>1</v>
      </c>
      <c r="I153" s="20">
        <f ca="1">IFERROR(__xludf.DUMMYFUNCTION("""COMPUTED_VALUE"""),1)</f>
        <v>1</v>
      </c>
      <c r="J153" s="20" t="str">
        <f ca="1">IFERROR(__xludf.DUMMYFUNCTION("""COMPUTED_VALUE"""),"NC")</f>
        <v>NC</v>
      </c>
      <c r="K153" s="20" t="str">
        <f ca="1">IFERROR(__xludf.DUMMYFUNCTION("""COMPUTED_VALUE"""),"NA")</f>
        <v>NA</v>
      </c>
      <c r="L153" s="20" t="str">
        <f ca="1">IFERROR(__xludf.DUMMYFUNCTION("""COMPUTED_VALUE"""),"NA")</f>
        <v>NA</v>
      </c>
      <c r="M153" s="20" t="str">
        <f ca="1">IFERROR(__xludf.DUMMYFUNCTION("""COMPUTED_VALUE"""),"Situación de la industria del software y servicios informáticos y modificación de la ley de economía del conocimiento que se trata en el Congreso de la Nación.")</f>
        <v>Situación de la industria del software y servicios informáticos y modificación de la ley de economía del conocimiento que se trata en el Congreso de la Nación.</v>
      </c>
      <c r="N153" s="20" t="str">
        <f ca="1">IFERROR(__xludf.DUMMYFUNCTION("""COMPUTED_VALUE"""),"NA")</f>
        <v>NA</v>
      </c>
      <c r="O153" s="20" t="str">
        <f ca="1">IFERROR(__xludf.DUMMYFUNCTION("""COMPUTED_VALUE"""),"SI")</f>
        <v>SI</v>
      </c>
      <c r="P153" s="20">
        <f ca="1">IFERROR(__xludf.DUMMYFUNCTION("""COMPUTED_VALUE"""),1)</f>
        <v>1</v>
      </c>
      <c r="Q153" s="113" t="str">
        <f ca="1">IFERROR(__xludf.DUMMYFUNCTION("""COMPUTED_VALUE"""),"https://gld.legislaturacba.gob.ar/_cdd/api/Documento/descargar?guid=040ba8a6-a25c-4f7f-a1a4-0f34845a2ef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v>
      </c>
      <c r="R153" s="20" t="str">
        <f ca="1">IFERROR(__xludf.DUMMYFUNCTION("""COMPUTED_VALUE"""),"NA")</f>
        <v>NA</v>
      </c>
      <c r="S153" s="113" t="str">
        <f ca="1">IFERROR(__xludf.DUMMYFUNCTION("""COMPUTED_VALUE"""),"https://gld.legislaturacba.gob.ar/Publics/Actas.aspx?id=tOos42TSLrw=;https://gld.legislaturacba.gob.ar/Publics/Actas.aspx?id=zl9lhxTUOZc=")</f>
        <v>https://gld.legislaturacba.gob.ar/Publics/Actas.aspx?id=tOos42TSLrw=;https://gld.legislaturacba.gob.ar/Publics/Actas.aspx?id=zl9lhxTUOZc=</v>
      </c>
      <c r="T153" s="99">
        <f t="shared" ca="1" si="0"/>
        <v>0</v>
      </c>
    </row>
    <row r="154" spans="1:20">
      <c r="A154" s="20">
        <f ca="1">IFERROR(__xludf.DUMMYFUNCTION("""COMPUTED_VALUE"""),153)</f>
        <v>153</v>
      </c>
      <c r="B154" s="20">
        <f ca="1">IFERROR(__xludf.DUMMYFUNCTION("""COMPUTED_VALUE"""),2020)</f>
        <v>2020</v>
      </c>
      <c r="C154" s="20" t="str">
        <f ca="1">IFERROR(__xludf.DUMMYFUNCTION("""COMPUTED_VALUE"""),"VIRTUAL")</f>
        <v>VIRTUAL</v>
      </c>
      <c r="D154" s="96">
        <f ca="1">IFERROR(__xludf.DUMMYFUNCTION("""COMPUTED_VALUE"""),44103)</f>
        <v>44103</v>
      </c>
      <c r="E154" s="20" t="str">
        <f ca="1">IFERROR(__xludf.DUMMYFUNCTION("""COMPUTED_VALUE"""),"SI")</f>
        <v>SI</v>
      </c>
      <c r="F154" s="20" t="str">
        <f ca="1">IFERROR(__xludf.DUMMYFUNCTION("""COMPUTED_VALUE"""),"ASUNTOS INSTITUCIONALES, MUNICIPALES Y COMUNALES;LEGISLACIÓN GENERAL")</f>
        <v>ASUNTOS INSTITUCIONALES, MUNICIPALES Y COMUNALES;LEGISLACIÓN GENERAL</v>
      </c>
      <c r="G154" s="20">
        <f ca="1">IFERROR(__xludf.DUMMYFUNCTION("""COMPUTED_VALUE"""),2)</f>
        <v>2</v>
      </c>
      <c r="H154" s="20">
        <f ca="1">IFERROR(__xludf.DUMMYFUNCTION("""COMPUTED_VALUE"""),1)</f>
        <v>1</v>
      </c>
      <c r="I154" s="20">
        <f ca="1">IFERROR(__xludf.DUMMYFUNCTION("""COMPUTED_VALUE"""),1)</f>
        <v>1</v>
      </c>
      <c r="J154" s="20" t="str">
        <f ca="1">IFERROR(__xludf.DUMMYFUNCTION("""COMPUTED_VALUE"""),"Ley")</f>
        <v>Ley</v>
      </c>
      <c r="K154" s="20">
        <f ca="1">IFERROR(__xludf.DUMMYFUNCTION("""COMPUTED_VALUE"""),31280)</f>
        <v>31280</v>
      </c>
      <c r="L154" s="20" t="str">
        <f ca="1">IFERROR(__xludf.DUMMYFUNCTION("""COMPUTED_VALUE"""),"Poder Ejecutivo Provincial")</f>
        <v>Poder Ejecutivo Provincial</v>
      </c>
      <c r="M154" s="20" t="str">
        <f ca="1">IFERROR(__xludf.DUMMYFUNCTION("""COMPUTED_VALUE"""),"Proyecto de Ley 31280/L/20, iniciado por el Poder Ejecutivo, modificando el radio municipal de la localidad de Elena, Departamento Río Cuarto.")</f>
        <v>Proyecto de Ley 31280/L/20, iniciado por el Poder Ejecutivo, modificando el radio municipal de la localidad de Elena, Departamento Río Cuarto.</v>
      </c>
      <c r="N154" s="20" t="str">
        <f ca="1">IFERROR(__xludf.DUMMYFUNCTION("""COMPUTED_VALUE"""),"SI")</f>
        <v>SI</v>
      </c>
      <c r="O154" s="20" t="str">
        <f ca="1">IFERROR(__xludf.DUMMYFUNCTION("""COMPUTED_VALUE"""),"NO")</f>
        <v>NO</v>
      </c>
      <c r="P154" s="20">
        <f ca="1">IFERROR(__xludf.DUMMYFUNCTION("""COMPUTED_VALUE"""),0)</f>
        <v>0</v>
      </c>
      <c r="Q154" s="113" t="str">
        <f ca="1">IFERROR(__xludf.DUMMYFUNCTION("""COMPUTED_VALUE"""),"https://gld.legislaturacba.gob.ar/_cdd/api/Documento/descargar?guid=f9d63661-a6f7-493d-92df-03ebd548fd82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v>
      </c>
      <c r="R154" s="113" t="str">
        <f ca="1">IFERROR(__xludf.DUMMYFUNCTION("""COMPUTED_VALUE"""),"https://www.youtube.com/watch?v=bRfYXfFoIpA")</f>
        <v>https://www.youtube.com/watch?v=bRfYXfFoIpA</v>
      </c>
      <c r="S154" s="113" t="str">
        <f ca="1">IFERROR(__xludf.DUMMYFUNCTION("""COMPUTED_VALUE"""),"https://gld.legislaturacba.gob.ar/Publics/Actas.aspx?id=nzbIpSSH61Y=;https://gld.legislaturacba.gob.ar/Publics/Actas.aspx?id=9teJ6yZAUm0=")</f>
        <v>https://gld.legislaturacba.gob.ar/Publics/Actas.aspx?id=nzbIpSSH61Y=;https://gld.legislaturacba.gob.ar/Publics/Actas.aspx?id=9teJ6yZAUm0=</v>
      </c>
      <c r="T154" s="99">
        <f t="shared" ca="1" si="0"/>
        <v>0</v>
      </c>
    </row>
    <row r="155" spans="1:20">
      <c r="A155" s="20">
        <f ca="1">IFERROR(__xludf.DUMMYFUNCTION("""COMPUTED_VALUE"""),154)</f>
        <v>154</v>
      </c>
      <c r="B155" s="20">
        <f ca="1">IFERROR(__xludf.DUMMYFUNCTION("""COMPUTED_VALUE"""),2020)</f>
        <v>2020</v>
      </c>
      <c r="C155" s="20" t="str">
        <f ca="1">IFERROR(__xludf.DUMMYFUNCTION("""COMPUTED_VALUE"""),"VIRTUAL")</f>
        <v>VIRTUAL</v>
      </c>
      <c r="D155" s="96">
        <f ca="1">IFERROR(__xludf.DUMMYFUNCTION("""COMPUTED_VALUE"""),44103)</f>
        <v>44103</v>
      </c>
      <c r="E155" s="20" t="str">
        <f ca="1">IFERROR(__xludf.DUMMYFUNCTION("""COMPUTED_VALUE"""),"NO")</f>
        <v>NO</v>
      </c>
      <c r="F155" s="20" t="str">
        <f ca="1">IFERROR(__xludf.DUMMYFUNCTION("""COMPUTED_VALUE"""),"EDUCACIÓN, CULTURA, CIENCIA, TECNOLOGÍA E INFORMÁTICA")</f>
        <v>EDUCACIÓN, CULTURA, CIENCIA, TECNOLOGÍA E INFORMÁTICA</v>
      </c>
      <c r="G155" s="20">
        <f ca="1">IFERROR(__xludf.DUMMYFUNCTION("""COMPUTED_VALUE"""),1)</f>
        <v>1</v>
      </c>
      <c r="H155" s="20">
        <f ca="1">IFERROR(__xludf.DUMMYFUNCTION("""COMPUTED_VALUE"""),1)</f>
        <v>1</v>
      </c>
      <c r="I155" s="20">
        <f ca="1">IFERROR(__xludf.DUMMYFUNCTION("""COMPUTED_VALUE"""),1)</f>
        <v>1</v>
      </c>
      <c r="J155" s="20" t="str">
        <f ca="1">IFERROR(__xludf.DUMMYFUNCTION("""COMPUTED_VALUE"""),"NC")</f>
        <v>NC</v>
      </c>
      <c r="K155" s="20" t="str">
        <f ca="1">IFERROR(__xludf.DUMMYFUNCTION("""COMPUTED_VALUE"""),"NA")</f>
        <v>NA</v>
      </c>
      <c r="L155" s="20" t="str">
        <f ca="1">IFERROR(__xludf.DUMMYFUNCTION("""COMPUTED_VALUE"""),"NA")</f>
        <v>NA</v>
      </c>
      <c r="M155" s="20" t="str">
        <f ca="1">IFERROR(__xludf.DUMMYFUNCTION("""COMPUTED_VALUE"""),"Situación del sector docente en el marco de la Pandemia COVID-19.")</f>
        <v>Situación del sector docente en el marco de la Pandemia COVID-19.</v>
      </c>
      <c r="N155" s="20" t="str">
        <f ca="1">IFERROR(__xludf.DUMMYFUNCTION("""COMPUTED_VALUE"""),"NA")</f>
        <v>NA</v>
      </c>
      <c r="O155" s="20" t="str">
        <f ca="1">IFERROR(__xludf.DUMMYFUNCTION("""COMPUTED_VALUE"""),"SI")</f>
        <v>SI</v>
      </c>
      <c r="P155" s="20">
        <f ca="1">IFERROR(__xludf.DUMMYFUNCTION("""COMPUTED_VALUE"""),6)</f>
        <v>6</v>
      </c>
      <c r="Q155" s="113" t="str">
        <f ca="1">IFERROR(__xludf.DUMMYFUNCTION("""COMPUTED_VALUE"""),"https://gld.legislaturacba.gob.ar/_cdd/api/Documento/descargar?guid=648a44b9-f383-4b87-a69a-76984e66c8b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v>
      </c>
      <c r="R155" s="20" t="str">
        <f ca="1">IFERROR(__xludf.DUMMYFUNCTION("""COMPUTED_VALUE"""),"NA")</f>
        <v>NA</v>
      </c>
      <c r="S155" s="113" t="str">
        <f ca="1">IFERROR(__xludf.DUMMYFUNCTION("""COMPUTED_VALUE"""),"https://gld.legislaturacba.gob.ar/Publics/Actas.aspx?id=_F3IkUyE1Gg=")</f>
        <v>https://gld.legislaturacba.gob.ar/Publics/Actas.aspx?id=_F3IkUyE1Gg=</v>
      </c>
      <c r="T155" s="99">
        <f t="shared" ca="1" si="0"/>
        <v>0</v>
      </c>
    </row>
    <row r="156" spans="1:20">
      <c r="A156" s="20">
        <f ca="1">IFERROR(__xludf.DUMMYFUNCTION("""COMPUTED_VALUE"""),155)</f>
        <v>155</v>
      </c>
      <c r="B156" s="20">
        <f ca="1">IFERROR(__xludf.DUMMYFUNCTION("""COMPUTED_VALUE"""),2020)</f>
        <v>2020</v>
      </c>
      <c r="C156" s="20" t="str">
        <f ca="1">IFERROR(__xludf.DUMMYFUNCTION("""COMPUTED_VALUE"""),"VIRTUAL")</f>
        <v>VIRTUAL</v>
      </c>
      <c r="D156" s="96">
        <f ca="1">IFERROR(__xludf.DUMMYFUNCTION("""COMPUTED_VALUE"""),44105)</f>
        <v>44105</v>
      </c>
      <c r="E156" s="20" t="str">
        <f ca="1">IFERROR(__xludf.DUMMYFUNCTION("""COMPUTED_VALUE"""),"NO")</f>
        <v>NO</v>
      </c>
      <c r="F156" s="20" t="str">
        <f ca="1">IFERROR(__xludf.DUMMYFUNCTION("""COMPUTED_VALUE"""),"EQUIDAD Y LUCHA CONTRA LA VIOLENCIA DE GÉNERO")</f>
        <v>EQUIDAD Y LUCHA CONTRA LA VIOLENCIA DE GÉNERO</v>
      </c>
      <c r="G156" s="20">
        <f ca="1">IFERROR(__xludf.DUMMYFUNCTION("""COMPUTED_VALUE"""),1)</f>
        <v>1</v>
      </c>
      <c r="H156" s="20">
        <f ca="1">IFERROR(__xludf.DUMMYFUNCTION("""COMPUTED_VALUE"""),3)</f>
        <v>3</v>
      </c>
      <c r="I156" s="20">
        <f ca="1">IFERROR(__xludf.DUMMYFUNCTION("""COMPUTED_VALUE"""),1)</f>
        <v>1</v>
      </c>
      <c r="J156" s="20" t="str">
        <f ca="1">IFERROR(__xludf.DUMMYFUNCTION("""COMPUTED_VALUE"""),"NC")</f>
        <v>NC</v>
      </c>
      <c r="K156" s="20" t="str">
        <f ca="1">IFERROR(__xludf.DUMMYFUNCTION("""COMPUTED_VALUE"""),"NA")</f>
        <v>NA</v>
      </c>
      <c r="L156" s="20" t="str">
        <f ca="1">IFERROR(__xludf.DUMMYFUNCTION("""COMPUTED_VALUE"""),"NA")</f>
        <v>NA</v>
      </c>
      <c r="M156" s="20" t="str">
        <f ca="1">IFERROR(__xludf.DUMMYFUNCTION("""COMPUTED_VALUE"""),"La violencia de género en los medios de comunicación.")</f>
        <v>La violencia de género en los medios de comunicación.</v>
      </c>
      <c r="N156" s="20" t="str">
        <f ca="1">IFERROR(__xludf.DUMMYFUNCTION("""COMPUTED_VALUE"""),"NA")</f>
        <v>NA</v>
      </c>
      <c r="O156" s="20" t="str">
        <f ca="1">IFERROR(__xludf.DUMMYFUNCTION("""COMPUTED_VALUE"""),"SI")</f>
        <v>SI</v>
      </c>
      <c r="P156" s="20">
        <f ca="1">IFERROR(__xludf.DUMMYFUNCTION("""COMPUTED_VALUE"""),1)</f>
        <v>1</v>
      </c>
      <c r="Q156" s="113" t="str">
        <f ca="1">IFERROR(__xludf.DUMMYFUNCTION("""COMPUTED_VALUE"""),"https://gld.legislaturacba.gob.ar/_cdd/api/Documento/descargar?guid=51e0f10b-a84d-43e5-b029-7fda99511822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v>
      </c>
      <c r="R156" s="20" t="str">
        <f ca="1">IFERROR(__xludf.DUMMYFUNCTION("""COMPUTED_VALUE"""),"NA")</f>
        <v>NA</v>
      </c>
      <c r="S156" s="113" t="str">
        <f ca="1">IFERROR(__xludf.DUMMYFUNCTION("""COMPUTED_VALUE"""),"https://gld.legislaturacba.gob.ar/Publics/Actas.aspx?id=O5np-dBc70s=")</f>
        <v>https://gld.legislaturacba.gob.ar/Publics/Actas.aspx?id=O5np-dBc70s=</v>
      </c>
      <c r="T156" s="99">
        <f t="shared" ca="1" si="0"/>
        <v>0</v>
      </c>
    </row>
    <row r="157" spans="1:20">
      <c r="A157" s="20">
        <f ca="1">IFERROR(__xludf.DUMMYFUNCTION("""COMPUTED_VALUE"""),156)</f>
        <v>156</v>
      </c>
      <c r="B157" s="20">
        <f ca="1">IFERROR(__xludf.DUMMYFUNCTION("""COMPUTED_VALUE"""),2020)</f>
        <v>2020</v>
      </c>
      <c r="C157" s="20" t="str">
        <f ca="1">IFERROR(__xludf.DUMMYFUNCTION("""COMPUTED_VALUE"""),"VIRTUAL")</f>
        <v>VIRTUAL</v>
      </c>
      <c r="D157" s="96">
        <f ca="1">IFERROR(__xludf.DUMMYFUNCTION("""COMPUTED_VALUE"""),44110)</f>
        <v>44110</v>
      </c>
      <c r="E157" s="20" t="str">
        <f ca="1">IFERROR(__xludf.DUMMYFUNCTION("""COMPUTED_VALUE"""),"NO")</f>
        <v>NO</v>
      </c>
      <c r="F157" s="20" t="str">
        <f ca="1">IFERROR(__xludf.DUMMYFUNCTION("""COMPUTED_VALUE"""),"LEGISLACIÓN DEL TRABAJO, PREVISIÓN Y SEGURIDAD SOCIAL")</f>
        <v>LEGISLACIÓN DEL TRABAJO, PREVISIÓN Y SEGURIDAD SOCIAL</v>
      </c>
      <c r="G157" s="20">
        <f ca="1">IFERROR(__xludf.DUMMYFUNCTION("""COMPUTED_VALUE"""),1)</f>
        <v>1</v>
      </c>
      <c r="H157" s="20">
        <f ca="1">IFERROR(__xludf.DUMMYFUNCTION("""COMPUTED_VALUE"""),1)</f>
        <v>1</v>
      </c>
      <c r="I157" s="20">
        <f ca="1">IFERROR(__xludf.DUMMYFUNCTION("""COMPUTED_VALUE"""),1)</f>
        <v>1</v>
      </c>
      <c r="J157" s="20" t="str">
        <f ca="1">IFERROR(__xludf.DUMMYFUNCTION("""COMPUTED_VALUE"""),"NC")</f>
        <v>NC</v>
      </c>
      <c r="K157" s="20" t="str">
        <f ca="1">IFERROR(__xludf.DUMMYFUNCTION("""COMPUTED_VALUE"""),"NA")</f>
        <v>NA</v>
      </c>
      <c r="L157" s="20" t="str">
        <f ca="1">IFERROR(__xludf.DUMMYFUNCTION("""COMPUTED_VALUE"""),"NA")</f>
        <v>NA</v>
      </c>
      <c r="M157" s="20" t="str">
        <f ca="1">IFERROR(__xludf.DUMMYFUNCTION("""COMPUTED_VALUE"""),"Situación del sector de trabajadores músicos en el marco de la Pandemia COVID-19.")</f>
        <v>Situación del sector de trabajadores músicos en el marco de la Pandemia COVID-19.</v>
      </c>
      <c r="N157" s="20" t="str">
        <f ca="1">IFERROR(__xludf.DUMMYFUNCTION("""COMPUTED_VALUE"""),"NA")</f>
        <v>NA</v>
      </c>
      <c r="O157" s="20" t="str">
        <f ca="1">IFERROR(__xludf.DUMMYFUNCTION("""COMPUTED_VALUE"""),"SI")</f>
        <v>SI</v>
      </c>
      <c r="P157" s="20">
        <f ca="1">IFERROR(__xludf.DUMMYFUNCTION("""COMPUTED_VALUE"""),1)</f>
        <v>1</v>
      </c>
      <c r="Q157" s="113" t="str">
        <f ca="1">IFERROR(__xludf.DUMMYFUNCTION("""COMPUTED_VALUE"""),"https://gld.legislaturacba.gob.ar/_cdd/api/Documento/descargar?guid=5cd586d3-a1a1-49a2-801b-fa150d58b515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v>
      </c>
      <c r="R157" s="113" t="str">
        <f ca="1">IFERROR(__xludf.DUMMYFUNCTION("""COMPUTED_VALUE"""),"https://www.youtube.com/watch?v=yzKYesrRo6g")</f>
        <v>https://www.youtube.com/watch?v=yzKYesrRo6g</v>
      </c>
      <c r="S157" s="113" t="str">
        <f ca="1">IFERROR(__xludf.DUMMYFUNCTION("""COMPUTED_VALUE"""),"https://gld.legislaturacba.gob.ar/Publics/Actas.aspx?id=DZTzji7wweg=")</f>
        <v>https://gld.legislaturacba.gob.ar/Publics/Actas.aspx?id=DZTzji7wweg=</v>
      </c>
      <c r="T157" s="99">
        <f t="shared" ca="1" si="0"/>
        <v>0</v>
      </c>
    </row>
    <row r="158" spans="1:20">
      <c r="A158" s="20">
        <f ca="1">IFERROR(__xludf.DUMMYFUNCTION("""COMPUTED_VALUE"""),157)</f>
        <v>157</v>
      </c>
      <c r="B158" s="20">
        <f ca="1">IFERROR(__xludf.DUMMYFUNCTION("""COMPUTED_VALUE"""),2020)</f>
        <v>2020</v>
      </c>
      <c r="C158" s="20" t="str">
        <f ca="1">IFERROR(__xludf.DUMMYFUNCTION("""COMPUTED_VALUE"""),"VIRTUAL")</f>
        <v>VIRTUAL</v>
      </c>
      <c r="D158" s="96">
        <f ca="1">IFERROR(__xludf.DUMMYFUNCTION("""COMPUTED_VALUE"""),44110)</f>
        <v>44110</v>
      </c>
      <c r="E158" s="20" t="str">
        <f ca="1">IFERROR(__xludf.DUMMYFUNCTION("""COMPUTED_VALUE"""),"NO")</f>
        <v>NO</v>
      </c>
      <c r="F158" s="20" t="str">
        <f ca="1">IFERROR(__xludf.DUMMYFUNCTION("""COMPUTED_VALUE"""),"PREVENCIÓN, TRATAMIENTO Y CONTROL DE LAS ADICCIONES")</f>
        <v>PREVENCIÓN, TRATAMIENTO Y CONTROL DE LAS ADICCIONES</v>
      </c>
      <c r="G158" s="20">
        <f ca="1">IFERROR(__xludf.DUMMYFUNCTION("""COMPUTED_VALUE"""),1)</f>
        <v>1</v>
      </c>
      <c r="H158" s="20">
        <f ca="1">IFERROR(__xludf.DUMMYFUNCTION("""COMPUTED_VALUE"""),1)</f>
        <v>1</v>
      </c>
      <c r="I158" s="20">
        <f ca="1">IFERROR(__xludf.DUMMYFUNCTION("""COMPUTED_VALUE"""),1)</f>
        <v>1</v>
      </c>
      <c r="J158" s="20" t="str">
        <f ca="1">IFERROR(__xludf.DUMMYFUNCTION("""COMPUTED_VALUE"""),"NC")</f>
        <v>NC</v>
      </c>
      <c r="K158" s="20" t="str">
        <f ca="1">IFERROR(__xludf.DUMMYFUNCTION("""COMPUTED_VALUE"""),"NA")</f>
        <v>NA</v>
      </c>
      <c r="L158" s="20" t="str">
        <f ca="1">IFERROR(__xludf.DUMMYFUNCTION("""COMPUTED_VALUE"""),"NA")</f>
        <v>NA</v>
      </c>
      <c r="M158" s="20" t="str">
        <f ca="1">IFERROR(__xludf.DUMMYFUNCTION("""COMPUTED_VALUE"""),"Resultados de la cuarta edición de la Semana Provincial de Prevención del Consumo de Drogas, organizada por la Secretaría de Prevención y Asistencia de las Adicciones del Ministerio de Salud de la Provincia de Córdoba. Actividades de la Red Asistencial de"&amp;" Adicciones de Córdoba (RAAC) en el marco de la Pandemia COVID-19. Embarazo y consumo de sustancias adictivas.")</f>
        <v>Resultados de la cuarta edición de la Semana Provincial de Prevención del Consumo de Drogas, organizada por la Secretaría de Prevención y Asistencia de las Adicciones del Ministerio de Salud de la Provincia de Córdoba. Actividades de la Red Asistencial de Adicciones de Córdoba (RAAC) en el marco de la Pandemia COVID-19. Embarazo y consumo de sustancias adictivas.</v>
      </c>
      <c r="N158" s="20" t="str">
        <f ca="1">IFERROR(__xludf.DUMMYFUNCTION("""COMPUTED_VALUE"""),"NA")</f>
        <v>NA</v>
      </c>
      <c r="O158" s="20" t="str">
        <f ca="1">IFERROR(__xludf.DUMMYFUNCTION("""COMPUTED_VALUE"""),"SI")</f>
        <v>SI</v>
      </c>
      <c r="P158" s="20">
        <f ca="1">IFERROR(__xludf.DUMMYFUNCTION("""COMPUTED_VALUE"""),3)</f>
        <v>3</v>
      </c>
      <c r="Q158" s="113" t="str">
        <f ca="1">IFERROR(__xludf.DUMMYFUNCTION("""COMPUTED_VALUE"""),"https://gld.legislaturacba.gob.ar/_cdd/api/Documento/descargar?guid=d1695f92-a9a3-4a92-9dab-652f371eaf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v>
      </c>
      <c r="R158" s="113" t="str">
        <f ca="1">IFERROR(__xludf.DUMMYFUNCTION("""COMPUTED_VALUE"""),"https://www.youtube.com/watch?v=_bZ4GO_otlM")</f>
        <v>https://www.youtube.com/watch?v=_bZ4GO_otlM</v>
      </c>
      <c r="S158" s="113" t="str">
        <f ca="1">IFERROR(__xludf.DUMMYFUNCTION("""COMPUTED_VALUE"""),"https://gld.legislaturacba.gob.ar/Publics/Actas.aspx?id=_3aZRSAlN0Y=")</f>
        <v>https://gld.legislaturacba.gob.ar/Publics/Actas.aspx?id=_3aZRSAlN0Y=</v>
      </c>
      <c r="T158" s="99">
        <f t="shared" ca="1" si="0"/>
        <v>0</v>
      </c>
    </row>
    <row r="159" spans="1:20">
      <c r="A159" s="20">
        <f ca="1">IFERROR(__xludf.DUMMYFUNCTION("""COMPUTED_VALUE"""),158)</f>
        <v>158</v>
      </c>
      <c r="B159" s="20">
        <f ca="1">IFERROR(__xludf.DUMMYFUNCTION("""COMPUTED_VALUE"""),2020)</f>
        <v>2020</v>
      </c>
      <c r="C159" s="20" t="str">
        <f ca="1">IFERROR(__xludf.DUMMYFUNCTION("""COMPUTED_VALUE"""),"VIRTUAL")</f>
        <v>VIRTUAL</v>
      </c>
      <c r="D159" s="96">
        <f ca="1">IFERROR(__xludf.DUMMYFUNCTION("""COMPUTED_VALUE"""),44110)</f>
        <v>44110</v>
      </c>
      <c r="E159" s="20" t="str">
        <f ca="1">IFERROR(__xludf.DUMMYFUNCTION("""COMPUTED_VALUE"""),"SI")</f>
        <v>SI</v>
      </c>
      <c r="F159" s="20" t="str">
        <f ca="1">IFERROR(__xludf.DUMMYFUNCTION("""COMPUTED_VALUE"""),"ASUNTOS INSTITUCIONALES, MUNICIPALES Y COMUNALES;LEGISLACIÓN GENERAL")</f>
        <v>ASUNTOS INSTITUCIONALES, MUNICIPALES Y COMUNALES;LEGISLACIÓN GENERAL</v>
      </c>
      <c r="G159" s="20">
        <f ca="1">IFERROR(__xludf.DUMMYFUNCTION("""COMPUTED_VALUE"""),2)</f>
        <v>2</v>
      </c>
      <c r="H159" s="20">
        <f ca="1">IFERROR(__xludf.DUMMYFUNCTION("""COMPUTED_VALUE"""),1)</f>
        <v>1</v>
      </c>
      <c r="I159" s="20">
        <f ca="1">IFERROR(__xludf.DUMMYFUNCTION("""COMPUTED_VALUE"""),1)</f>
        <v>1</v>
      </c>
      <c r="J159" s="20" t="str">
        <f ca="1">IFERROR(__xludf.DUMMYFUNCTION("""COMPUTED_VALUE"""),"Ley")</f>
        <v>Ley</v>
      </c>
      <c r="K159" s="20">
        <f ca="1">IFERROR(__xludf.DUMMYFUNCTION("""COMPUTED_VALUE"""),31281)</f>
        <v>31281</v>
      </c>
      <c r="L159" s="20" t="str">
        <f ca="1">IFERROR(__xludf.DUMMYFUNCTION("""COMPUTED_VALUE"""),"Poder Ejecutivo Provincial")</f>
        <v>Poder Ejecutivo Provincial</v>
      </c>
      <c r="M159" s="20" t="str">
        <f ca="1">IFERROR(__xludf.DUMMYFUNCTION("""COMPUTED_VALUE"""),"Proyecto de Ley 31281/L/20, remitido por el Poder Ejecutivo modificando el radio municipal de la localidad de Ausonia, Departamento General. San Martín.")</f>
        <v>Proyecto de Ley 31281/L/20, remitido por el Poder Ejecutivo modificando el radio municipal de la localidad de Ausonia, Departamento General. San Martín.</v>
      </c>
      <c r="N159" s="20" t="str">
        <f ca="1">IFERROR(__xludf.DUMMYFUNCTION("""COMPUTED_VALUE"""),"SI")</f>
        <v>SI</v>
      </c>
      <c r="O159" s="20" t="str">
        <f ca="1">IFERROR(__xludf.DUMMYFUNCTION("""COMPUTED_VALUE"""),"NO")</f>
        <v>NO</v>
      </c>
      <c r="P159" s="20">
        <f ca="1">IFERROR(__xludf.DUMMYFUNCTION("""COMPUTED_VALUE"""),0)</f>
        <v>0</v>
      </c>
      <c r="Q159" s="113" t="str">
        <f ca="1">IFERROR(__xludf.DUMMYFUNCTION("""COMPUTED_VALUE"""),"https://gld.legislaturacba.gob.ar/_cdd/api/Documento/descargar?guid=697478b7-3090-4421-8139-f24d3ac406b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v>
      </c>
      <c r="R159" s="20" t="str">
        <f ca="1">IFERROR(__xludf.DUMMYFUNCTION("""COMPUTED_VALUE"""),"NA")</f>
        <v>NA</v>
      </c>
      <c r="S159" s="113" t="str">
        <f ca="1">IFERROR(__xludf.DUMMYFUNCTION("""COMPUTED_VALUE"""),"https://gld.legislaturacba.gob.ar/Publics/Actas.aspx?id=LTzjzvofV0s=;https://gld.legislaturacba.gob.ar/Publics/Actas.aspx?id=5Xe9DHmYIgk=")</f>
        <v>https://gld.legislaturacba.gob.ar/Publics/Actas.aspx?id=LTzjzvofV0s=;https://gld.legislaturacba.gob.ar/Publics/Actas.aspx?id=5Xe9DHmYIgk=</v>
      </c>
      <c r="T159" s="99">
        <f t="shared" ca="1" si="0"/>
        <v>0</v>
      </c>
    </row>
    <row r="160" spans="1:20">
      <c r="A160" s="20">
        <f ca="1">IFERROR(__xludf.DUMMYFUNCTION("""COMPUTED_VALUE"""),159)</f>
        <v>159</v>
      </c>
      <c r="B160" s="20">
        <f ca="1">IFERROR(__xludf.DUMMYFUNCTION("""COMPUTED_VALUE"""),2020)</f>
        <v>2020</v>
      </c>
      <c r="C160" s="20" t="str">
        <f ca="1">IFERROR(__xludf.DUMMYFUNCTION("""COMPUTED_VALUE"""),"VIRTUAL")</f>
        <v>VIRTUAL</v>
      </c>
      <c r="D160" s="96">
        <f ca="1">IFERROR(__xludf.DUMMYFUNCTION("""COMPUTED_VALUE"""),44112)</f>
        <v>44112</v>
      </c>
      <c r="E160" s="20" t="str">
        <f ca="1">IFERROR(__xludf.DUMMYFUNCTION("""COMPUTED_VALUE"""),"NO")</f>
        <v>NO</v>
      </c>
      <c r="F160" s="20" t="str">
        <f ca="1">IFERROR(__xludf.DUMMYFUNCTION("""COMPUTED_VALUE"""),"SALUD HUMANA")</f>
        <v>SALUD HUMANA</v>
      </c>
      <c r="G160" s="20">
        <f ca="1">IFERROR(__xludf.DUMMYFUNCTION("""COMPUTED_VALUE"""),1)</f>
        <v>1</v>
      </c>
      <c r="H160" s="20">
        <f ca="1">IFERROR(__xludf.DUMMYFUNCTION("""COMPUTED_VALUE"""),1)</f>
        <v>1</v>
      </c>
      <c r="I160" s="20">
        <f ca="1">IFERROR(__xludf.DUMMYFUNCTION("""COMPUTED_VALUE"""),1)</f>
        <v>1</v>
      </c>
      <c r="J160" s="20" t="str">
        <f ca="1">IFERROR(__xludf.DUMMYFUNCTION("""COMPUTED_VALUE"""),"NC")</f>
        <v>NC</v>
      </c>
      <c r="K160" s="20" t="str">
        <f ca="1">IFERROR(__xludf.DUMMYFUNCTION("""COMPUTED_VALUE"""),"NA")</f>
        <v>NA</v>
      </c>
      <c r="L160" s="20" t="str">
        <f ca="1">IFERROR(__xludf.DUMMYFUNCTION("""COMPUTED_VALUE"""),"NA")</f>
        <v>NA</v>
      </c>
      <c r="M160" s="20" t="str">
        <f ca="1">IFERROR(__xludf.DUMMYFUNCTION("""COMPUTED_VALUE"""),"Adecuación a la Ley de Salud Mental y posibles modificaciones frente a la contingencia de la Pandemia COVID-19.")</f>
        <v>Adecuación a la Ley de Salud Mental y posibles modificaciones frente a la contingencia de la Pandemia COVID-19.</v>
      </c>
      <c r="N160" s="20" t="str">
        <f ca="1">IFERROR(__xludf.DUMMYFUNCTION("""COMPUTED_VALUE"""),"NA")</f>
        <v>NA</v>
      </c>
      <c r="O160" s="20" t="str">
        <f ca="1">IFERROR(__xludf.DUMMYFUNCTION("""COMPUTED_VALUE"""),"SI")</f>
        <v>SI</v>
      </c>
      <c r="P160" s="20">
        <f ca="1">IFERROR(__xludf.DUMMYFUNCTION("""COMPUTED_VALUE"""),4)</f>
        <v>4</v>
      </c>
      <c r="Q160" s="113" t="str">
        <f ca="1">IFERROR(__xludf.DUMMYFUNCTION("""COMPUTED_VALUE"""),"https://gld.legislaturacba.gob.ar/_cdd/api/Documento/descargar?guid=c78c5ed8-61b9-49ca-9b47-5bbc49fb3e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v>
      </c>
      <c r="R160" s="113" t="str">
        <f ca="1">IFERROR(__xludf.DUMMYFUNCTION("""COMPUTED_VALUE"""),"https://www.youtube.com/watch?v=TJ5qA2OA-sk")</f>
        <v>https://www.youtube.com/watch?v=TJ5qA2OA-sk</v>
      </c>
      <c r="S160" s="113" t="str">
        <f ca="1">IFERROR(__xludf.DUMMYFUNCTION("""COMPUTED_VALUE"""),"https://gld.legislaturacba.gob.ar/Publics/Actas.aspx?id=zSmPNu3mlTU=")</f>
        <v>https://gld.legislaturacba.gob.ar/Publics/Actas.aspx?id=zSmPNu3mlTU=</v>
      </c>
      <c r="T160" s="99">
        <f t="shared" ca="1" si="0"/>
        <v>0</v>
      </c>
    </row>
    <row r="161" spans="1:20">
      <c r="A161" s="20">
        <f ca="1">IFERROR(__xludf.DUMMYFUNCTION("""COMPUTED_VALUE"""),160)</f>
        <v>160</v>
      </c>
      <c r="B161" s="20">
        <f ca="1">IFERROR(__xludf.DUMMYFUNCTION("""COMPUTED_VALUE"""),2020)</f>
        <v>2020</v>
      </c>
      <c r="C161" s="20" t="str">
        <f ca="1">IFERROR(__xludf.DUMMYFUNCTION("""COMPUTED_VALUE"""),"VIRTUAL")</f>
        <v>VIRTUAL</v>
      </c>
      <c r="D161" s="96">
        <f ca="1">IFERROR(__xludf.DUMMYFUNCTION("""COMPUTED_VALUE"""),44112)</f>
        <v>44112</v>
      </c>
      <c r="E161" s="20" t="str">
        <f ca="1">IFERROR(__xludf.DUMMYFUNCTION("""COMPUTED_VALUE"""),"SI")</f>
        <v>SI</v>
      </c>
      <c r="F161" s="20" t="str">
        <f ca="1">IFERROR(__xludf.DUMMYFUNCTION("""COMPUTED_VALUE"""),"LEGISLACIÓN DEL TRABAJO, PREVISIÓN Y SEGURIDAD SOCIAL;ASUNTOS CONSTITUCIONALES, JUSTICIA Y ACUERDOS")</f>
        <v>LEGISLACIÓN DEL TRABAJO, PREVISIÓN Y SEGURIDAD SOCIAL;ASUNTOS CONSTITUCIONALES, JUSTICIA Y ACUERDOS</v>
      </c>
      <c r="G161" s="20">
        <f ca="1">IFERROR(__xludf.DUMMYFUNCTION("""COMPUTED_VALUE"""),2)</f>
        <v>2</v>
      </c>
      <c r="H161" s="20">
        <f ca="1">IFERROR(__xludf.DUMMYFUNCTION("""COMPUTED_VALUE"""),1)</f>
        <v>1</v>
      </c>
      <c r="I161" s="20">
        <f ca="1">IFERROR(__xludf.DUMMYFUNCTION("""COMPUTED_VALUE"""),1)</f>
        <v>1</v>
      </c>
      <c r="J161" s="20" t="str">
        <f ca="1">IFERROR(__xludf.DUMMYFUNCTION("""COMPUTED_VALUE"""),"Ley")</f>
        <v>Ley</v>
      </c>
      <c r="K161" s="20">
        <f ca="1">IFERROR(__xludf.DUMMYFUNCTION("""COMPUTED_VALUE"""),31311)</f>
        <v>31311</v>
      </c>
      <c r="L161" s="20" t="str">
        <f ca="1">IFERROR(__xludf.DUMMYFUNCTION("""COMPUTED_VALUE"""),"Poder Legislativo Provincial")</f>
        <v>Poder Legislativo Provincial</v>
      </c>
      <c r="M161" s="20" t="str">
        <f ca="1">IFERROR(__xludf.DUMMYFUNCTION("""COMPUTED_VALUE"""),"Proyecto de Ley 31311/L/20, iniciado por los Legisladores Arduh, Cid y González, suspendiendo los procesos electorales para renovación de autoridades en Colegios y Consejos Profesionales y en Cajas de Previsión Social de Profesionales creados por la provi"&amp;"ncia hasta el 30 de junio de 2021, en el marco de la emergencia sanitaria.")</f>
        <v>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v>
      </c>
      <c r="N161" s="20" t="str">
        <f ca="1">IFERROR(__xludf.DUMMYFUNCTION("""COMPUTED_VALUE"""),"NO")</f>
        <v>NO</v>
      </c>
      <c r="O161" s="20" t="str">
        <f ca="1">IFERROR(__xludf.DUMMYFUNCTION("""COMPUTED_VALUE"""),"SI")</f>
        <v>SI</v>
      </c>
      <c r="P161" s="20">
        <f ca="1">IFERROR(__xludf.DUMMYFUNCTION("""COMPUTED_VALUE"""),9)</f>
        <v>9</v>
      </c>
      <c r="Q161" s="113" t="str">
        <f ca="1">IFERROR(__xludf.DUMMYFUNCTION("""COMPUTED_VALUE"""),"https://gld.legislaturacba.gob.ar/_cdd/api/Documento/descargar?guid=53dda3ff-110c-4bbc-ab15-6abeb7efb156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v>
      </c>
      <c r="R161" s="20" t="str">
        <f ca="1">IFERROR(__xludf.DUMMYFUNCTION("""COMPUTED_VALUE"""),"NA")</f>
        <v>NA</v>
      </c>
      <c r="S161" s="113" t="str">
        <f ca="1">IFERROR(__xludf.DUMMYFUNCTION("""COMPUTED_VALUE"""),"https://gld.legislaturacba.gob.ar/Publics/Actas.aspx?id=0gzjcIg7j2k=;https://gld.legislaturacba.gob.ar/Publics/Actas.aspx?id=VC8x9IdpcvU=")</f>
        <v>https://gld.legislaturacba.gob.ar/Publics/Actas.aspx?id=0gzjcIg7j2k=;https://gld.legislaturacba.gob.ar/Publics/Actas.aspx?id=VC8x9IdpcvU=</v>
      </c>
      <c r="T161" s="99">
        <f t="shared" ca="1" si="0"/>
        <v>0</v>
      </c>
    </row>
    <row r="162" spans="1:20">
      <c r="A162" s="20">
        <f ca="1">IFERROR(__xludf.DUMMYFUNCTION("""COMPUTED_VALUE"""),161)</f>
        <v>161</v>
      </c>
      <c r="B162" s="20">
        <f ca="1">IFERROR(__xludf.DUMMYFUNCTION("""COMPUTED_VALUE"""),2020)</f>
        <v>2020</v>
      </c>
      <c r="C162" s="20" t="str">
        <f ca="1">IFERROR(__xludf.DUMMYFUNCTION("""COMPUTED_VALUE"""),"VIRTUAL")</f>
        <v>VIRTUAL</v>
      </c>
      <c r="D162" s="96">
        <f ca="1">IFERROR(__xludf.DUMMYFUNCTION("""COMPUTED_VALUE"""),44112)</f>
        <v>44112</v>
      </c>
      <c r="E162" s="20" t="str">
        <f ca="1">IFERROR(__xludf.DUMMYFUNCTION("""COMPUTED_VALUE"""),"NO")</f>
        <v>NO</v>
      </c>
      <c r="F162" s="20" t="str">
        <f ca="1">IFERROR(__xludf.DUMMYFUNCTION("""COMPUTED_VALUE"""),"RELACIONES INTERNACIONALES, MERCOSUR Y COMERCIO EXTERIOR")</f>
        <v>RELACIONES INTERNACIONALES, MERCOSUR Y COMERCIO EXTERIOR</v>
      </c>
      <c r="G162" s="20">
        <f ca="1">IFERROR(__xludf.DUMMYFUNCTION("""COMPUTED_VALUE"""),1)</f>
        <v>1</v>
      </c>
      <c r="H162" s="20">
        <f ca="1">IFERROR(__xludf.DUMMYFUNCTION("""COMPUTED_VALUE"""),1)</f>
        <v>1</v>
      </c>
      <c r="I162" s="20">
        <f ca="1">IFERROR(__xludf.DUMMYFUNCTION("""COMPUTED_VALUE"""),1)</f>
        <v>1</v>
      </c>
      <c r="J162" s="20" t="str">
        <f ca="1">IFERROR(__xludf.DUMMYFUNCTION("""COMPUTED_VALUE"""),"NC")</f>
        <v>NC</v>
      </c>
      <c r="K162" s="20" t="str">
        <f ca="1">IFERROR(__xludf.DUMMYFUNCTION("""COMPUTED_VALUE"""),"NA")</f>
        <v>NA</v>
      </c>
      <c r="L162" s="20" t="str">
        <f ca="1">IFERROR(__xludf.DUMMYFUNCTION("""COMPUTED_VALUE"""),"NA")</f>
        <v>NA</v>
      </c>
      <c r="M162" s="20" t="str">
        <f ca="1">IFERROR(__xludf.DUMMYFUNCTION("""COMPUTED_VALUE"""),"Presentación del Cuerpo Consular y oportunidades comerciales en la India moderna.")</f>
        <v>Presentación del Cuerpo Consular y oportunidades comerciales en la India moderna.</v>
      </c>
      <c r="N162" s="20" t="str">
        <f ca="1">IFERROR(__xludf.DUMMYFUNCTION("""COMPUTED_VALUE"""),"NA")</f>
        <v>NA</v>
      </c>
      <c r="O162" s="20" t="str">
        <f ca="1">IFERROR(__xludf.DUMMYFUNCTION("""COMPUTED_VALUE"""),"SI")</f>
        <v>SI</v>
      </c>
      <c r="P162" s="20">
        <f ca="1">IFERROR(__xludf.DUMMYFUNCTION("""COMPUTED_VALUE"""),1)</f>
        <v>1</v>
      </c>
      <c r="Q162" s="113" t="str">
        <f ca="1">IFERROR(__xludf.DUMMYFUNCTION("""COMPUTED_VALUE"""),"https://gld.legislaturacba.gob.ar/_cdd/api/Documento/descargar?guid=7b933eeb-64e2-4198-bd66-d9770070764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v>
      </c>
      <c r="R162" s="20" t="str">
        <f ca="1">IFERROR(__xludf.DUMMYFUNCTION("""COMPUTED_VALUE"""),"NA")</f>
        <v>NA</v>
      </c>
      <c r="S162" s="113" t="str">
        <f ca="1">IFERROR(__xludf.DUMMYFUNCTION("""COMPUTED_VALUE"""),"https://gld.legislaturacba.gob.ar/Publics/Actas.aspx?id=3S6u7sUaPwE=")</f>
        <v>https://gld.legislaturacba.gob.ar/Publics/Actas.aspx?id=3S6u7sUaPwE=</v>
      </c>
      <c r="T162" s="99">
        <f t="shared" ca="1" si="0"/>
        <v>0</v>
      </c>
    </row>
    <row r="163" spans="1:20">
      <c r="A163" s="20">
        <f ca="1">IFERROR(__xludf.DUMMYFUNCTION("""COMPUTED_VALUE"""),162)</f>
        <v>162</v>
      </c>
      <c r="B163" s="20">
        <f ca="1">IFERROR(__xludf.DUMMYFUNCTION("""COMPUTED_VALUE"""),2020)</f>
        <v>2020</v>
      </c>
      <c r="C163" s="20" t="str">
        <f ca="1">IFERROR(__xludf.DUMMYFUNCTION("""COMPUTED_VALUE"""),"VIRTUAL")</f>
        <v>VIRTUAL</v>
      </c>
      <c r="D163" s="96">
        <f ca="1">IFERROR(__xludf.DUMMYFUNCTION("""COMPUTED_VALUE"""),44117)</f>
        <v>44117</v>
      </c>
      <c r="E163" s="20" t="str">
        <f ca="1">IFERROR(__xludf.DUMMYFUNCTION("""COMPUTED_VALUE"""),"NO")</f>
        <v>NO</v>
      </c>
      <c r="F163" s="20" t="str">
        <f ca="1">IFERROR(__xludf.DUMMYFUNCTION("""COMPUTED_VALUE"""),"SALUD HUMANA")</f>
        <v>SALUD HUMANA</v>
      </c>
      <c r="G163" s="20">
        <f ca="1">IFERROR(__xludf.DUMMYFUNCTION("""COMPUTED_VALUE"""),1)</f>
        <v>1</v>
      </c>
      <c r="H163" s="20">
        <f ca="1">IFERROR(__xludf.DUMMYFUNCTION("""COMPUTED_VALUE"""),1)</f>
        <v>1</v>
      </c>
      <c r="I163" s="20">
        <f ca="1">IFERROR(__xludf.DUMMYFUNCTION("""COMPUTED_VALUE"""),1)</f>
        <v>1</v>
      </c>
      <c r="J163" s="20" t="str">
        <f ca="1">IFERROR(__xludf.DUMMYFUNCTION("""COMPUTED_VALUE"""),"NC")</f>
        <v>NC</v>
      </c>
      <c r="K163" s="20" t="str">
        <f ca="1">IFERROR(__xludf.DUMMYFUNCTION("""COMPUTED_VALUE"""),"NA")</f>
        <v>NA</v>
      </c>
      <c r="L163" s="20" t="str">
        <f ca="1">IFERROR(__xludf.DUMMYFUNCTION("""COMPUTED_VALUE"""),"NA")</f>
        <v>NA</v>
      </c>
      <c r="M163" s="20" t="str">
        <f ca="1">IFERROR(__xludf.DUMMYFUNCTION("""COMPUTED_VALUE"""),"Situación epidemiológica de la provincia en el marco de la Pandemia COVID-19.")</f>
        <v>Situación epidemiológica de la provincia en el marco de la Pandemia COVID-19.</v>
      </c>
      <c r="N163" s="20" t="str">
        <f ca="1">IFERROR(__xludf.DUMMYFUNCTION("""COMPUTED_VALUE"""),"NA")</f>
        <v>NA</v>
      </c>
      <c r="O163" s="20" t="str">
        <f ca="1">IFERROR(__xludf.DUMMYFUNCTION("""COMPUTED_VALUE"""),"SI")</f>
        <v>SI</v>
      </c>
      <c r="P163" s="20">
        <f ca="1">IFERROR(__xludf.DUMMYFUNCTION("""COMPUTED_VALUE"""),2)</f>
        <v>2</v>
      </c>
      <c r="Q163" s="113" t="str">
        <f ca="1">IFERROR(__xludf.DUMMYFUNCTION("""COMPUTED_VALUE"""),"https://gld.legislaturacba.gob.ar/_cdd/api/Documento/descargar?guid=4b6acd4a-88bc-4397-9b46-ac9d63401685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v>
      </c>
      <c r="R163" s="20" t="str">
        <f ca="1">IFERROR(__xludf.DUMMYFUNCTION("""COMPUTED_VALUE"""),"NA")</f>
        <v>NA</v>
      </c>
      <c r="S163" s="113" t="str">
        <f ca="1">IFERROR(__xludf.DUMMYFUNCTION("""COMPUTED_VALUE"""),"https://gld.legislaturacba.gob.ar/Publics/Actas.aspx?id=BjgopClBJPg=")</f>
        <v>https://gld.legislaturacba.gob.ar/Publics/Actas.aspx?id=BjgopClBJPg=</v>
      </c>
      <c r="T163" s="99">
        <f t="shared" ca="1" si="0"/>
        <v>0</v>
      </c>
    </row>
    <row r="164" spans="1:20">
      <c r="A164" s="20">
        <f ca="1">IFERROR(__xludf.DUMMYFUNCTION("""COMPUTED_VALUE"""),163)</f>
        <v>163</v>
      </c>
      <c r="B164" s="20">
        <f ca="1">IFERROR(__xludf.DUMMYFUNCTION("""COMPUTED_VALUE"""),2020)</f>
        <v>2020</v>
      </c>
      <c r="C164" s="20" t="str">
        <f ca="1">IFERROR(__xludf.DUMMYFUNCTION("""COMPUTED_VALUE"""),"VIRTUAL")</f>
        <v>VIRTUAL</v>
      </c>
      <c r="D164" s="96">
        <f ca="1">IFERROR(__xludf.DUMMYFUNCTION("""COMPUTED_VALUE"""),44117)</f>
        <v>44117</v>
      </c>
      <c r="E164" s="20" t="str">
        <f ca="1">IFERROR(__xludf.DUMMYFUNCTION("""COMPUTED_VALUE"""),"SI")</f>
        <v>SI</v>
      </c>
      <c r="F164" s="20" t="str">
        <f ca="1">IFERROR(__xludf.DUMMYFUNCTION("""COMPUTED_VALUE"""),"LEGISLACIÓN DEL TRABAJO, PREVISIÓN Y SEGURIDAD SOCIAL;ASUNTOS CONSTITUCIONALES, JUSTICIA Y ACUERDOS")</f>
        <v>LEGISLACIÓN DEL TRABAJO, PREVISIÓN Y SEGURIDAD SOCIAL;ASUNTOS CONSTITUCIONALES, JUSTICIA Y ACUERDOS</v>
      </c>
      <c r="G164" s="20">
        <f ca="1">IFERROR(__xludf.DUMMYFUNCTION("""COMPUTED_VALUE"""),2)</f>
        <v>2</v>
      </c>
      <c r="H164" s="20">
        <f ca="1">IFERROR(__xludf.DUMMYFUNCTION("""COMPUTED_VALUE"""),1)</f>
        <v>1</v>
      </c>
      <c r="I164" s="20">
        <f ca="1">IFERROR(__xludf.DUMMYFUNCTION("""COMPUTED_VALUE"""),1)</f>
        <v>1</v>
      </c>
      <c r="J164" s="20" t="str">
        <f ca="1">IFERROR(__xludf.DUMMYFUNCTION("""COMPUTED_VALUE"""),"Ley")</f>
        <v>Ley</v>
      </c>
      <c r="K164" s="20">
        <f ca="1">IFERROR(__xludf.DUMMYFUNCTION("""COMPUTED_VALUE"""),31311)</f>
        <v>31311</v>
      </c>
      <c r="L164" s="20" t="str">
        <f ca="1">IFERROR(__xludf.DUMMYFUNCTION("""COMPUTED_VALUE"""),"Poder Legislativo Provincial")</f>
        <v>Poder Legislativo Provincial</v>
      </c>
      <c r="M164" s="20" t="str">
        <f ca="1">IFERROR(__xludf.DUMMYFUNCTION("""COMPUTED_VALUE"""),"Proyecto de Ley 31311/L/20, iniciado por los Legisladores Arduh, Cid y González, suspendiendo los procesos electorales para renovación de autoridades en Colegios y Consejos Profesionales y en Cajas de Previsión Social de Profesionales creados por la provi"&amp;"ncia hasta el 30 de junio de 2021, en el marco de la emergencia sanitaria.")</f>
        <v>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v>
      </c>
      <c r="N164" s="20" t="str">
        <f ca="1">IFERROR(__xludf.DUMMYFUNCTION("""COMPUTED_VALUE"""),"SI")</f>
        <v>SI</v>
      </c>
      <c r="O164" s="20" t="str">
        <f ca="1">IFERROR(__xludf.DUMMYFUNCTION("""COMPUTED_VALUE"""),"NO")</f>
        <v>NO</v>
      </c>
      <c r="P164" s="20">
        <f ca="1">IFERROR(__xludf.DUMMYFUNCTION("""COMPUTED_VALUE"""),0)</f>
        <v>0</v>
      </c>
      <c r="Q164" s="113" t="str">
        <f ca="1">IFERROR(__xludf.DUMMYFUNCTION("""COMPUTED_VALUE"""),"https://gld.legislaturacba.gob.ar/_cdd/api/Documento/descargar?guid=4c96c9f6-47f6-4852-822d-9893c86e05c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v>
      </c>
      <c r="R164" s="113" t="str">
        <f ca="1">IFERROR(__xludf.DUMMYFUNCTION("""COMPUTED_VALUE"""),"https://www.youtube.com/watch?v=1agIyMT9ALs")</f>
        <v>https://www.youtube.com/watch?v=1agIyMT9ALs</v>
      </c>
      <c r="S164" s="113" t="str">
        <f ca="1">IFERROR(__xludf.DUMMYFUNCTION("""COMPUTED_VALUE"""),"https://gld.legislaturacba.gob.ar/Publics/Actas.aspx?id=VU0SBXKGIaM=;https://gld.legislaturacba.gob.ar/Publics/Actas.aspx?id=7M6Mt40IfIQ=")</f>
        <v>https://gld.legislaturacba.gob.ar/Publics/Actas.aspx?id=VU0SBXKGIaM=;https://gld.legislaturacba.gob.ar/Publics/Actas.aspx?id=7M6Mt40IfIQ=</v>
      </c>
      <c r="T164" s="99">
        <f t="shared" ca="1" si="0"/>
        <v>0</v>
      </c>
    </row>
    <row r="165" spans="1:20">
      <c r="A165" s="20">
        <f ca="1">IFERROR(__xludf.DUMMYFUNCTION("""COMPUTED_VALUE"""),164)</f>
        <v>164</v>
      </c>
      <c r="B165" s="20">
        <f ca="1">IFERROR(__xludf.DUMMYFUNCTION("""COMPUTED_VALUE"""),2020)</f>
        <v>2020</v>
      </c>
      <c r="C165" s="20" t="str">
        <f ca="1">IFERROR(__xludf.DUMMYFUNCTION("""COMPUTED_VALUE"""),"VIRTUAL")</f>
        <v>VIRTUAL</v>
      </c>
      <c r="D165" s="96">
        <f ca="1">IFERROR(__xludf.DUMMYFUNCTION("""COMPUTED_VALUE"""),44117)</f>
        <v>44117</v>
      </c>
      <c r="E165" s="20" t="str">
        <f ca="1">IFERROR(__xludf.DUMMYFUNCTION("""COMPUTED_VALUE"""),"SI")</f>
        <v>SI</v>
      </c>
      <c r="F165" s="20" t="str">
        <f ca="1">IFERROR(__xludf.DUMMYFUNCTION("""COMPUTED_VALUE"""),"AMBIENTE;SERVICIOS PÚBLICOS")</f>
        <v>AMBIENTE;SERVICIOS PÚBLICOS</v>
      </c>
      <c r="G165" s="20">
        <f ca="1">IFERROR(__xludf.DUMMYFUNCTION("""COMPUTED_VALUE"""),2)</f>
        <v>2</v>
      </c>
      <c r="H165" s="20">
        <f ca="1">IFERROR(__xludf.DUMMYFUNCTION("""COMPUTED_VALUE"""),1)</f>
        <v>1</v>
      </c>
      <c r="I165" s="20">
        <f ca="1">IFERROR(__xludf.DUMMYFUNCTION("""COMPUTED_VALUE"""),1)</f>
        <v>1</v>
      </c>
      <c r="J165" s="20" t="str">
        <f ca="1">IFERROR(__xludf.DUMMYFUNCTION("""COMPUTED_VALUE"""),"NC")</f>
        <v>NC</v>
      </c>
      <c r="K165" s="20" t="str">
        <f ca="1">IFERROR(__xludf.DUMMYFUNCTION("""COMPUTED_VALUE"""),"NA")</f>
        <v>NA</v>
      </c>
      <c r="L165" s="20" t="str">
        <f ca="1">IFERROR(__xludf.DUMMYFUNCTION("""COMPUTED_VALUE"""),"NA")</f>
        <v>NA</v>
      </c>
      <c r="M165" s="20" t="str">
        <f ca="1">IFERROR(__xludf.DUMMYFUNCTION("""COMPUTED_VALUE"""),"Situación hidrometeorológica de la Provincia de Córdoba.")</f>
        <v>Situación hidrometeorológica de la Provincia de Córdoba.</v>
      </c>
      <c r="N165" s="20" t="str">
        <f ca="1">IFERROR(__xludf.DUMMYFUNCTION("""COMPUTED_VALUE"""),"NA")</f>
        <v>NA</v>
      </c>
      <c r="O165" s="20" t="str">
        <f ca="1">IFERROR(__xludf.DUMMYFUNCTION("""COMPUTED_VALUE"""),"SI")</f>
        <v>SI</v>
      </c>
      <c r="P165" s="20">
        <f ca="1">IFERROR(__xludf.DUMMYFUNCTION("""COMPUTED_VALUE"""),1)</f>
        <v>1</v>
      </c>
      <c r="Q165" s="113" t="str">
        <f ca="1">IFERROR(__xludf.DUMMYFUNCTION("""COMPUTED_VALUE"""),"https://gld.legislaturacba.gob.ar/_cdd/api/Documento/descargar?guid=d6976607-5b1a-4fad-b906-1ec1c5d648f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v>
      </c>
      <c r="R165" s="113" t="str">
        <f ca="1">IFERROR(__xludf.DUMMYFUNCTION("""COMPUTED_VALUE"""),"https://www.youtube.com/watch?v=UOizdNEalMo")</f>
        <v>https://www.youtube.com/watch?v=UOizdNEalMo</v>
      </c>
      <c r="S165" s="113" t="str">
        <f ca="1">IFERROR(__xludf.DUMMYFUNCTION("""COMPUTED_VALUE"""),"https://gld.legislaturacba.gob.ar/Publics/Actas.aspx?id=EbILIce2xLU=;https://gld.legislaturacba.gob.ar/Publics/Actas.aspx?id=V0iumeaRE7Y=")</f>
        <v>https://gld.legislaturacba.gob.ar/Publics/Actas.aspx?id=EbILIce2xLU=;https://gld.legislaturacba.gob.ar/Publics/Actas.aspx?id=V0iumeaRE7Y=</v>
      </c>
      <c r="T165" s="99">
        <f t="shared" ca="1" si="0"/>
        <v>0</v>
      </c>
    </row>
    <row r="166" spans="1:20">
      <c r="A166" s="20">
        <f ca="1">IFERROR(__xludf.DUMMYFUNCTION("""COMPUTED_VALUE"""),165)</f>
        <v>165</v>
      </c>
      <c r="B166" s="20">
        <f ca="1">IFERROR(__xludf.DUMMYFUNCTION("""COMPUTED_VALUE"""),2020)</f>
        <v>2020</v>
      </c>
      <c r="C166" s="20" t="str">
        <f ca="1">IFERROR(__xludf.DUMMYFUNCTION("""COMPUTED_VALUE"""),"VIRTUAL")</f>
        <v>VIRTUAL</v>
      </c>
      <c r="D166" s="96">
        <f ca="1">IFERROR(__xludf.DUMMYFUNCTION("""COMPUTED_VALUE"""),44119)</f>
        <v>44119</v>
      </c>
      <c r="E166" s="20" t="str">
        <f ca="1">IFERROR(__xludf.DUMMYFUNCTION("""COMPUTED_VALUE"""),"SI")</f>
        <v>SI</v>
      </c>
      <c r="F166" s="20"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G166" s="20">
        <f ca="1">IFERROR(__xludf.DUMMYFUNCTION("""COMPUTED_VALUE"""),2)</f>
        <v>2</v>
      </c>
      <c r="H166" s="20">
        <f ca="1">IFERROR(__xludf.DUMMYFUNCTION("""COMPUTED_VALUE"""),1)</f>
        <v>1</v>
      </c>
      <c r="I166" s="20">
        <f ca="1">IFERROR(__xludf.DUMMYFUNCTION("""COMPUTED_VALUE"""),1)</f>
        <v>1</v>
      </c>
      <c r="J166" s="20" t="str">
        <f ca="1">IFERROR(__xludf.DUMMYFUNCTION("""COMPUTED_VALUE"""),"NC")</f>
        <v>NC</v>
      </c>
      <c r="K166" s="20" t="str">
        <f ca="1">IFERROR(__xludf.DUMMYFUNCTION("""COMPUTED_VALUE"""),"NA")</f>
        <v>NA</v>
      </c>
      <c r="L166" s="20" t="str">
        <f ca="1">IFERROR(__xludf.DUMMYFUNCTION("""COMPUTED_VALUE"""),"NA")</f>
        <v>NA</v>
      </c>
      <c r="M166" s="20" t="str">
        <f ca="1">IFERROR(__xludf.DUMMYFUNCTION("""COMPUTED_VALUE"""),"Programa Tomando Decisiones, implementado entre el Ministerio de Justicia y Derechos Humanos y el de Salud de la Provincia, con el fin de asistir y prevenir el consumo problemático de sustancias en las y los adolescentes privados de libertad.")</f>
        <v>Programa Tomando Decisiones, implementado entre el Ministerio de Justicia y Derechos Humanos y el de Salud de la Provincia, con el fin de asistir y prevenir el consumo problemático de sustancias en las y los adolescentes privados de libertad.</v>
      </c>
      <c r="N166" s="20" t="str">
        <f ca="1">IFERROR(__xludf.DUMMYFUNCTION("""COMPUTED_VALUE"""),"NA")</f>
        <v>NA</v>
      </c>
      <c r="O166" s="20" t="str">
        <f ca="1">IFERROR(__xludf.DUMMYFUNCTION("""COMPUTED_VALUE"""),"SI")</f>
        <v>SI</v>
      </c>
      <c r="P166" s="20">
        <f ca="1">IFERROR(__xludf.DUMMYFUNCTION("""COMPUTED_VALUE"""),2)</f>
        <v>2</v>
      </c>
      <c r="Q166" s="113" t="str">
        <f ca="1">IFERROR(__xludf.DUMMYFUNCTION("""COMPUTED_VALUE"""),"https://gld.legislaturacba.gob.ar/_cdd/api/Documento/descargar?guid=341f9969-dd2b-4722-9683-23fc6d6faf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v>
      </c>
      <c r="R166" s="113" t="str">
        <f ca="1">IFERROR(__xludf.DUMMYFUNCTION("""COMPUTED_VALUE"""),"https://www.youtube.com/watch?v=ptLTcEVcM84")</f>
        <v>https://www.youtube.com/watch?v=ptLTcEVcM84</v>
      </c>
      <c r="S166" s="113" t="str">
        <f ca="1">IFERROR(__xludf.DUMMYFUNCTION("""COMPUTED_VALUE"""),"https://gld.legislaturacba.gob.ar/Publics/Actas.aspx?id=8ioP74G5gVo=;https://gld.legislaturacba.gob.ar/Publics/Actas.aspx?id=7Yl2Y4D5iDs=")</f>
        <v>https://gld.legislaturacba.gob.ar/Publics/Actas.aspx?id=8ioP74G5gVo=;https://gld.legislaturacba.gob.ar/Publics/Actas.aspx?id=7Yl2Y4D5iDs=</v>
      </c>
      <c r="T166" s="99">
        <f t="shared" ca="1" si="0"/>
        <v>0</v>
      </c>
    </row>
    <row r="167" spans="1:20">
      <c r="A167" s="20">
        <f ca="1">IFERROR(__xludf.DUMMYFUNCTION("""COMPUTED_VALUE"""),166)</f>
        <v>166</v>
      </c>
      <c r="B167" s="20">
        <f ca="1">IFERROR(__xludf.DUMMYFUNCTION("""COMPUTED_VALUE"""),2020)</f>
        <v>2020</v>
      </c>
      <c r="C167" s="20" t="str">
        <f ca="1">IFERROR(__xludf.DUMMYFUNCTION("""COMPUTED_VALUE"""),"VIRTUAL")</f>
        <v>VIRTUAL</v>
      </c>
      <c r="D167" s="96">
        <f ca="1">IFERROR(__xludf.DUMMYFUNCTION("""COMPUTED_VALUE"""),44119)</f>
        <v>44119</v>
      </c>
      <c r="E167" s="20" t="str">
        <f ca="1">IFERROR(__xludf.DUMMYFUNCTION("""COMPUTED_VALUE"""),"NO")</f>
        <v>NO</v>
      </c>
      <c r="F167" s="20" t="str">
        <f ca="1">IFERROR(__xludf.DUMMYFUNCTION("""COMPUTED_VALUE"""),"ECONOMÍA, PRESUPUESTO, GESTIÓN PÚBLICA E INNOVACIÓN")</f>
        <v>ECONOMÍA, PRESUPUESTO, GESTIÓN PÚBLICA E INNOVACIÓN</v>
      </c>
      <c r="G167" s="20">
        <f ca="1">IFERROR(__xludf.DUMMYFUNCTION("""COMPUTED_VALUE"""),1)</f>
        <v>1</v>
      </c>
      <c r="H167" s="20">
        <f ca="1">IFERROR(__xludf.DUMMYFUNCTION("""COMPUTED_VALUE"""),1)</f>
        <v>1</v>
      </c>
      <c r="I167" s="20">
        <f ca="1">IFERROR(__xludf.DUMMYFUNCTION("""COMPUTED_VALUE"""),1)</f>
        <v>1</v>
      </c>
      <c r="J167" s="20" t="str">
        <f ca="1">IFERROR(__xludf.DUMMYFUNCTION("""COMPUTED_VALUE"""),"NC")</f>
        <v>NC</v>
      </c>
      <c r="K167" s="20" t="str">
        <f ca="1">IFERROR(__xludf.DUMMYFUNCTION("""COMPUTED_VALUE"""),"NA")</f>
        <v>NA</v>
      </c>
      <c r="L167" s="20" t="str">
        <f ca="1">IFERROR(__xludf.DUMMYFUNCTION("""COMPUTED_VALUE"""),"NA")</f>
        <v>NA</v>
      </c>
      <c r="M167" s="20" t="str">
        <f ca="1">IFERROR(__xludf.DUMMYFUNCTION("""COMPUTED_VALUE"""),"Análisis de aspectos generales del Presupuesto Nacional para el año 2021.")</f>
        <v>Análisis de aspectos generales del Presupuesto Nacional para el año 2021.</v>
      </c>
      <c r="N167" s="20" t="str">
        <f ca="1">IFERROR(__xludf.DUMMYFUNCTION("""COMPUTED_VALUE"""),"NA")</f>
        <v>NA</v>
      </c>
      <c r="O167" s="20" t="str">
        <f ca="1">IFERROR(__xludf.DUMMYFUNCTION("""COMPUTED_VALUE"""),"SI")</f>
        <v>SI</v>
      </c>
      <c r="P167" s="20">
        <f ca="1">IFERROR(__xludf.DUMMYFUNCTION("""COMPUTED_VALUE"""),1)</f>
        <v>1</v>
      </c>
      <c r="Q167" s="113" t="str">
        <f ca="1">IFERROR(__xludf.DUMMYFUNCTION("""COMPUTED_VALUE"""),"https://gld.legislaturacba.gob.ar/_cdd/api/Documento/descargar?guid=9c0ea961-6015-456c-b071-962c9dd62c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v>
      </c>
      <c r="R167" s="113" t="str">
        <f ca="1">IFERROR(__xludf.DUMMYFUNCTION("""COMPUTED_VALUE"""),"https://www.youtube.com/watch?v=Tc5MWKTolhg")</f>
        <v>https://www.youtube.com/watch?v=Tc5MWKTolhg</v>
      </c>
      <c r="S167" s="113" t="str">
        <f ca="1">IFERROR(__xludf.DUMMYFUNCTION("""COMPUTED_VALUE"""),"https://gld.legislaturacba.gob.ar/Publics/Actas.aspx?id=ttd2VGyy4iM=")</f>
        <v>https://gld.legislaturacba.gob.ar/Publics/Actas.aspx?id=ttd2VGyy4iM=</v>
      </c>
      <c r="T167" s="99">
        <f t="shared" ca="1" si="0"/>
        <v>0</v>
      </c>
    </row>
    <row r="168" spans="1:20">
      <c r="A168" s="20">
        <f ca="1">IFERROR(__xludf.DUMMYFUNCTION("""COMPUTED_VALUE"""),167)</f>
        <v>167</v>
      </c>
      <c r="B168" s="20">
        <f ca="1">IFERROR(__xludf.DUMMYFUNCTION("""COMPUTED_VALUE"""),2020)</f>
        <v>2020</v>
      </c>
      <c r="C168" s="20" t="str">
        <f ca="1">IFERROR(__xludf.DUMMYFUNCTION("""COMPUTED_VALUE"""),"VIRTUAL")</f>
        <v>VIRTUAL</v>
      </c>
      <c r="D168" s="96">
        <f ca="1">IFERROR(__xludf.DUMMYFUNCTION("""COMPUTED_VALUE"""),44119)</f>
        <v>44119</v>
      </c>
      <c r="E168" s="20" t="str">
        <f ca="1">IFERROR(__xludf.DUMMYFUNCTION("""COMPUTED_VALUE"""),"NO")</f>
        <v>NO</v>
      </c>
      <c r="F168" s="20" t="str">
        <f ca="1">IFERROR(__xludf.DUMMYFUNCTION("""COMPUTED_VALUE"""),"PROMOCIÓN Y DEFENSA DE LOS DERECHOS DE LA NIÑEZ, ADOLESCENCIA Y FAMILIA")</f>
        <v>PROMOCIÓN Y DEFENSA DE LOS DERECHOS DE LA NIÑEZ, ADOLESCENCIA Y FAMILIA</v>
      </c>
      <c r="G168" s="20">
        <f ca="1">IFERROR(__xludf.DUMMYFUNCTION("""COMPUTED_VALUE"""),1)</f>
        <v>1</v>
      </c>
      <c r="H168" s="20">
        <f ca="1">IFERROR(__xludf.DUMMYFUNCTION("""COMPUTED_VALUE"""),1)</f>
        <v>1</v>
      </c>
      <c r="I168" s="20">
        <f ca="1">IFERROR(__xludf.DUMMYFUNCTION("""COMPUTED_VALUE"""),1)</f>
        <v>1</v>
      </c>
      <c r="J168" s="20" t="str">
        <f ca="1">IFERROR(__xludf.DUMMYFUNCTION("""COMPUTED_VALUE"""),"NC")</f>
        <v>NC</v>
      </c>
      <c r="K168" s="20" t="str">
        <f ca="1">IFERROR(__xludf.DUMMYFUNCTION("""COMPUTED_VALUE"""),"NA")</f>
        <v>NA</v>
      </c>
      <c r="L168" s="20" t="str">
        <f ca="1">IFERROR(__xludf.DUMMYFUNCTION("""COMPUTED_VALUE"""),"NA")</f>
        <v>NA</v>
      </c>
      <c r="M168" s="20" t="str">
        <f ca="1">IFERROR(__xludf.DUMMYFUNCTION("""COMPUTED_VALUE"""),"Trabajo de la Mesa Interpoderes en materia de adopciones.")</f>
        <v>Trabajo de la Mesa Interpoderes en materia de adopciones.</v>
      </c>
      <c r="N168" s="20" t="str">
        <f ca="1">IFERROR(__xludf.DUMMYFUNCTION("""COMPUTED_VALUE"""),"NA")</f>
        <v>NA</v>
      </c>
      <c r="O168" s="20" t="str">
        <f ca="1">IFERROR(__xludf.DUMMYFUNCTION("""COMPUTED_VALUE"""),"SI")</f>
        <v>SI</v>
      </c>
      <c r="P168" s="20">
        <f ca="1">IFERROR(__xludf.DUMMYFUNCTION("""COMPUTED_VALUE"""),5)</f>
        <v>5</v>
      </c>
      <c r="Q168" s="113" t="str">
        <f ca="1">IFERROR(__xludf.DUMMYFUNCTION("""COMPUTED_VALUE"""),"https://gld.legislaturacba.gob.ar/_cdd/api/Documento/descargar?guid=4ebc6f04-038a-4095-835d-1f5313e40dd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v>
      </c>
      <c r="R168" s="20" t="str">
        <f ca="1">IFERROR(__xludf.DUMMYFUNCTION("""COMPUTED_VALUE"""),"NA")</f>
        <v>NA</v>
      </c>
      <c r="S168" s="113" t="str">
        <f ca="1">IFERROR(__xludf.DUMMYFUNCTION("""COMPUTED_VALUE"""),"https://gld.legislaturacba.gob.ar/Publics/Actas.aspx?id=fS8oTmCdn80=")</f>
        <v>https://gld.legislaturacba.gob.ar/Publics/Actas.aspx?id=fS8oTmCdn80=</v>
      </c>
      <c r="T168" s="99">
        <f t="shared" ca="1" si="0"/>
        <v>0</v>
      </c>
    </row>
    <row r="169" spans="1:20">
      <c r="A169" s="20">
        <f ca="1">IFERROR(__xludf.DUMMYFUNCTION("""COMPUTED_VALUE"""),168)</f>
        <v>168</v>
      </c>
      <c r="B169" s="20">
        <f ca="1">IFERROR(__xludf.DUMMYFUNCTION("""COMPUTED_VALUE"""),2020)</f>
        <v>2020</v>
      </c>
      <c r="C169" s="20" t="str">
        <f ca="1">IFERROR(__xludf.DUMMYFUNCTION("""COMPUTED_VALUE"""),"VIRTUAL")</f>
        <v>VIRTUAL</v>
      </c>
      <c r="D169" s="96">
        <f ca="1">IFERROR(__xludf.DUMMYFUNCTION("""COMPUTED_VALUE"""),44124)</f>
        <v>44124</v>
      </c>
      <c r="E169" s="20" t="str">
        <f ca="1">IFERROR(__xludf.DUMMYFUNCTION("""COMPUTED_VALUE"""),"SI")</f>
        <v>SI</v>
      </c>
      <c r="F169" s="20" t="str">
        <f ca="1">IFERROR(__xludf.DUMMYFUNCTION("""COMPUTED_VALUE"""),"PROMOCIÓN Y DEFENSA DE LOS DERECHOS DE LA NIÑEZ, ADOLESCENCIA Y FAMILIA;LEGISLACIÓN GENERAL")</f>
        <v>PROMOCIÓN Y DEFENSA DE LOS DERECHOS DE LA NIÑEZ, ADOLESCENCIA Y FAMILIA;LEGISLACIÓN GENERAL</v>
      </c>
      <c r="G169" s="20">
        <f ca="1">IFERROR(__xludf.DUMMYFUNCTION("""COMPUTED_VALUE"""),2)</f>
        <v>2</v>
      </c>
      <c r="H169" s="20">
        <f ca="1">IFERROR(__xludf.DUMMYFUNCTION("""COMPUTED_VALUE"""),1)</f>
        <v>1</v>
      </c>
      <c r="I169" s="20">
        <f ca="1">IFERROR(__xludf.DUMMYFUNCTION("""COMPUTED_VALUE"""),1)</f>
        <v>1</v>
      </c>
      <c r="J169" s="20" t="str">
        <f ca="1">IFERROR(__xludf.DUMMYFUNCTION("""COMPUTED_VALUE"""),"Ley")</f>
        <v>Ley</v>
      </c>
      <c r="K169" s="20">
        <f ca="1">IFERROR(__xludf.DUMMYFUNCTION("""COMPUTED_VALUE"""),31299)</f>
        <v>31299</v>
      </c>
      <c r="L169" s="20" t="str">
        <f ca="1">IFERROR(__xludf.DUMMYFUNCTION("""COMPUTED_VALUE"""),"Poder Legislativo Provincial")</f>
        <v>Poder Legislativo Provincial</v>
      </c>
      <c r="M169" s="20" t="str">
        <f ca="1">IFERROR(__xludf.DUMMYFUNCTION("""COMPUTED_VALUE"""),"Proyecto de Ley 31299/L/20, iniciado por los legisladores María Emilia Eslava, Basualdo, Argañaraz, Busso, Chamorro, Labat, Blangino, Fernández, Mansilla, Petrone, Caffaratti, Paleo, Carrillo, Irazuzta, Marcone, García Elorrio, Lencinas, García, Piasco, G"&amp;"iraldi y Guirardelli, adhiriendo a la Ley Nacional Nº 27.458, que instituye el 13 de noviembre de cada año como Día Nacional de Lucha contra el Grooming.")</f>
        <v>Proyecto de Ley 31299/L/20, iniciado por los legisladores María Emilia Eslava, Basualdo, Argañaraz, Busso, Chamorro, Labat, Blangino, Fernández, Mansilla, Petrone, Caffaratti, Paleo, Carrillo, Irazuzta, Marcone, García Elorrio, Lencinas, García, Piasco, Giraldi y Guirardelli, adhiriendo a la Ley Nacional Nº 27.458, que instituye el 13 de noviembre de cada año como Día Nacional de Lucha contra el Grooming.</v>
      </c>
      <c r="N169" s="20" t="str">
        <f ca="1">IFERROR(__xludf.DUMMYFUNCTION("""COMPUTED_VALUE"""),"SI")</f>
        <v>SI</v>
      </c>
      <c r="O169" s="20" t="str">
        <f ca="1">IFERROR(__xludf.DUMMYFUNCTION("""COMPUTED_VALUE"""),"NO")</f>
        <v>NO</v>
      </c>
      <c r="P169" s="20">
        <f ca="1">IFERROR(__xludf.DUMMYFUNCTION("""COMPUTED_VALUE"""),0)</f>
        <v>0</v>
      </c>
      <c r="Q169" s="113" t="str">
        <f ca="1">IFERROR(__xludf.DUMMYFUNCTION("""COMPUTED_VALUE"""),"https://gld.legislaturacba.gob.ar/_cdd/api/Documento/descargar?guid=59206126-8d57-4c3a-a26a-0f9909e2f8f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v>
      </c>
      <c r="R169" s="20" t="str">
        <f ca="1">IFERROR(__xludf.DUMMYFUNCTION("""COMPUTED_VALUE"""),"NA")</f>
        <v>NA</v>
      </c>
      <c r="S169" s="113" t="str">
        <f ca="1">IFERROR(__xludf.DUMMYFUNCTION("""COMPUTED_VALUE"""),"https://gld.legislaturacba.gob.ar/Publics/Actas.aspx?id=HTb-7LpDZlU=;https://gld.legislaturacba.gob.ar/Publics/Actas.aspx?id=JrWeZYzTiG8=")</f>
        <v>https://gld.legislaturacba.gob.ar/Publics/Actas.aspx?id=HTb-7LpDZlU=;https://gld.legislaturacba.gob.ar/Publics/Actas.aspx?id=JrWeZYzTiG8=</v>
      </c>
      <c r="T169" s="99">
        <f t="shared" ca="1" si="0"/>
        <v>0</v>
      </c>
    </row>
    <row r="170" spans="1:20">
      <c r="A170" s="20">
        <f ca="1">IFERROR(__xludf.DUMMYFUNCTION("""COMPUTED_VALUE"""),169)</f>
        <v>169</v>
      </c>
      <c r="B170" s="20">
        <f ca="1">IFERROR(__xludf.DUMMYFUNCTION("""COMPUTED_VALUE"""),2020)</f>
        <v>2020</v>
      </c>
      <c r="C170" s="20" t="str">
        <f ca="1">IFERROR(__xludf.DUMMYFUNCTION("""COMPUTED_VALUE"""),"VIRTUAL")</f>
        <v>VIRTUAL</v>
      </c>
      <c r="D170" s="96">
        <f ca="1">IFERROR(__xludf.DUMMYFUNCTION("""COMPUTED_VALUE"""),44124)</f>
        <v>44124</v>
      </c>
      <c r="E170" s="20" t="str">
        <f ca="1">IFERROR(__xludf.DUMMYFUNCTION("""COMPUTED_VALUE"""),"NO")</f>
        <v>NO</v>
      </c>
      <c r="F170" s="20" t="str">
        <f ca="1">IFERROR(__xludf.DUMMYFUNCTION("""COMPUTED_VALUE"""),"DERECHOS HUMANOS Y DESARROLLO SOCIAL")</f>
        <v>DERECHOS HUMANOS Y DESARROLLO SOCIAL</v>
      </c>
      <c r="G170" s="20">
        <f ca="1">IFERROR(__xludf.DUMMYFUNCTION("""COMPUTED_VALUE"""),1)</f>
        <v>1</v>
      </c>
      <c r="H170" s="20">
        <f ca="1">IFERROR(__xludf.DUMMYFUNCTION("""COMPUTED_VALUE"""),1)</f>
        <v>1</v>
      </c>
      <c r="I170" s="20">
        <f ca="1">IFERROR(__xludf.DUMMYFUNCTION("""COMPUTED_VALUE"""),1)</f>
        <v>1</v>
      </c>
      <c r="J170" s="20" t="str">
        <f ca="1">IFERROR(__xludf.DUMMYFUNCTION("""COMPUTED_VALUE"""),"NC")</f>
        <v>NC</v>
      </c>
      <c r="K170" s="20" t="str">
        <f ca="1">IFERROR(__xludf.DUMMYFUNCTION("""COMPUTED_VALUE"""),"NA")</f>
        <v>NA</v>
      </c>
      <c r="L170" s="20" t="str">
        <f ca="1">IFERROR(__xludf.DUMMYFUNCTION("""COMPUTED_VALUE"""),"NA")</f>
        <v>NA</v>
      </c>
      <c r="M170" s="20" t="str">
        <f ca="1">IFERROR(__xludf.DUMMYFUNCTION("""COMPUTED_VALUE"""),"Acciones y actividades del Consejo Provincial de Políticas Sociales. Respuesta a Proyectos de Resolución Nº 30510/L/20; 30846/L/20; 30978/L/20; 31041/L/20 y 31042/L/20.")</f>
        <v>Acciones y actividades del Consejo Provincial de Políticas Sociales. Respuesta a Proyectos de Resolución Nº 30510/L/20; 30846/L/20; 30978/L/20; 31041/L/20 y 31042/L/20.</v>
      </c>
      <c r="N170" s="20" t="str">
        <f ca="1">IFERROR(__xludf.DUMMYFUNCTION("""COMPUTED_VALUE"""),"NA")</f>
        <v>NA</v>
      </c>
      <c r="O170" s="20" t="str">
        <f ca="1">IFERROR(__xludf.DUMMYFUNCTION("""COMPUTED_VALUE"""),"SI")</f>
        <v>SI</v>
      </c>
      <c r="P170" s="20">
        <f ca="1">IFERROR(__xludf.DUMMYFUNCTION("""COMPUTED_VALUE"""),2)</f>
        <v>2</v>
      </c>
      <c r="Q170" s="113" t="str">
        <f ca="1">IFERROR(__xludf.DUMMYFUNCTION("""COMPUTED_VALUE"""),"https://gld.legislaturacba.gob.ar/_cdd/api/Documento/descargar?guid=5f7f6842-9f46-4194-b05a-7cde58223317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v>
      </c>
      <c r="R170" s="113" t="str">
        <f ca="1">IFERROR(__xludf.DUMMYFUNCTION("""COMPUTED_VALUE"""),"https://www.youtube.com/watch?v=zFs2oKHDPsA")</f>
        <v>https://www.youtube.com/watch?v=zFs2oKHDPsA</v>
      </c>
      <c r="S170" s="113" t="str">
        <f ca="1">IFERROR(__xludf.DUMMYFUNCTION("""COMPUTED_VALUE"""),"https://gld.legislaturacba.gob.ar/Publics/Actas.aspx?id=uKUrfvT-mcE=")</f>
        <v>https://gld.legislaturacba.gob.ar/Publics/Actas.aspx?id=uKUrfvT-mcE=</v>
      </c>
      <c r="T170" s="99">
        <f t="shared" ca="1" si="0"/>
        <v>0</v>
      </c>
    </row>
    <row r="171" spans="1:20">
      <c r="A171" s="20">
        <f ca="1">IFERROR(__xludf.DUMMYFUNCTION("""COMPUTED_VALUE"""),170)</f>
        <v>170</v>
      </c>
      <c r="B171" s="20">
        <f ca="1">IFERROR(__xludf.DUMMYFUNCTION("""COMPUTED_VALUE"""),2020)</f>
        <v>2020</v>
      </c>
      <c r="C171" s="20" t="str">
        <f ca="1">IFERROR(__xludf.DUMMYFUNCTION("""COMPUTED_VALUE"""),"VIRTUAL")</f>
        <v>VIRTUAL</v>
      </c>
      <c r="D171" s="96">
        <f ca="1">IFERROR(__xludf.DUMMYFUNCTION("""COMPUTED_VALUE"""),44124)</f>
        <v>44124</v>
      </c>
      <c r="E171" s="20" t="str">
        <f ca="1">IFERROR(__xludf.DUMMYFUNCTION("""COMPUTED_VALUE"""),"NO")</f>
        <v>NO</v>
      </c>
      <c r="F171" s="20" t="str">
        <f ca="1">IFERROR(__xludf.DUMMYFUNCTION("""COMPUTED_VALUE"""),"AGRICULTURA, GANADERÍA Y RECURSOS RENOVABLES")</f>
        <v>AGRICULTURA, GANADERÍA Y RECURSOS RENOVABLES</v>
      </c>
      <c r="G171" s="20">
        <f ca="1">IFERROR(__xludf.DUMMYFUNCTION("""COMPUTED_VALUE"""),1)</f>
        <v>1</v>
      </c>
      <c r="H171" s="20">
        <f ca="1">IFERROR(__xludf.DUMMYFUNCTION("""COMPUTED_VALUE"""),1)</f>
        <v>1</v>
      </c>
      <c r="I171" s="20">
        <f ca="1">IFERROR(__xludf.DUMMYFUNCTION("""COMPUTED_VALUE"""),1)</f>
        <v>1</v>
      </c>
      <c r="J171" s="20" t="str">
        <f ca="1">IFERROR(__xludf.DUMMYFUNCTION("""COMPUTED_VALUE"""),"NC")</f>
        <v>NC</v>
      </c>
      <c r="K171" s="20" t="str">
        <f ca="1">IFERROR(__xludf.DUMMYFUNCTION("""COMPUTED_VALUE"""),"NA")</f>
        <v>NA</v>
      </c>
      <c r="L171" s="20" t="str">
        <f ca="1">IFERROR(__xludf.DUMMYFUNCTION("""COMPUTED_VALUE"""),"NA")</f>
        <v>NA</v>
      </c>
      <c r="M171" s="20" t="str">
        <f ca="1">IFERROR(__xludf.DUMMYFUNCTION("""COMPUTED_VALUE"""),"Informe sobre la emergencia agropecuaria por incendios y las acciones llevadas a cabo por el Ministerio de Agricultura.")</f>
        <v>Informe sobre la emergencia agropecuaria por incendios y las acciones llevadas a cabo por el Ministerio de Agricultura.</v>
      </c>
      <c r="N171" s="20" t="str">
        <f ca="1">IFERROR(__xludf.DUMMYFUNCTION("""COMPUTED_VALUE"""),"NA")</f>
        <v>NA</v>
      </c>
      <c r="O171" s="20" t="str">
        <f ca="1">IFERROR(__xludf.DUMMYFUNCTION("""COMPUTED_VALUE"""),"SI")</f>
        <v>SI</v>
      </c>
      <c r="P171" s="20">
        <f ca="1">IFERROR(__xludf.DUMMYFUNCTION("""COMPUTED_VALUE"""),2)</f>
        <v>2</v>
      </c>
      <c r="Q171" s="113" t="str">
        <f ca="1">IFERROR(__xludf.DUMMYFUNCTION("""COMPUTED_VALUE"""),"https://gld.legislaturacba.gob.ar/_cdd/api/Documento/descargar?guid=093e0df8-3ff3-439e-8d9b-afa35823a71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v>
      </c>
      <c r="R171" s="113" t="str">
        <f ca="1">IFERROR(__xludf.DUMMYFUNCTION("""COMPUTED_VALUE"""),"https://www.youtube.com/watch?v=zDFr3tThd78")</f>
        <v>https://www.youtube.com/watch?v=zDFr3tThd78</v>
      </c>
      <c r="S171" s="113" t="str">
        <f ca="1">IFERROR(__xludf.DUMMYFUNCTION("""COMPUTED_VALUE"""),"https://gld.legislaturacba.gob.ar/Publics/Actas.aspx?id=odRJfQm7rdk=")</f>
        <v>https://gld.legislaturacba.gob.ar/Publics/Actas.aspx?id=odRJfQm7rdk=</v>
      </c>
      <c r="T171" s="99">
        <f t="shared" ca="1" si="0"/>
        <v>0</v>
      </c>
    </row>
    <row r="172" spans="1:20">
      <c r="A172" s="20">
        <f ca="1">IFERROR(__xludf.DUMMYFUNCTION("""COMPUTED_VALUE"""),171)</f>
        <v>171</v>
      </c>
      <c r="B172" s="20">
        <f ca="1">IFERROR(__xludf.DUMMYFUNCTION("""COMPUTED_VALUE"""),2020)</f>
        <v>2020</v>
      </c>
      <c r="C172" s="20" t="str">
        <f ca="1">IFERROR(__xludf.DUMMYFUNCTION("""COMPUTED_VALUE"""),"VIRTUAL")</f>
        <v>VIRTUAL</v>
      </c>
      <c r="D172" s="96">
        <f ca="1">IFERROR(__xludf.DUMMYFUNCTION("""COMPUTED_VALUE"""),44125)</f>
        <v>44125</v>
      </c>
      <c r="E172" s="20" t="str">
        <f ca="1">IFERROR(__xludf.DUMMYFUNCTION("""COMPUTED_VALUE"""),"SI")</f>
        <v>SI</v>
      </c>
      <c r="F172" s="20" t="str">
        <f ca="1">IFERROR(__xludf.DUMMYFUNCTION("""COMPUTED_VALUE"""),"SERVICIOS PÚBLICOS;ASUNTOS INSTITUCIONALES, MUNICIPALES Y COMUNALES")</f>
        <v>SERVICIOS PÚBLICOS;ASUNTOS INSTITUCIONALES, MUNICIPALES Y COMUNALES</v>
      </c>
      <c r="G172" s="20">
        <f ca="1">IFERROR(__xludf.DUMMYFUNCTION("""COMPUTED_VALUE"""),2)</f>
        <v>2</v>
      </c>
      <c r="H172" s="20">
        <f ca="1">IFERROR(__xludf.DUMMYFUNCTION("""COMPUTED_VALUE"""),1)</f>
        <v>1</v>
      </c>
      <c r="I172" s="20">
        <f ca="1">IFERROR(__xludf.DUMMYFUNCTION("""COMPUTED_VALUE"""),1)</f>
        <v>1</v>
      </c>
      <c r="J172" s="20" t="str">
        <f ca="1">IFERROR(__xludf.DUMMYFUNCTION("""COMPUTED_VALUE"""),"Ley")</f>
        <v>Ley</v>
      </c>
      <c r="K172" s="20">
        <f ca="1">IFERROR(__xludf.DUMMYFUNCTION("""COMPUTED_VALUE"""),31411)</f>
        <v>31411</v>
      </c>
      <c r="L172" s="20" t="str">
        <f ca="1">IFERROR(__xludf.DUMMYFUNCTION("""COMPUTED_VALUE"""),"Poder Legislativo Provincial")</f>
        <v>Poder Legislativo Provincial</v>
      </c>
      <c r="M172" s="20" t="str">
        <f ca="1">IFERROR(__xludf.DUMMYFUNCTION("""COMPUTED_VALUE"""),"Proyecto de Ley 31411/L/20, iniciado por los Legisladores González e Iturria, modificando el artículo 1º de la Ley 10.545, sobre las facturaciones que emitan los entes distribuidores o quienes fueran responsables de la facturación del cobro de prestacione"&amp;"s de servicios públicos domiciliarios de energía eléctrica, agua y saneamiento.")</f>
        <v>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v>
      </c>
      <c r="N172" s="20" t="str">
        <f ca="1">IFERROR(__xludf.DUMMYFUNCTION("""COMPUTED_VALUE"""),"NO")</f>
        <v>NO</v>
      </c>
      <c r="O172" s="20" t="str">
        <f ca="1">IFERROR(__xludf.DUMMYFUNCTION("""COMPUTED_VALUE"""),"SI")</f>
        <v>SI</v>
      </c>
      <c r="P172" s="20">
        <f ca="1">IFERROR(__xludf.DUMMYFUNCTION("""COMPUTED_VALUE"""),2)</f>
        <v>2</v>
      </c>
      <c r="Q172" s="113" t="str">
        <f ca="1">IFERROR(__xludf.DUMMYFUNCTION("""COMPUTED_VALUE"""),"https://gld.legislaturacba.gob.ar/_cdd/api/Documento/descargar?guid=cba3ac69-c217-43a2-8fbb-c354406b9e62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v>
      </c>
      <c r="R172" s="113" t="str">
        <f ca="1">IFERROR(__xludf.DUMMYFUNCTION("""COMPUTED_VALUE"""),"https://www.youtube.com/watch?v=Grhmua781ng")</f>
        <v>https://www.youtube.com/watch?v=Grhmua781ng</v>
      </c>
      <c r="S172" s="113" t="str">
        <f ca="1">IFERROR(__xludf.DUMMYFUNCTION("""COMPUTED_VALUE"""),"https://gld.legislaturacba.gob.ar/Publics/Actas.aspx?id=xLZ1_VE6FJo=;https://gld.legislaturacba.gob.ar/Publics/Actas.aspx?id=gPgF7xyrmY8=")</f>
        <v>https://gld.legislaturacba.gob.ar/Publics/Actas.aspx?id=xLZ1_VE6FJo=;https://gld.legislaturacba.gob.ar/Publics/Actas.aspx?id=gPgF7xyrmY8=</v>
      </c>
      <c r="T172" s="99">
        <f t="shared" ca="1" si="0"/>
        <v>0</v>
      </c>
    </row>
    <row r="173" spans="1:20">
      <c r="A173" s="20">
        <f ca="1">IFERROR(__xludf.DUMMYFUNCTION("""COMPUTED_VALUE"""),172)</f>
        <v>172</v>
      </c>
      <c r="B173" s="20">
        <f ca="1">IFERROR(__xludf.DUMMYFUNCTION("""COMPUTED_VALUE"""),2020)</f>
        <v>2020</v>
      </c>
      <c r="C173" s="20" t="str">
        <f ca="1">IFERROR(__xludf.DUMMYFUNCTION("""COMPUTED_VALUE"""),"VIRTUAL")</f>
        <v>VIRTUAL</v>
      </c>
      <c r="D173" s="96">
        <f ca="1">IFERROR(__xludf.DUMMYFUNCTION("""COMPUTED_VALUE"""),44126)</f>
        <v>44126</v>
      </c>
      <c r="E173" s="20" t="str">
        <f ca="1">IFERROR(__xludf.DUMMYFUNCTION("""COMPUTED_VALUE"""),"NO")</f>
        <v>NO</v>
      </c>
      <c r="F173" s="20" t="str">
        <f ca="1">IFERROR(__xludf.DUMMYFUNCTION("""COMPUTED_VALUE"""),"EQUIDAD Y LUCHA CONTRA LA VIOLENCIA DE GÉNERO")</f>
        <v>EQUIDAD Y LUCHA CONTRA LA VIOLENCIA DE GÉNERO</v>
      </c>
      <c r="G173" s="20">
        <f ca="1">IFERROR(__xludf.DUMMYFUNCTION("""COMPUTED_VALUE"""),1)</f>
        <v>1</v>
      </c>
      <c r="H173" s="20">
        <f ca="1">IFERROR(__xludf.DUMMYFUNCTION("""COMPUTED_VALUE"""),1)</f>
        <v>1</v>
      </c>
      <c r="I173" s="20">
        <f ca="1">IFERROR(__xludf.DUMMYFUNCTION("""COMPUTED_VALUE"""),1)</f>
        <v>1</v>
      </c>
      <c r="J173" s="20" t="str">
        <f ca="1">IFERROR(__xludf.DUMMYFUNCTION("""COMPUTED_VALUE"""),"NC")</f>
        <v>NC</v>
      </c>
      <c r="K173" s="20" t="str">
        <f ca="1">IFERROR(__xludf.DUMMYFUNCTION("""COMPUTED_VALUE"""),"NA")</f>
        <v>NA</v>
      </c>
      <c r="L173" s="20" t="str">
        <f ca="1">IFERROR(__xludf.DUMMYFUNCTION("""COMPUTED_VALUE"""),"NA")</f>
        <v>NA</v>
      </c>
      <c r="M173" s="20" t="str">
        <f ca="1">IFERROR(__xludf.DUMMYFUNCTION("""COMPUTED_VALUE"""),"La violencia de género en los medios de comunicación.")</f>
        <v>La violencia de género en los medios de comunicación.</v>
      </c>
      <c r="N173" s="20" t="str">
        <f ca="1">IFERROR(__xludf.DUMMYFUNCTION("""COMPUTED_VALUE"""),"NA")</f>
        <v>NA</v>
      </c>
      <c r="O173" s="20" t="str">
        <f ca="1">IFERROR(__xludf.DUMMYFUNCTION("""COMPUTED_VALUE"""),"SI")</f>
        <v>SI</v>
      </c>
      <c r="P173" s="20">
        <f ca="1">IFERROR(__xludf.DUMMYFUNCTION("""COMPUTED_VALUE"""),2)</f>
        <v>2</v>
      </c>
      <c r="Q173" s="113" t="str">
        <f ca="1">IFERROR(__xludf.DUMMYFUNCTION("""COMPUTED_VALUE"""),"https://gld.legislaturacba.gob.ar/_cdd/api/Documento/descargar?guid=20893c82-0e13-419f-90ed-838fcacb0524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v>
      </c>
      <c r="R173" s="20" t="str">
        <f ca="1">IFERROR(__xludf.DUMMYFUNCTION("""COMPUTED_VALUE"""),"NA")</f>
        <v>NA</v>
      </c>
      <c r="S173" s="113" t="str">
        <f ca="1">IFERROR(__xludf.DUMMYFUNCTION("""COMPUTED_VALUE"""),"https://gld.legislaturacba.gob.ar/Publics/Actas.aspx?id=rmWCLExN_LM=")</f>
        <v>https://gld.legislaturacba.gob.ar/Publics/Actas.aspx?id=rmWCLExN_LM=</v>
      </c>
      <c r="T173" s="99">
        <f t="shared" ca="1" si="0"/>
        <v>0</v>
      </c>
    </row>
    <row r="174" spans="1:20">
      <c r="A174" s="20">
        <f ca="1">IFERROR(__xludf.DUMMYFUNCTION("""COMPUTED_VALUE"""),173)</f>
        <v>173</v>
      </c>
      <c r="B174" s="20">
        <f ca="1">IFERROR(__xludf.DUMMYFUNCTION("""COMPUTED_VALUE"""),2020)</f>
        <v>2020</v>
      </c>
      <c r="C174" s="20" t="str">
        <f ca="1">IFERROR(__xludf.DUMMYFUNCTION("""COMPUTED_VALUE"""),"VIRTUAL")</f>
        <v>VIRTUAL</v>
      </c>
      <c r="D174" s="96">
        <f ca="1">IFERROR(__xludf.DUMMYFUNCTION("""COMPUTED_VALUE"""),44126)</f>
        <v>44126</v>
      </c>
      <c r="E174" s="20" t="str">
        <f ca="1">IFERROR(__xludf.DUMMYFUNCTION("""COMPUTED_VALUE"""),"NO")</f>
        <v>NO</v>
      </c>
      <c r="F174" s="20" t="str">
        <f ca="1">IFERROR(__xludf.DUMMYFUNCTION("""COMPUTED_VALUE"""),"TURISMO Y SU RELACIÓN CON EL DESARROLLO REGIONAL")</f>
        <v>TURISMO Y SU RELACIÓN CON EL DESARROLLO REGIONAL</v>
      </c>
      <c r="G174" s="20">
        <f ca="1">IFERROR(__xludf.DUMMYFUNCTION("""COMPUTED_VALUE"""),1)</f>
        <v>1</v>
      </c>
      <c r="H174" s="20">
        <f ca="1">IFERROR(__xludf.DUMMYFUNCTION("""COMPUTED_VALUE"""),1)</f>
        <v>1</v>
      </c>
      <c r="I174" s="20">
        <f ca="1">IFERROR(__xludf.DUMMYFUNCTION("""COMPUTED_VALUE"""),1)</f>
        <v>1</v>
      </c>
      <c r="J174" s="20" t="str">
        <f ca="1">IFERROR(__xludf.DUMMYFUNCTION("""COMPUTED_VALUE"""),"NC")</f>
        <v>NC</v>
      </c>
      <c r="K174" s="20" t="str">
        <f ca="1">IFERROR(__xludf.DUMMYFUNCTION("""COMPUTED_VALUE"""),"NA")</f>
        <v>NA</v>
      </c>
      <c r="L174" s="20" t="str">
        <f ca="1">IFERROR(__xludf.DUMMYFUNCTION("""COMPUTED_VALUE"""),"NA")</f>
        <v>NA</v>
      </c>
      <c r="M174" s="20" t="str">
        <f ca="1">IFERROR(__xludf.DUMMYFUNCTION("""COMPUTED_VALUE"""),"Situación de la actividad turística en el marco de la pandemia COVID-19.")</f>
        <v>Situación de la actividad turística en el marco de la pandemia COVID-19.</v>
      </c>
      <c r="N174" s="20" t="str">
        <f ca="1">IFERROR(__xludf.DUMMYFUNCTION("""COMPUTED_VALUE"""),"NA")</f>
        <v>NA</v>
      </c>
      <c r="O174" s="20" t="str">
        <f ca="1">IFERROR(__xludf.DUMMYFUNCTION("""COMPUTED_VALUE"""),"SI")</f>
        <v>SI</v>
      </c>
      <c r="P174" s="20">
        <f ca="1">IFERROR(__xludf.DUMMYFUNCTION("""COMPUTED_VALUE"""),1)</f>
        <v>1</v>
      </c>
      <c r="Q174" s="113" t="str">
        <f ca="1">IFERROR(__xludf.DUMMYFUNCTION("""COMPUTED_VALUE"""),"https://gld.legislaturacba.gob.ar/_cdd/api/Documento/descargar?guid=14e6531e-4cf1-4cab-a7ae-fbfb5a22175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v>
      </c>
      <c r="R174" s="20" t="str">
        <f ca="1">IFERROR(__xludf.DUMMYFUNCTION("""COMPUTED_VALUE"""),"NA")</f>
        <v>NA</v>
      </c>
      <c r="S174" s="113" t="str">
        <f ca="1">IFERROR(__xludf.DUMMYFUNCTION("""COMPUTED_VALUE"""),"https://gld.legislaturacba.gob.ar/Publics/Actas.aspx?id=H0RUkfSPVcA=")</f>
        <v>https://gld.legislaturacba.gob.ar/Publics/Actas.aspx?id=H0RUkfSPVcA=</v>
      </c>
      <c r="T174" s="99">
        <f t="shared" ca="1" si="0"/>
        <v>0</v>
      </c>
    </row>
    <row r="175" spans="1:20">
      <c r="A175" s="20">
        <f ca="1">IFERROR(__xludf.DUMMYFUNCTION("""COMPUTED_VALUE"""),174)</f>
        <v>174</v>
      </c>
      <c r="B175" s="20">
        <f ca="1">IFERROR(__xludf.DUMMYFUNCTION("""COMPUTED_VALUE"""),2020)</f>
        <v>2020</v>
      </c>
      <c r="C175" s="20" t="str">
        <f ca="1">IFERROR(__xludf.DUMMYFUNCTION("""COMPUTED_VALUE"""),"VIRTUAL")</f>
        <v>VIRTUAL</v>
      </c>
      <c r="D175" s="96">
        <f ca="1">IFERROR(__xludf.DUMMYFUNCTION("""COMPUTED_VALUE"""),44126)</f>
        <v>44126</v>
      </c>
      <c r="E175" s="20" t="str">
        <f ca="1">IFERROR(__xludf.DUMMYFUNCTION("""COMPUTED_VALUE"""),"NO")</f>
        <v>NO</v>
      </c>
      <c r="F175" s="20" t="str">
        <f ca="1">IFERROR(__xludf.DUMMYFUNCTION("""COMPUTED_VALUE"""),"RELACIONES INTERNACIONALES, MERCOSUR Y COMERCIO EXTERIOR")</f>
        <v>RELACIONES INTERNACIONALES, MERCOSUR Y COMERCIO EXTERIOR</v>
      </c>
      <c r="G175" s="20">
        <f ca="1">IFERROR(__xludf.DUMMYFUNCTION("""COMPUTED_VALUE"""),1)</f>
        <v>1</v>
      </c>
      <c r="H175" s="20">
        <f ca="1">IFERROR(__xludf.DUMMYFUNCTION("""COMPUTED_VALUE"""),1)</f>
        <v>1</v>
      </c>
      <c r="I175" s="20">
        <f ca="1">IFERROR(__xludf.DUMMYFUNCTION("""COMPUTED_VALUE"""),1)</f>
        <v>1</v>
      </c>
      <c r="J175" s="20" t="str">
        <f ca="1">IFERROR(__xludf.DUMMYFUNCTION("""COMPUTED_VALUE"""),"NC")</f>
        <v>NC</v>
      </c>
      <c r="K175" s="20" t="str">
        <f ca="1">IFERROR(__xludf.DUMMYFUNCTION("""COMPUTED_VALUE"""),"NA")</f>
        <v>NA</v>
      </c>
      <c r="L175" s="20" t="str">
        <f ca="1">IFERROR(__xludf.DUMMYFUNCTION("""COMPUTED_VALUE"""),"NA")</f>
        <v>NA</v>
      </c>
      <c r="M175" s="20" t="str">
        <f ca="1">IFERROR(__xludf.DUMMYFUNCTION("""COMPUTED_VALUE"""),"Posición de la colectividad armenia en Córdoba en relación al conflicto de Nagorno Karabaj.")</f>
        <v>Posición de la colectividad armenia en Córdoba en relación al conflicto de Nagorno Karabaj.</v>
      </c>
      <c r="N175" s="20" t="str">
        <f ca="1">IFERROR(__xludf.DUMMYFUNCTION("""COMPUTED_VALUE"""),"NA")</f>
        <v>NA</v>
      </c>
      <c r="O175" s="20" t="str">
        <f ca="1">IFERROR(__xludf.DUMMYFUNCTION("""COMPUTED_VALUE"""),"SI")</f>
        <v>SI</v>
      </c>
      <c r="P175" s="20">
        <f ca="1">IFERROR(__xludf.DUMMYFUNCTION("""COMPUTED_VALUE"""),1)</f>
        <v>1</v>
      </c>
      <c r="Q175" s="113" t="str">
        <f ca="1">IFERROR(__xludf.DUMMYFUNCTION("""COMPUTED_VALUE"""),"https://gld.legislaturacba.gob.ar/_cdd/api/Documento/descargar?guid=4f0bb7fc-be61-4585-9f56-f92d71a6c787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v>
      </c>
      <c r="R175" s="113" t="str">
        <f ca="1">IFERROR(__xludf.DUMMYFUNCTION("""COMPUTED_VALUE"""),"https://www.youtube.com/watch?v=UZN6o6zQRIU")</f>
        <v>https://www.youtube.com/watch?v=UZN6o6zQRIU</v>
      </c>
      <c r="S175" s="113" t="str">
        <f ca="1">IFERROR(__xludf.DUMMYFUNCTION("""COMPUTED_VALUE"""),"https://gld.legislaturacba.gob.ar/Publics/Actas.aspx?id=cJxDuKjiino=")</f>
        <v>https://gld.legislaturacba.gob.ar/Publics/Actas.aspx?id=cJxDuKjiino=</v>
      </c>
      <c r="T175" s="99">
        <f t="shared" ca="1" si="0"/>
        <v>0</v>
      </c>
    </row>
    <row r="176" spans="1:20">
      <c r="A176" s="20">
        <f ca="1">IFERROR(__xludf.DUMMYFUNCTION("""COMPUTED_VALUE"""),175)</f>
        <v>175</v>
      </c>
      <c r="B176" s="20">
        <f ca="1">IFERROR(__xludf.DUMMYFUNCTION("""COMPUTED_VALUE"""),2020)</f>
        <v>2020</v>
      </c>
      <c r="C176" s="20" t="str">
        <f ca="1">IFERROR(__xludf.DUMMYFUNCTION("""COMPUTED_VALUE"""),"VIRTUAL")</f>
        <v>VIRTUAL</v>
      </c>
      <c r="D176" s="96">
        <f ca="1">IFERROR(__xludf.DUMMYFUNCTION("""COMPUTED_VALUE"""),44131)</f>
        <v>44131</v>
      </c>
      <c r="E176" s="20" t="str">
        <f ca="1">IFERROR(__xludf.DUMMYFUNCTION("""COMPUTED_VALUE"""),"SI")</f>
        <v>SI</v>
      </c>
      <c r="F176" s="20" t="str">
        <f ca="1">IFERROR(__xludf.DUMMYFUNCTION("""COMPUTED_VALUE"""),"EQUIDAD Y LUCHA CONTRA LA VIOLENCIA DE GÉNERO;LEGISLACIÓN GENERAL")</f>
        <v>EQUIDAD Y LUCHA CONTRA LA VIOLENCIA DE GÉNERO;LEGISLACIÓN GENERAL</v>
      </c>
      <c r="G176" s="20">
        <f ca="1">IFERROR(__xludf.DUMMYFUNCTION("""COMPUTED_VALUE"""),2)</f>
        <v>2</v>
      </c>
      <c r="H176" s="20">
        <f ca="1">IFERROR(__xludf.DUMMYFUNCTION("""COMPUTED_VALUE"""),1)</f>
        <v>1</v>
      </c>
      <c r="I176" s="20">
        <f ca="1">IFERROR(__xludf.DUMMYFUNCTION("""COMPUTED_VALUE"""),1)</f>
        <v>1</v>
      </c>
      <c r="J176" s="20" t="str">
        <f ca="1">IFERROR(__xludf.DUMMYFUNCTION("""COMPUTED_VALUE"""),"Ley")</f>
        <v>Ley</v>
      </c>
      <c r="K176" s="20">
        <f ca="1">IFERROR(__xludf.DUMMYFUNCTION("""COMPUTED_VALUE"""),31456)</f>
        <v>31456</v>
      </c>
      <c r="L176" s="20" t="str">
        <f ca="1">IFERROR(__xludf.DUMMYFUNCTION("""COMPUTED_VALUE"""),"Poder Legislativo Provincial")</f>
        <v>Poder Legislativo Provincial</v>
      </c>
      <c r="M176" s="20" t="str">
        <f ca="1">IFERROR(__xludf.DUMMYFUNCTION("""COMPUTED_VALUE"""),"Proyecto de Ley 31456/L/20, iniciado por los legisladores Basualdo, Rinaldi, Busso, Blangino y Guirardelli, promoviendo el principio de equidad de género en la composición de los órganos de administración y fiscalización de las personas jurídicas privadas"&amp;" cuyo domicilio legal se encuentre radicado en la Provincia de Córdoba y que se encuentren sujetas a la fiscalización de la Dirección General de Inspección de Personas Jurídicas dependiente del Ministerio de Finanzas.")</f>
        <v>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v>
      </c>
      <c r="N176" s="20" t="str">
        <f ca="1">IFERROR(__xludf.DUMMYFUNCTION("""COMPUTED_VALUE"""),"NO")</f>
        <v>NO</v>
      </c>
      <c r="O176" s="20" t="str">
        <f ca="1">IFERROR(__xludf.DUMMYFUNCTION("""COMPUTED_VALUE"""),"NO")</f>
        <v>NO</v>
      </c>
      <c r="P176" s="20">
        <f ca="1">IFERROR(__xludf.DUMMYFUNCTION("""COMPUTED_VALUE"""),0)</f>
        <v>0</v>
      </c>
      <c r="Q176" s="113" t="str">
        <f ca="1">IFERROR(__xludf.DUMMYFUNCTION("""COMPUTED_VALUE"""),"https://gld.legislaturacba.gob.ar/_cdd/api/Documento/descargar?guid=5d8a8ccc-d90f-42c6-b372-cd9198188c9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v>
      </c>
      <c r="R176" s="20" t="str">
        <f ca="1">IFERROR(__xludf.DUMMYFUNCTION("""COMPUTED_VALUE"""),"NA")</f>
        <v>NA</v>
      </c>
      <c r="S176" s="113" t="str">
        <f ca="1">IFERROR(__xludf.DUMMYFUNCTION("""COMPUTED_VALUE"""),"https://gld.legislaturacba.gob.ar/Publics/Actas.aspx?id=pz23WaaTfbI=;https://gld.legislaturacba.gob.ar/Publics/Actas.aspx?id=QldnPW4oqwg=")</f>
        <v>https://gld.legislaturacba.gob.ar/Publics/Actas.aspx?id=pz23WaaTfbI=;https://gld.legislaturacba.gob.ar/Publics/Actas.aspx?id=QldnPW4oqwg=</v>
      </c>
      <c r="T176" s="99">
        <f t="shared" ca="1" si="0"/>
        <v>0</v>
      </c>
    </row>
    <row r="177" spans="1:20">
      <c r="A177" s="20">
        <f ca="1">IFERROR(__xludf.DUMMYFUNCTION("""COMPUTED_VALUE"""),176)</f>
        <v>176</v>
      </c>
      <c r="B177" s="20">
        <f ca="1">IFERROR(__xludf.DUMMYFUNCTION("""COMPUTED_VALUE"""),2020)</f>
        <v>2020</v>
      </c>
      <c r="C177" s="20" t="str">
        <f ca="1">IFERROR(__xludf.DUMMYFUNCTION("""COMPUTED_VALUE"""),"VIRTUAL")</f>
        <v>VIRTUAL</v>
      </c>
      <c r="D177" s="96">
        <f ca="1">IFERROR(__xludf.DUMMYFUNCTION("""COMPUTED_VALUE"""),44131)</f>
        <v>44131</v>
      </c>
      <c r="E177" s="20" t="str">
        <f ca="1">IFERROR(__xludf.DUMMYFUNCTION("""COMPUTED_VALUE"""),"NO")</f>
        <v>NO</v>
      </c>
      <c r="F177" s="20" t="str">
        <f ca="1">IFERROR(__xludf.DUMMYFUNCTION("""COMPUTED_VALUE"""),"DEPORTES Y RECREACIÓN")</f>
        <v>DEPORTES Y RECREACIÓN</v>
      </c>
      <c r="G177" s="20">
        <f ca="1">IFERROR(__xludf.DUMMYFUNCTION("""COMPUTED_VALUE"""),1)</f>
        <v>1</v>
      </c>
      <c r="H177" s="20">
        <f ca="1">IFERROR(__xludf.DUMMYFUNCTION("""COMPUTED_VALUE"""),1)</f>
        <v>1</v>
      </c>
      <c r="I177" s="20">
        <f ca="1">IFERROR(__xludf.DUMMYFUNCTION("""COMPUTED_VALUE"""),1)</f>
        <v>1</v>
      </c>
      <c r="J177" s="20" t="str">
        <f ca="1">IFERROR(__xludf.DUMMYFUNCTION("""COMPUTED_VALUE"""),"Resolución")</f>
        <v>Resolución</v>
      </c>
      <c r="K177" s="20">
        <f ca="1">IFERROR(__xludf.DUMMYFUNCTION("""COMPUTED_VALUE"""),30824)</f>
        <v>30824</v>
      </c>
      <c r="L177" s="20" t="str">
        <f ca="1">IFERROR(__xludf.DUMMYFUNCTION("""COMPUTED_VALUE"""),"Poder Legislativo Provincial")</f>
        <v>Poder Legislativo Provincial</v>
      </c>
      <c r="M177" s="20" t="str">
        <f ca="1">IFERROR(__xludf.DUMMYFUNCTION("""COMPUTED_VALUE"""),"Proyecto de Resolución 30824/R/20, iniciado por el Bloque Encuentro Vecinal Córdoba, solicitando al Poder Ejecutivo informe a través de la Agencia Córdoba Joven, acerca de algunas cuestiones vinculadas al subprograma “Club del Pedal”. Anteproyecto Código "&amp;"de Convivencia en Espectáculos Deportivos de la Provincia de Córdoba.")</f>
        <v>Proyecto de Resolución 30824/R/20, iniciado por el Bloque Encuentro Vecinal Córdoba, solicitando al Poder Ejecutivo informe a través de la Agencia Córdoba Joven, acerca de algunas cuestiones vinculadas al subprograma “Club del Pedal”. Anteproyecto Código de Convivencia en Espectáculos Deportivos de la Provincia de Córdoba.</v>
      </c>
      <c r="N177" s="20" t="str">
        <f ca="1">IFERROR(__xludf.DUMMYFUNCTION("""COMPUTED_VALUE"""),"NO")</f>
        <v>NO</v>
      </c>
      <c r="O177" s="20" t="str">
        <f ca="1">IFERROR(__xludf.DUMMYFUNCTION("""COMPUTED_VALUE"""),"NO")</f>
        <v>NO</v>
      </c>
      <c r="P177" s="20">
        <f ca="1">IFERROR(__xludf.DUMMYFUNCTION("""COMPUTED_VALUE"""),0)</f>
        <v>0</v>
      </c>
      <c r="Q177" s="113" t="str">
        <f ca="1">IFERROR(__xludf.DUMMYFUNCTION("""COMPUTED_VALUE"""),"https://gld.legislaturacba.gob.ar/_cdd/api/Documento/descargar?guid=1affea19-fb57-4509-b6e1-60a32265f4e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v>
      </c>
      <c r="R177" s="20" t="str">
        <f ca="1">IFERROR(__xludf.DUMMYFUNCTION("""COMPUTED_VALUE"""),"NA")</f>
        <v>NA</v>
      </c>
      <c r="S177" s="113" t="str">
        <f ca="1">IFERROR(__xludf.DUMMYFUNCTION("""COMPUTED_VALUE"""),"https://gld.legislaturacba.gob.ar/Publics/Actas.aspx?id=aZHayzf7rhc=")</f>
        <v>https://gld.legislaturacba.gob.ar/Publics/Actas.aspx?id=aZHayzf7rhc=</v>
      </c>
      <c r="T177" s="99">
        <f t="shared" ca="1" si="0"/>
        <v>0</v>
      </c>
    </row>
    <row r="178" spans="1:20">
      <c r="A178" s="20">
        <f ca="1">IFERROR(__xludf.DUMMYFUNCTION("""COMPUTED_VALUE"""),177)</f>
        <v>177</v>
      </c>
      <c r="B178" s="20">
        <f ca="1">IFERROR(__xludf.DUMMYFUNCTION("""COMPUTED_VALUE"""),2020)</f>
        <v>2020</v>
      </c>
      <c r="C178" s="20" t="str">
        <f ca="1">IFERROR(__xludf.DUMMYFUNCTION("""COMPUTED_VALUE"""),"VIRTUAL")</f>
        <v>VIRTUAL</v>
      </c>
      <c r="D178" s="96">
        <f ca="1">IFERROR(__xludf.DUMMYFUNCTION("""COMPUTED_VALUE"""),44133)</f>
        <v>44133</v>
      </c>
      <c r="E178" s="20" t="str">
        <f ca="1">IFERROR(__xludf.DUMMYFUNCTION("""COMPUTED_VALUE"""),"NO")</f>
        <v>NO</v>
      </c>
      <c r="F178" s="20" t="str">
        <f ca="1">IFERROR(__xludf.DUMMYFUNCTION("""COMPUTED_VALUE"""),"ECONOMÍA SOCIAL, COOPERATIVAS Y MUTUALES")</f>
        <v>ECONOMÍA SOCIAL, COOPERATIVAS Y MUTUALES</v>
      </c>
      <c r="G178" s="20">
        <f ca="1">IFERROR(__xludf.DUMMYFUNCTION("""COMPUTED_VALUE"""),1)</f>
        <v>1</v>
      </c>
      <c r="H178" s="20">
        <f ca="1">IFERROR(__xludf.DUMMYFUNCTION("""COMPUTED_VALUE"""),1)</f>
        <v>1</v>
      </c>
      <c r="I178" s="20">
        <f ca="1">IFERROR(__xludf.DUMMYFUNCTION("""COMPUTED_VALUE"""),1)</f>
        <v>1</v>
      </c>
      <c r="J178" s="20" t="str">
        <f ca="1">IFERROR(__xludf.DUMMYFUNCTION("""COMPUTED_VALUE"""),"NC")</f>
        <v>NC</v>
      </c>
      <c r="K178" s="20" t="str">
        <f ca="1">IFERROR(__xludf.DUMMYFUNCTION("""COMPUTED_VALUE"""),"NA")</f>
        <v>NA</v>
      </c>
      <c r="L178" s="20" t="str">
        <f ca="1">IFERROR(__xludf.DUMMYFUNCTION("""COMPUTED_VALUE"""),"NA")</f>
        <v>NA</v>
      </c>
      <c r="M178" s="20" t="str">
        <f ca="1">IFERROR(__xludf.DUMMYFUNCTION("""COMPUTED_VALUE"""),"Estado del sector y distintos lineamientos impulsados por la Subsecretaría de Cooperativas y Mutuales.")</f>
        <v>Estado del sector y distintos lineamientos impulsados por la Subsecretaría de Cooperativas y Mutuales.</v>
      </c>
      <c r="N178" s="20" t="str">
        <f ca="1">IFERROR(__xludf.DUMMYFUNCTION("""COMPUTED_VALUE"""),"NA")</f>
        <v>NA</v>
      </c>
      <c r="O178" s="20" t="str">
        <f ca="1">IFERROR(__xludf.DUMMYFUNCTION("""COMPUTED_VALUE"""),"SI")</f>
        <v>SI</v>
      </c>
      <c r="P178" s="20">
        <f ca="1">IFERROR(__xludf.DUMMYFUNCTION("""COMPUTED_VALUE"""),1)</f>
        <v>1</v>
      </c>
      <c r="Q178" s="113" t="str">
        <f ca="1">IFERROR(__xludf.DUMMYFUNCTION("""COMPUTED_VALUE"""),"https://gld.legislaturacba.gob.ar/_cdd/api/Documento/descargar?guid=079e6cee-df0a-4098-9137-61d54b51fe94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v>
      </c>
      <c r="R178" s="113" t="str">
        <f ca="1">IFERROR(__xludf.DUMMYFUNCTION("""COMPUTED_VALUE"""),"https://www.youtube.com/watch?v=wIgoO7ogfEc")</f>
        <v>https://www.youtube.com/watch?v=wIgoO7ogfEc</v>
      </c>
      <c r="S178" s="113" t="str">
        <f ca="1">IFERROR(__xludf.DUMMYFUNCTION("""COMPUTED_VALUE"""),"https://gld.legislaturacba.gob.ar/Publics/Actas.aspx?id=2xGPeo0MNDM=")</f>
        <v>https://gld.legislaturacba.gob.ar/Publics/Actas.aspx?id=2xGPeo0MNDM=</v>
      </c>
      <c r="T178" s="99">
        <f t="shared" ca="1" si="0"/>
        <v>0</v>
      </c>
    </row>
    <row r="179" spans="1:20">
      <c r="A179" s="20">
        <f ca="1">IFERROR(__xludf.DUMMYFUNCTION("""COMPUTED_VALUE"""),178)</f>
        <v>178</v>
      </c>
      <c r="B179" s="20">
        <f ca="1">IFERROR(__xludf.DUMMYFUNCTION("""COMPUTED_VALUE"""),2020)</f>
        <v>2020</v>
      </c>
      <c r="C179" s="20" t="str">
        <f ca="1">IFERROR(__xludf.DUMMYFUNCTION("""COMPUTED_VALUE"""),"VIRTUAL")</f>
        <v>VIRTUAL</v>
      </c>
      <c r="D179" s="96">
        <f ca="1">IFERROR(__xludf.DUMMYFUNCTION("""COMPUTED_VALUE"""),44133)</f>
        <v>44133</v>
      </c>
      <c r="E179" s="20" t="str">
        <f ca="1">IFERROR(__xludf.DUMMYFUNCTION("""COMPUTED_VALUE"""),"NO")</f>
        <v>NO</v>
      </c>
      <c r="F179" s="20" t="str">
        <f ca="1">IFERROR(__xludf.DUMMYFUNCTION("""COMPUTED_VALUE"""),"ECONOMÍA, PRESUPUESTO, GESTIÓN PÚBLICA E INNOVACIÓN")</f>
        <v>ECONOMÍA, PRESUPUESTO, GESTIÓN PÚBLICA E INNOVACIÓN</v>
      </c>
      <c r="G179" s="20">
        <f ca="1">IFERROR(__xludf.DUMMYFUNCTION("""COMPUTED_VALUE"""),1)</f>
        <v>1</v>
      </c>
      <c r="H179" s="20">
        <f ca="1">IFERROR(__xludf.DUMMYFUNCTION("""COMPUTED_VALUE"""),1)</f>
        <v>1</v>
      </c>
      <c r="I179" s="20">
        <f ca="1">IFERROR(__xludf.DUMMYFUNCTION("""COMPUTED_VALUE"""),1)</f>
        <v>1</v>
      </c>
      <c r="J179" s="20" t="str">
        <f ca="1">IFERROR(__xludf.DUMMYFUNCTION("""COMPUTED_VALUE"""),"NC")</f>
        <v>NC</v>
      </c>
      <c r="K179" s="20" t="str">
        <f ca="1">IFERROR(__xludf.DUMMYFUNCTION("""COMPUTED_VALUE"""),"NA")</f>
        <v>NA</v>
      </c>
      <c r="L179" s="20" t="str">
        <f ca="1">IFERROR(__xludf.DUMMYFUNCTION("""COMPUTED_VALUE"""),"NA")</f>
        <v>NA</v>
      </c>
      <c r="M179" s="20" t="str">
        <f ca="1">IFERROR(__xludf.DUMMYFUNCTION("""COMPUTED_VALUE"""),"Resoluciones del ejecutivo aprobando reestructuración del Presupuesto General de la Administración Provincial para el año 2020, y modificando asignaciones de Recursos Financieros.")</f>
        <v>Resoluciones del ejecutivo aprobando reestructuración del Presupuesto General de la Administración Provincial para el año 2020, y modificando asignaciones de Recursos Financieros.</v>
      </c>
      <c r="N179" s="20" t="str">
        <f ca="1">IFERROR(__xludf.DUMMYFUNCTION("""COMPUTED_VALUE"""),"NA")</f>
        <v>NA</v>
      </c>
      <c r="O179" s="20" t="str">
        <f ca="1">IFERROR(__xludf.DUMMYFUNCTION("""COMPUTED_VALUE"""),"NO")</f>
        <v>NO</v>
      </c>
      <c r="P179" s="20">
        <f ca="1">IFERROR(__xludf.DUMMYFUNCTION("""COMPUTED_VALUE"""),0)</f>
        <v>0</v>
      </c>
      <c r="Q179" s="113" t="str">
        <f ca="1">IFERROR(__xludf.DUMMYFUNCTION("""COMPUTED_VALUE"""),"https://gld.legislaturacba.gob.ar/_cdd/api/Documento/descargar?guid=72dccb8f-cfe0-4cf9-9f51-545dd9b6846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v>
      </c>
      <c r="R179" s="20" t="str">
        <f ca="1">IFERROR(__xludf.DUMMYFUNCTION("""COMPUTED_VALUE"""),"NA")</f>
        <v>NA</v>
      </c>
      <c r="S179" s="113" t="str">
        <f ca="1">IFERROR(__xludf.DUMMYFUNCTION("""COMPUTED_VALUE"""),"https://gld.legislaturacba.gob.ar/Publics/Actas.aspx?id=MK6iu-zNF6c=")</f>
        <v>https://gld.legislaturacba.gob.ar/Publics/Actas.aspx?id=MK6iu-zNF6c=</v>
      </c>
      <c r="T179" s="99">
        <f t="shared" ca="1" si="0"/>
        <v>0</v>
      </c>
    </row>
    <row r="180" spans="1:20">
      <c r="A180" s="20">
        <f ca="1">IFERROR(__xludf.DUMMYFUNCTION("""COMPUTED_VALUE"""),179)</f>
        <v>179</v>
      </c>
      <c r="B180" s="20">
        <f ca="1">IFERROR(__xludf.DUMMYFUNCTION("""COMPUTED_VALUE"""),2020)</f>
        <v>2020</v>
      </c>
      <c r="C180" s="20" t="str">
        <f ca="1">IFERROR(__xludf.DUMMYFUNCTION("""COMPUTED_VALUE"""),"VIRTUAL")</f>
        <v>VIRTUAL</v>
      </c>
      <c r="D180" s="96">
        <f ca="1">IFERROR(__xludf.DUMMYFUNCTION("""COMPUTED_VALUE"""),44138)</f>
        <v>44138</v>
      </c>
      <c r="E180" s="20" t="str">
        <f ca="1">IFERROR(__xludf.DUMMYFUNCTION("""COMPUTED_VALUE"""),"SI")</f>
        <v>SI</v>
      </c>
      <c r="F180" s="20" t="str">
        <f ca="1">IFERROR(__xludf.DUMMYFUNCTION("""COMPUTED_VALUE"""),"INDUSTRIA Y MINERÍA;PROMOCIÓN Y DESARROLLO DE ECONOMÍAS REGIONALES Y PYMES;ECONOMÍA, PRESUPUESTO, GESTIÓN PÚBLICA E INNOVACIÓN")</f>
        <v>INDUSTRIA Y MINERÍA;PROMOCIÓN Y DESARROLLO DE ECONOMÍAS REGIONALES Y PYMES;ECONOMÍA, PRESUPUESTO, GESTIÓN PÚBLICA E INNOVACIÓN</v>
      </c>
      <c r="G180" s="20">
        <f ca="1">IFERROR(__xludf.DUMMYFUNCTION("""COMPUTED_VALUE"""),3)</f>
        <v>3</v>
      </c>
      <c r="H180" s="20">
        <f ca="1">IFERROR(__xludf.DUMMYFUNCTION("""COMPUTED_VALUE"""),1)</f>
        <v>1</v>
      </c>
      <c r="I180" s="20">
        <f ca="1">IFERROR(__xludf.DUMMYFUNCTION("""COMPUTED_VALUE"""),1)</f>
        <v>1</v>
      </c>
      <c r="J180" s="20" t="str">
        <f ca="1">IFERROR(__xludf.DUMMYFUNCTION("""COMPUTED_VALUE"""),"Ley")</f>
        <v>Ley</v>
      </c>
      <c r="K180" s="20">
        <f ca="1">IFERROR(__xludf.DUMMYFUNCTION("""COMPUTED_VALUE"""),30700)</f>
        <v>30700</v>
      </c>
      <c r="L180" s="20" t="str">
        <f ca="1">IFERROR(__xludf.DUMMYFUNCTION("""COMPUTED_VALUE"""),"Poder Legislativo Provincial")</f>
        <v>Poder Legislativo Provincial</v>
      </c>
      <c r="M180" s="20" t="str">
        <f ca="1">IFERROR(__xludf.DUMMYFUNCTION("""COMPUTED_VALUE"""),"Proyecto de Ley 30700/L/20, iniciado por el Leg. Arduh, sustituyendo el Art. 19 de la Ley de Parques Industriales Nº 7255 aplicando la exención directa de Ingresos Brutos, Impuesto Inmobiliario e Impuestos a los Sellos por el término de cinco años a todas"&amp;" las industrias y empresas que se radiquen en un Parque Industrial.")</f>
        <v>Proyecto de Ley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v>
      </c>
      <c r="N180" s="20" t="str">
        <f ca="1">IFERROR(__xludf.DUMMYFUNCTION("""COMPUTED_VALUE"""),"SI")</f>
        <v>SI</v>
      </c>
      <c r="O180" s="20" t="str">
        <f ca="1">IFERROR(__xludf.DUMMYFUNCTION("""COMPUTED_VALUE"""),"NO")</f>
        <v>NO</v>
      </c>
      <c r="P180" s="20">
        <f ca="1">IFERROR(__xludf.DUMMYFUNCTION("""COMPUTED_VALUE"""),0)</f>
        <v>0</v>
      </c>
      <c r="Q180" s="113" t="str">
        <f ca="1">IFERROR(__xludf.DUMMYFUNCTION("""COMPUTED_VALUE"""),"https://gld.legislaturacba.gob.ar/_cdd/api/Documento/descargar?guid=52e81c13-5362-4948-9afb-89fc0dbadeeb&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v>
      </c>
      <c r="R180" s="113" t="str">
        <f ca="1">IFERROR(__xludf.DUMMYFUNCTION("""COMPUTED_VALUE"""),"https://www.youtube.com/watch?v=XcMWuIIJoSY")</f>
        <v>https://www.youtube.com/watch?v=XcMWuIIJoSY</v>
      </c>
      <c r="S180" s="113" t="str">
        <f ca="1">IFERROR(__xludf.DUMMYFUNCTION("""COMPUTED_VALUE"""),"https://gld.legislaturacba.gob.ar/Publics/Actas.aspx?id=VjF6bCL4Ozc=;https://gld.legislaturacba.gob.ar/Publics/Actas.aspx?id=2uK-5ZPOm2Y=;https://gld.legislaturacba.gob.ar/Publics/Actas.aspx?id=_sQrrasnI1M=")</f>
        <v>https://gld.legislaturacba.gob.ar/Publics/Actas.aspx?id=VjF6bCL4Ozc=;https://gld.legislaturacba.gob.ar/Publics/Actas.aspx?id=2uK-5ZPOm2Y=;https://gld.legislaturacba.gob.ar/Publics/Actas.aspx?id=_sQrrasnI1M=</v>
      </c>
      <c r="T180" s="99">
        <f t="shared" ca="1" si="0"/>
        <v>0</v>
      </c>
    </row>
    <row r="181" spans="1:20">
      <c r="A181" s="20">
        <f ca="1">IFERROR(__xludf.DUMMYFUNCTION("""COMPUTED_VALUE"""),180)</f>
        <v>180</v>
      </c>
      <c r="B181" s="20">
        <f ca="1">IFERROR(__xludf.DUMMYFUNCTION("""COMPUTED_VALUE"""),2020)</f>
        <v>2020</v>
      </c>
      <c r="C181" s="20" t="str">
        <f ca="1">IFERROR(__xludf.DUMMYFUNCTION("""COMPUTED_VALUE"""),"VIRTUAL")</f>
        <v>VIRTUAL</v>
      </c>
      <c r="D181" s="96">
        <f ca="1">IFERROR(__xludf.DUMMYFUNCTION("""COMPUTED_VALUE"""),44138)</f>
        <v>44138</v>
      </c>
      <c r="E181" s="20" t="str">
        <f ca="1">IFERROR(__xludf.DUMMYFUNCTION("""COMPUTED_VALUE"""),"NO")</f>
        <v>NO</v>
      </c>
      <c r="F181" s="20" t="str">
        <f ca="1">IFERROR(__xludf.DUMMYFUNCTION("""COMPUTED_VALUE"""),"DEPORTES Y RECREACIÓN")</f>
        <v>DEPORTES Y RECREACIÓN</v>
      </c>
      <c r="G181" s="20">
        <f ca="1">IFERROR(__xludf.DUMMYFUNCTION("""COMPUTED_VALUE"""),1)</f>
        <v>1</v>
      </c>
      <c r="H181" s="20">
        <f ca="1">IFERROR(__xludf.DUMMYFUNCTION("""COMPUTED_VALUE"""),1)</f>
        <v>1</v>
      </c>
      <c r="I181" s="20">
        <f ca="1">IFERROR(__xludf.DUMMYFUNCTION("""COMPUTED_VALUE"""),1)</f>
        <v>1</v>
      </c>
      <c r="J181" s="20" t="str">
        <f ca="1">IFERROR(__xludf.DUMMYFUNCTION("""COMPUTED_VALUE"""),"NC")</f>
        <v>NC</v>
      </c>
      <c r="K181" s="20" t="str">
        <f ca="1">IFERROR(__xludf.DUMMYFUNCTION("""COMPUTED_VALUE"""),"NA")</f>
        <v>NA</v>
      </c>
      <c r="L181" s="20" t="str">
        <f ca="1">IFERROR(__xludf.DUMMYFUNCTION("""COMPUTED_VALUE"""),"NA")</f>
        <v>NA</v>
      </c>
      <c r="M181" s="20" t="str">
        <f ca="1">IFERROR(__xludf.DUMMYFUNCTION("""COMPUTED_VALUE"""),"Anteproyecto Código de Convivencia en Espectáculos Deportivos de la Provincia de Córdoba.")</f>
        <v>Anteproyecto Código de Convivencia en Espectáculos Deportivos de la Provincia de Córdoba.</v>
      </c>
      <c r="N181" s="20" t="str">
        <f ca="1">IFERROR(__xludf.DUMMYFUNCTION("""COMPUTED_VALUE"""),"NA")</f>
        <v>NA</v>
      </c>
      <c r="O181" s="20" t="str">
        <f ca="1">IFERROR(__xludf.DUMMYFUNCTION("""COMPUTED_VALUE"""),"NO")</f>
        <v>NO</v>
      </c>
      <c r="P181" s="20">
        <f ca="1">IFERROR(__xludf.DUMMYFUNCTION("""COMPUTED_VALUE"""),0)</f>
        <v>0</v>
      </c>
      <c r="Q181" s="113" t="str">
        <f ca="1">IFERROR(__xludf.DUMMYFUNCTION("""COMPUTED_VALUE"""),"https://gld.legislaturacba.gob.ar/_cdd/api/Documento/descargar?guid=5ce87290-5043-464c-a23f-fa3dbdb512c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v>
      </c>
      <c r="R181" s="113" t="str">
        <f ca="1">IFERROR(__xludf.DUMMYFUNCTION("""COMPUTED_VALUE"""),"https://www.youtube.com/watch?v=_8-BA5ti370")</f>
        <v>https://www.youtube.com/watch?v=_8-BA5ti370</v>
      </c>
      <c r="S181" s="113" t="str">
        <f ca="1">IFERROR(__xludf.DUMMYFUNCTION("""COMPUTED_VALUE"""),"https://gld.legislaturacba.gob.ar/Publics/Actas.aspx?id=gY-mkOp6Dm0=")</f>
        <v>https://gld.legislaturacba.gob.ar/Publics/Actas.aspx?id=gY-mkOp6Dm0=</v>
      </c>
      <c r="T181" s="99">
        <f t="shared" ca="1" si="0"/>
        <v>0</v>
      </c>
    </row>
    <row r="182" spans="1:20">
      <c r="A182" s="20">
        <f ca="1">IFERROR(__xludf.DUMMYFUNCTION("""COMPUTED_VALUE"""),181)</f>
        <v>181</v>
      </c>
      <c r="B182" s="20">
        <f ca="1">IFERROR(__xludf.DUMMYFUNCTION("""COMPUTED_VALUE"""),2020)</f>
        <v>2020</v>
      </c>
      <c r="C182" s="20" t="str">
        <f ca="1">IFERROR(__xludf.DUMMYFUNCTION("""COMPUTED_VALUE"""),"VIRTUAL")</f>
        <v>VIRTUAL</v>
      </c>
      <c r="D182" s="96">
        <f ca="1">IFERROR(__xludf.DUMMYFUNCTION("""COMPUTED_VALUE"""),44138)</f>
        <v>44138</v>
      </c>
      <c r="E182" s="20" t="str">
        <f ca="1">IFERROR(__xludf.DUMMYFUNCTION("""COMPUTED_VALUE"""),"NO")</f>
        <v>NO</v>
      </c>
      <c r="F182" s="20" t="str">
        <f ca="1">IFERROR(__xludf.DUMMYFUNCTION("""COMPUTED_VALUE"""),"RELACIONES INTERNACIONALES, MERCOSUR Y COMERCIO EXTERIOR")</f>
        <v>RELACIONES INTERNACIONALES, MERCOSUR Y COMERCIO EXTERIOR</v>
      </c>
      <c r="G182" s="20">
        <f ca="1">IFERROR(__xludf.DUMMYFUNCTION("""COMPUTED_VALUE"""),1)</f>
        <v>1</v>
      </c>
      <c r="H182" s="20">
        <f ca="1">IFERROR(__xludf.DUMMYFUNCTION("""COMPUTED_VALUE"""),1)</f>
        <v>1</v>
      </c>
      <c r="I182" s="20">
        <f ca="1">IFERROR(__xludf.DUMMYFUNCTION("""COMPUTED_VALUE"""),1)</f>
        <v>1</v>
      </c>
      <c r="J182" s="20" t="str">
        <f ca="1">IFERROR(__xludf.DUMMYFUNCTION("""COMPUTED_VALUE"""),"NC")</f>
        <v>NC</v>
      </c>
      <c r="K182" s="20" t="str">
        <f ca="1">IFERROR(__xludf.DUMMYFUNCTION("""COMPUTED_VALUE"""),"NA")</f>
        <v>NA</v>
      </c>
      <c r="L182" s="20" t="str">
        <f ca="1">IFERROR(__xludf.DUMMYFUNCTION("""COMPUTED_VALUE"""),"NA")</f>
        <v>NA</v>
      </c>
      <c r="M182" s="20" t="str">
        <f ca="1">IFERROR(__xludf.DUMMYFUNCTION("""COMPUTED_VALUE"""),"Anteproyecto de resolución respecto al conflicto de Artsaj (ex Nagorno Karabagh).")</f>
        <v>Anteproyecto de resolución respecto al conflicto de Artsaj (ex Nagorno Karabagh).</v>
      </c>
      <c r="N182" s="20" t="str">
        <f ca="1">IFERROR(__xludf.DUMMYFUNCTION("""COMPUTED_VALUE"""),"NA")</f>
        <v>NA</v>
      </c>
      <c r="O182" s="20" t="str">
        <f ca="1">IFERROR(__xludf.DUMMYFUNCTION("""COMPUTED_VALUE"""),"NO")</f>
        <v>NO</v>
      </c>
      <c r="P182" s="20">
        <f ca="1">IFERROR(__xludf.DUMMYFUNCTION("""COMPUTED_VALUE"""),0)</f>
        <v>0</v>
      </c>
      <c r="Q182" s="113" t="str">
        <f ca="1">IFERROR(__xludf.DUMMYFUNCTION("""COMPUTED_VALUE"""),"https://gld.legislaturacba.gob.ar/_cdd/api/Documento/descargar?guid=d0fc9418-790c-4a0e-a965-619db5361cc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v>
      </c>
      <c r="R182" s="113" t="str">
        <f ca="1">IFERROR(__xludf.DUMMYFUNCTION("""COMPUTED_VALUE"""),"https://www.youtube.com/watch?v=0vdosNhELQw")</f>
        <v>https://www.youtube.com/watch?v=0vdosNhELQw</v>
      </c>
      <c r="S182" s="113" t="str">
        <f ca="1">IFERROR(__xludf.DUMMYFUNCTION("""COMPUTED_VALUE"""),"https://gld.legislaturacba.gob.ar/Publics/Actas.aspx?id=RTtmy-HbQBc=")</f>
        <v>https://gld.legislaturacba.gob.ar/Publics/Actas.aspx?id=RTtmy-HbQBc=</v>
      </c>
      <c r="T182" s="99">
        <f t="shared" ca="1" si="0"/>
        <v>0</v>
      </c>
    </row>
    <row r="183" spans="1:20">
      <c r="A183" s="20">
        <f ca="1">IFERROR(__xludf.DUMMYFUNCTION("""COMPUTED_VALUE"""),182)</f>
        <v>182</v>
      </c>
      <c r="B183" s="20">
        <f ca="1">IFERROR(__xludf.DUMMYFUNCTION("""COMPUTED_VALUE"""),2020)</f>
        <v>2020</v>
      </c>
      <c r="C183" s="20" t="str">
        <f ca="1">IFERROR(__xludf.DUMMYFUNCTION("""COMPUTED_VALUE"""),"VIRTUAL")</f>
        <v>VIRTUAL</v>
      </c>
      <c r="D183" s="96">
        <f ca="1">IFERROR(__xludf.DUMMYFUNCTION("""COMPUTED_VALUE"""),44140)</f>
        <v>44140</v>
      </c>
      <c r="E183" s="20" t="str">
        <f ca="1">IFERROR(__xludf.DUMMYFUNCTION("""COMPUTED_VALUE"""),"NO")</f>
        <v>NO</v>
      </c>
      <c r="F183" s="20" t="str">
        <f ca="1">IFERROR(__xludf.DUMMYFUNCTION("""COMPUTED_VALUE"""),"AMBIENTE")</f>
        <v>AMBIENTE</v>
      </c>
      <c r="G183" s="20">
        <f ca="1">IFERROR(__xludf.DUMMYFUNCTION("""COMPUTED_VALUE"""),1)</f>
        <v>1</v>
      </c>
      <c r="H183" s="20">
        <f ca="1">IFERROR(__xludf.DUMMYFUNCTION("""COMPUTED_VALUE"""),3)</f>
        <v>3</v>
      </c>
      <c r="I183" s="20">
        <f ca="1">IFERROR(__xludf.DUMMYFUNCTION("""COMPUTED_VALUE"""),1)</f>
        <v>1</v>
      </c>
      <c r="J183" s="20" t="str">
        <f ca="1">IFERROR(__xludf.DUMMYFUNCTION("""COMPUTED_VALUE"""),"Resolución")</f>
        <v>Resolución</v>
      </c>
      <c r="K183" s="20">
        <f ca="1">IFERROR(__xludf.DUMMYFUNCTION("""COMPUTED_VALUE"""),30993)</f>
        <v>30993</v>
      </c>
      <c r="L183" s="20" t="str">
        <f ca="1">IFERROR(__xludf.DUMMYFUNCTION("""COMPUTED_VALUE"""),"Poder Legislativo Provincial")</f>
        <v>Poder Legislativo Provincial</v>
      </c>
      <c r="M183" s="20" t="str">
        <f ca="1">IFERROR(__xludf.DUMMYFUNCTION("""COMPUTED_VALUE"""),"Proyecto de Resolución 30993/R/20, iniciado por el legislador Rins, solicitando al Poder Ejecutivo informe sobre algunas de las acciones realizadas en la Reserva Provincial de usos Múltiples Corredor Chocancharava.")</f>
        <v>Proyecto de Resolución 30993/R/20, iniciado por el legislador Rins, solicitando al Poder Ejecutivo informe sobre algunas de las acciones realizadas en la Reserva Provincial de usos Múltiples Corredor Chocancharava.</v>
      </c>
      <c r="N183" s="20" t="str">
        <f ca="1">IFERROR(__xludf.DUMMYFUNCTION("""COMPUTED_VALUE"""),"NO")</f>
        <v>NO</v>
      </c>
      <c r="O183" s="20" t="str">
        <f ca="1">IFERROR(__xludf.DUMMYFUNCTION("""COMPUTED_VALUE"""),"SI")</f>
        <v>SI</v>
      </c>
      <c r="P183" s="20">
        <f ca="1">IFERROR(__xludf.DUMMYFUNCTION("""COMPUTED_VALUE"""),2)</f>
        <v>2</v>
      </c>
      <c r="Q183" s="113" t="str">
        <f ca="1">IFERROR(__xludf.DUMMYFUNCTION("""COMPUTED_VALUE"""),"https://gld.legislaturacba.gob.ar/_cdd/api/Documento/descargar?guid=5d810197-c705-4675-843c-cdfca50c13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v>
      </c>
      <c r="R183" s="113" t="str">
        <f ca="1">IFERROR(__xludf.DUMMYFUNCTION("""COMPUTED_VALUE"""),"https://www.youtube.com/watch?v=qtR9DXq3br8")</f>
        <v>https://www.youtube.com/watch?v=qtR9DXq3br8</v>
      </c>
      <c r="S183" s="113" t="str">
        <f ca="1">IFERROR(__xludf.DUMMYFUNCTION("""COMPUTED_VALUE"""),"https://gld.legislaturacba.gob.ar/Publics/Actas.aspx?id=Tv40g56mTUY=")</f>
        <v>https://gld.legislaturacba.gob.ar/Publics/Actas.aspx?id=Tv40g56mTUY=</v>
      </c>
      <c r="T183" s="99">
        <f t="shared" ca="1" si="0"/>
        <v>0</v>
      </c>
    </row>
    <row r="184" spans="1:20">
      <c r="A184" s="20">
        <f ca="1">IFERROR(__xludf.DUMMYFUNCTION("""COMPUTED_VALUE"""),183)</f>
        <v>183</v>
      </c>
      <c r="B184" s="20">
        <f ca="1">IFERROR(__xludf.DUMMYFUNCTION("""COMPUTED_VALUE"""),2020)</f>
        <v>2020</v>
      </c>
      <c r="C184" s="20" t="str">
        <f ca="1">IFERROR(__xludf.DUMMYFUNCTION("""COMPUTED_VALUE"""),"VIRTUAL")</f>
        <v>VIRTUAL</v>
      </c>
      <c r="D184" s="96">
        <f ca="1">IFERROR(__xludf.DUMMYFUNCTION("""COMPUTED_VALUE"""),44140)</f>
        <v>44140</v>
      </c>
      <c r="E184" s="20" t="str">
        <f ca="1">IFERROR(__xludf.DUMMYFUNCTION("""COMPUTED_VALUE"""),"NO")</f>
        <v>NO</v>
      </c>
      <c r="F184" s="20" t="str">
        <f ca="1">IFERROR(__xludf.DUMMYFUNCTION("""COMPUTED_VALUE"""),"TURISMO Y SU RELACIÓN CON EL DESARROLLO REGIONAL")</f>
        <v>TURISMO Y SU RELACIÓN CON EL DESARROLLO REGIONAL</v>
      </c>
      <c r="G184" s="20">
        <f ca="1">IFERROR(__xludf.DUMMYFUNCTION("""COMPUTED_VALUE"""),1)</f>
        <v>1</v>
      </c>
      <c r="H184" s="20">
        <f ca="1">IFERROR(__xludf.DUMMYFUNCTION("""COMPUTED_VALUE"""),1)</f>
        <v>1</v>
      </c>
      <c r="I184" s="20">
        <f ca="1">IFERROR(__xludf.DUMMYFUNCTION("""COMPUTED_VALUE"""),1)</f>
        <v>1</v>
      </c>
      <c r="J184" s="20" t="str">
        <f ca="1">IFERROR(__xludf.DUMMYFUNCTION("""COMPUTED_VALUE"""),"NC")</f>
        <v>NC</v>
      </c>
      <c r="K184" s="20" t="str">
        <f ca="1">IFERROR(__xludf.DUMMYFUNCTION("""COMPUTED_VALUE"""),"NA")</f>
        <v>NA</v>
      </c>
      <c r="L184" s="20" t="str">
        <f ca="1">IFERROR(__xludf.DUMMYFUNCTION("""COMPUTED_VALUE"""),"NA")</f>
        <v>NA</v>
      </c>
      <c r="M184" s="20" t="str">
        <f ca="1">IFERROR(__xludf.DUMMYFUNCTION("""COMPUTED_VALUE"""),"Actualización de la Ley Nº 8801-Creación del Registro Provincial de Prestadores de Turismo Alternativo-.")</f>
        <v>Actualización de la Ley Nº 8801-Creación del Registro Provincial de Prestadores de Turismo Alternativo-.</v>
      </c>
      <c r="N184" s="20" t="str">
        <f ca="1">IFERROR(__xludf.DUMMYFUNCTION("""COMPUTED_VALUE"""),"NA")</f>
        <v>NA</v>
      </c>
      <c r="O184" s="20" t="str">
        <f ca="1">IFERROR(__xludf.DUMMYFUNCTION("""COMPUTED_VALUE"""),"SI")</f>
        <v>SI</v>
      </c>
      <c r="P184" s="20">
        <f ca="1">IFERROR(__xludf.DUMMYFUNCTION("""COMPUTED_VALUE"""),5)</f>
        <v>5</v>
      </c>
      <c r="Q184" s="113" t="str">
        <f ca="1">IFERROR(__xludf.DUMMYFUNCTION("""COMPUTED_VALUE"""),"https://gld.legislaturacba.gob.ar/_cdd/api/Documento/descargar?guid=ad141100-3566-4810-91cb-ccdaa3d3547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v>
      </c>
      <c r="R184" s="113" t="str">
        <f ca="1">IFERROR(__xludf.DUMMYFUNCTION("""COMPUTED_VALUE"""),"https://www.youtube.com/watch?v=jIoQ5lJ13D4")</f>
        <v>https://www.youtube.com/watch?v=jIoQ5lJ13D4</v>
      </c>
      <c r="S184" s="113" t="str">
        <f ca="1">IFERROR(__xludf.DUMMYFUNCTION("""COMPUTED_VALUE"""),"https://gld.legislaturacba.gob.ar/Publics/Actas.aspx?id=0FJ_2R8fchk=")</f>
        <v>https://gld.legislaturacba.gob.ar/Publics/Actas.aspx?id=0FJ_2R8fchk=</v>
      </c>
      <c r="T184" s="99">
        <f t="shared" ca="1" si="0"/>
        <v>0</v>
      </c>
    </row>
    <row r="185" spans="1:20">
      <c r="A185" s="20">
        <f ca="1">IFERROR(__xludf.DUMMYFUNCTION("""COMPUTED_VALUE"""),184)</f>
        <v>184</v>
      </c>
      <c r="B185" s="20">
        <f ca="1">IFERROR(__xludf.DUMMYFUNCTION("""COMPUTED_VALUE"""),2020)</f>
        <v>2020</v>
      </c>
      <c r="C185" s="20" t="str">
        <f ca="1">IFERROR(__xludf.DUMMYFUNCTION("""COMPUTED_VALUE"""),"VIRTUAL")</f>
        <v>VIRTUAL</v>
      </c>
      <c r="D185" s="96">
        <f ca="1">IFERROR(__xludf.DUMMYFUNCTION("""COMPUTED_VALUE"""),44140)</f>
        <v>44140</v>
      </c>
      <c r="E185" s="20" t="str">
        <f ca="1">IFERROR(__xludf.DUMMYFUNCTION("""COMPUTED_VALUE"""),"SI")</f>
        <v>SI</v>
      </c>
      <c r="F185" s="20" t="str">
        <f ca="1">IFERROR(__xludf.DUMMYFUNCTION("""COMPUTED_VALUE"""),"EQUIDAD Y LUCHA CONTRA LA VIOLENCIA DE GÉNERO;LEGISLACIÓN GENERAL")</f>
        <v>EQUIDAD Y LUCHA CONTRA LA VIOLENCIA DE GÉNERO;LEGISLACIÓN GENERAL</v>
      </c>
      <c r="G185" s="20">
        <f ca="1">IFERROR(__xludf.DUMMYFUNCTION("""COMPUTED_VALUE"""),2)</f>
        <v>2</v>
      </c>
      <c r="H185" s="20">
        <f ca="1">IFERROR(__xludf.DUMMYFUNCTION("""COMPUTED_VALUE"""),1)</f>
        <v>1</v>
      </c>
      <c r="I185" s="20">
        <f ca="1">IFERROR(__xludf.DUMMYFUNCTION("""COMPUTED_VALUE"""),1)</f>
        <v>1</v>
      </c>
      <c r="J185" s="20" t="str">
        <f ca="1">IFERROR(__xludf.DUMMYFUNCTION("""COMPUTED_VALUE"""),"Ley")</f>
        <v>Ley</v>
      </c>
      <c r="K185" s="20">
        <f ca="1">IFERROR(__xludf.DUMMYFUNCTION("""COMPUTED_VALUE"""),31456)</f>
        <v>31456</v>
      </c>
      <c r="L185" s="20" t="str">
        <f ca="1">IFERROR(__xludf.DUMMYFUNCTION("""COMPUTED_VALUE"""),"Poder Legislativo Provincial")</f>
        <v>Poder Legislativo Provincial</v>
      </c>
      <c r="M185" s="20" t="str">
        <f ca="1">IFERROR(__xludf.DUMMYFUNCTION("""COMPUTED_VALUE"""),"Proyecto de Ley 31456/L/20, iniciado por los legisladores Basualdo, Rinaldi, Busso, Blangino y Guirardelli, promoviendo el principio de equidad de género en la composición de los órganos de administración y fiscalización de las personas jurídicas privadas"&amp;" cuyo domicilio legal se encuentre radicado en la Provincia de Córdoba y que se encuentren sujetas a la fiscalización de la Dirección General de Inspección de Personas Jurídicas dependiente del Ministerio de Finanzas.")</f>
        <v>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v>
      </c>
      <c r="N185" s="20" t="str">
        <f ca="1">IFERROR(__xludf.DUMMYFUNCTION("""COMPUTED_VALUE"""),"NO")</f>
        <v>NO</v>
      </c>
      <c r="O185" s="20" t="str">
        <f ca="1">IFERROR(__xludf.DUMMYFUNCTION("""COMPUTED_VALUE"""),"NO")</f>
        <v>NO</v>
      </c>
      <c r="P185" s="20">
        <f ca="1">IFERROR(__xludf.DUMMYFUNCTION("""COMPUTED_VALUE"""),0)</f>
        <v>0</v>
      </c>
      <c r="Q185" s="113" t="str">
        <f ca="1">IFERROR(__xludf.DUMMYFUNCTION("""COMPUTED_VALUE"""),"https://gld.legislaturacba.gob.ar/_cdd/api/Documento/descargar?guid=0dd35323-e00b-41cf-97b2-63afbd55569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v>
      </c>
      <c r="R185" s="113" t="str">
        <f ca="1">IFERROR(__xludf.DUMMYFUNCTION("""COMPUTED_VALUE"""),"https://www.youtube.com/watch?v=qb-Ja3a1XPg")</f>
        <v>https://www.youtube.com/watch?v=qb-Ja3a1XPg</v>
      </c>
      <c r="S185" s="113" t="str">
        <f ca="1">IFERROR(__xludf.DUMMYFUNCTION("""COMPUTED_VALUE"""),"https://gld.legislaturacba.gob.ar/Publics/Actas.aspx?id=ynQnJAklx64=;https://gld.legislaturacba.gob.ar/Publics/Actas.aspx?id=E3_sDBF3_ec=")</f>
        <v>https://gld.legislaturacba.gob.ar/Publics/Actas.aspx?id=ynQnJAklx64=;https://gld.legislaturacba.gob.ar/Publics/Actas.aspx?id=E3_sDBF3_ec=</v>
      </c>
      <c r="T185" s="99">
        <f t="shared" ca="1" si="0"/>
        <v>0</v>
      </c>
    </row>
    <row r="186" spans="1:20">
      <c r="A186" s="20">
        <f ca="1">IFERROR(__xludf.DUMMYFUNCTION("""COMPUTED_VALUE"""),185)</f>
        <v>185</v>
      </c>
      <c r="B186" s="20">
        <f ca="1">IFERROR(__xludf.DUMMYFUNCTION("""COMPUTED_VALUE"""),2020)</f>
        <v>2020</v>
      </c>
      <c r="C186" s="20" t="str">
        <f ca="1">IFERROR(__xludf.DUMMYFUNCTION("""COMPUTED_VALUE"""),"VIRTUAL")</f>
        <v>VIRTUAL</v>
      </c>
      <c r="D186" s="96">
        <f ca="1">IFERROR(__xludf.DUMMYFUNCTION("""COMPUTED_VALUE"""),44145)</f>
        <v>44145</v>
      </c>
      <c r="E186" s="20" t="str">
        <f ca="1">IFERROR(__xludf.DUMMYFUNCTION("""COMPUTED_VALUE"""),"NO")</f>
        <v>NO</v>
      </c>
      <c r="F186" s="20" t="str">
        <f ca="1">IFERROR(__xludf.DUMMYFUNCTION("""COMPUTED_VALUE"""),"LEGISLACIÓN DEL TRABAJO, PREVISIÓN Y SEGURIDAD SOCIAL")</f>
        <v>LEGISLACIÓN DEL TRABAJO, PREVISIÓN Y SEGURIDAD SOCIAL</v>
      </c>
      <c r="G186" s="20">
        <f ca="1">IFERROR(__xludf.DUMMYFUNCTION("""COMPUTED_VALUE"""),1)</f>
        <v>1</v>
      </c>
      <c r="H186" s="20">
        <f ca="1">IFERROR(__xludf.DUMMYFUNCTION("""COMPUTED_VALUE"""),1)</f>
        <v>1</v>
      </c>
      <c r="I186" s="20">
        <f ca="1">IFERROR(__xludf.DUMMYFUNCTION("""COMPUTED_VALUE"""),1)</f>
        <v>1</v>
      </c>
      <c r="J186" s="20" t="str">
        <f ca="1">IFERROR(__xludf.DUMMYFUNCTION("""COMPUTED_VALUE"""),"NC")</f>
        <v>NC</v>
      </c>
      <c r="K186" s="20" t="str">
        <f ca="1">IFERROR(__xludf.DUMMYFUNCTION("""COMPUTED_VALUE"""),"NA")</f>
        <v>NA</v>
      </c>
      <c r="L186" s="20" t="str">
        <f ca="1">IFERROR(__xludf.DUMMYFUNCTION("""COMPUTED_VALUE"""),"NA")</f>
        <v>NA</v>
      </c>
      <c r="M186" s="20" t="str">
        <f ca="1">IFERROR(__xludf.DUMMYFUNCTION("""COMPUTED_VALUE"""),"Situación del sector de la televisión y las telecomunicaciones en el marco de la Pandemia COVID-19.")</f>
        <v>Situación del sector de la televisión y las telecomunicaciones en el marco de la Pandemia COVID-19.</v>
      </c>
      <c r="N186" s="20" t="str">
        <f ca="1">IFERROR(__xludf.DUMMYFUNCTION("""COMPUTED_VALUE"""),"NA")</f>
        <v>NA</v>
      </c>
      <c r="O186" s="20" t="str">
        <f ca="1">IFERROR(__xludf.DUMMYFUNCTION("""COMPUTED_VALUE"""),"SI")</f>
        <v>SI</v>
      </c>
      <c r="P186" s="20">
        <f ca="1">IFERROR(__xludf.DUMMYFUNCTION("""COMPUTED_VALUE"""),1)</f>
        <v>1</v>
      </c>
      <c r="Q186" s="113" t="str">
        <f ca="1">IFERROR(__xludf.DUMMYFUNCTION("""COMPUTED_VALUE"""),"https://gld.legislaturacba.gob.ar/_cdd/api/Documento/descargar?guid=122857ce-1a97-4d8e-81dd-93b7a0b49a25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v>
      </c>
      <c r="R186" s="113" t="str">
        <f ca="1">IFERROR(__xludf.DUMMYFUNCTION("""COMPUTED_VALUE"""),"https://www.youtube.com/watch?v=G23umqZ1_Ew")</f>
        <v>https://www.youtube.com/watch?v=G23umqZ1_Ew</v>
      </c>
      <c r="S186" s="113" t="str">
        <f ca="1">IFERROR(__xludf.DUMMYFUNCTION("""COMPUTED_VALUE"""),"https://gld.legislaturacba.gob.ar/Publics/Actas.aspx?id=PrNgFh9d6ko=")</f>
        <v>https://gld.legislaturacba.gob.ar/Publics/Actas.aspx?id=PrNgFh9d6ko=</v>
      </c>
      <c r="T186" s="99">
        <f t="shared" ca="1" si="0"/>
        <v>0</v>
      </c>
    </row>
    <row r="187" spans="1:20">
      <c r="A187" s="20">
        <f ca="1">IFERROR(__xludf.DUMMYFUNCTION("""COMPUTED_VALUE"""),186)</f>
        <v>186</v>
      </c>
      <c r="B187" s="20">
        <f ca="1">IFERROR(__xludf.DUMMYFUNCTION("""COMPUTED_VALUE"""),2020)</f>
        <v>2020</v>
      </c>
      <c r="C187" s="20" t="str">
        <f ca="1">IFERROR(__xludf.DUMMYFUNCTION("""COMPUTED_VALUE"""),"VIRTUAL")</f>
        <v>VIRTUAL</v>
      </c>
      <c r="D187" s="96">
        <f ca="1">IFERROR(__xludf.DUMMYFUNCTION("""COMPUTED_VALUE"""),44145)</f>
        <v>44145</v>
      </c>
      <c r="E187" s="20" t="str">
        <f ca="1">IFERROR(__xludf.DUMMYFUNCTION("""COMPUTED_VALUE"""),"SI")</f>
        <v>SI</v>
      </c>
      <c r="F187" s="20" t="str">
        <f ca="1">IFERROR(__xludf.DUMMYFUNCTION("""COMPUTED_VALUE"""),"AMBIENTE;INDUSTRIA Y MINERÍA;LEGISLACIÓN GENERAL")</f>
        <v>AMBIENTE;INDUSTRIA Y MINERÍA;LEGISLACIÓN GENERAL</v>
      </c>
      <c r="G187" s="20">
        <f ca="1">IFERROR(__xludf.DUMMYFUNCTION("""COMPUTED_VALUE"""),3)</f>
        <v>3</v>
      </c>
      <c r="H187" s="20">
        <f ca="1">IFERROR(__xludf.DUMMYFUNCTION("""COMPUTED_VALUE"""),1)</f>
        <v>1</v>
      </c>
      <c r="I187" s="20">
        <f ca="1">IFERROR(__xludf.DUMMYFUNCTION("""COMPUTED_VALUE"""),1)</f>
        <v>1</v>
      </c>
      <c r="J187" s="20" t="str">
        <f ca="1">IFERROR(__xludf.DUMMYFUNCTION("""COMPUTED_VALUE"""),"Ley")</f>
        <v>Ley</v>
      </c>
      <c r="K187" s="20">
        <f ca="1">IFERROR(__xludf.DUMMYFUNCTION("""COMPUTED_VALUE"""),31660)</f>
        <v>31660</v>
      </c>
      <c r="L187" s="20" t="str">
        <f ca="1">IFERROR(__xludf.DUMMYFUNCTION("""COMPUTED_VALUE"""),"Poder Ejecutivo Provincial")</f>
        <v>Poder Ejecutivo Provincial</v>
      </c>
      <c r="M187" s="20" t="str">
        <f ca="1">IFERROR(__xludf.DUMMYFUNCTION("""COMPUTED_VALUE"""),"Proyecto de Ley 31660/L/20, presentado por el Poder Ejecutivo, declarando de interés provincial la Promoción y Desarrollo para la Producción y Consumo de Biocombustibles y Bioenergía, en el marco de la transición energética, estableciéndose el marco legal"&amp;", institucional y normativo para impulsar y promover la producción, el consumo y el aprovechamiento integral de los mismos, así como la transformación de la biomasa en general.")</f>
        <v>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v>
      </c>
      <c r="N187" s="20" t="str">
        <f ca="1">IFERROR(__xludf.DUMMYFUNCTION("""COMPUTED_VALUE"""),"NO")</f>
        <v>NO</v>
      </c>
      <c r="O187" s="20" t="str">
        <f ca="1">IFERROR(__xludf.DUMMYFUNCTION("""COMPUTED_VALUE"""),"SI")</f>
        <v>SI</v>
      </c>
      <c r="P187" s="20">
        <f ca="1">IFERROR(__xludf.DUMMYFUNCTION("""COMPUTED_VALUE"""),4)</f>
        <v>4</v>
      </c>
      <c r="Q187" s="113" t="str">
        <f ca="1">IFERROR(__xludf.DUMMYFUNCTION("""COMPUTED_VALUE"""),"https://gld.legislaturacba.gob.ar/_cdd/api/Documento/descargar?guid=93246f0f-473b-4158-bae6-07d3a8bc4470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v>
      </c>
      <c r="R187" s="113" t="str">
        <f ca="1">IFERROR(__xludf.DUMMYFUNCTION("""COMPUTED_VALUE"""),"https://www.youtube.com/watch?v=R9Lr-nhT9WU")</f>
        <v>https://www.youtube.com/watch?v=R9Lr-nhT9WU</v>
      </c>
      <c r="S187" s="113" t="str">
        <f ca="1">IFERROR(__xludf.DUMMYFUNCTION("""COMPUTED_VALUE"""),"https://gld.legislaturacba.gob.ar/Publics/Actas.aspx?id=3FoztXGmwSA=;https://gld.legislaturacba.gob.ar/Publics/Actas.aspx?id=bJKRM9dWPqo=;https://gld.legislaturacba.gob.ar/Publics/Actas.aspx?id=6uZS1B7fF0M=")</f>
        <v>https://gld.legislaturacba.gob.ar/Publics/Actas.aspx?id=3FoztXGmwSA=;https://gld.legislaturacba.gob.ar/Publics/Actas.aspx?id=bJKRM9dWPqo=;https://gld.legislaturacba.gob.ar/Publics/Actas.aspx?id=6uZS1B7fF0M=</v>
      </c>
      <c r="T187" s="99">
        <f t="shared" ca="1" si="0"/>
        <v>0</v>
      </c>
    </row>
    <row r="188" spans="1:20">
      <c r="A188" s="20">
        <f ca="1">IFERROR(__xludf.DUMMYFUNCTION("""COMPUTED_VALUE"""),187)</f>
        <v>187</v>
      </c>
      <c r="B188" s="20">
        <f ca="1">IFERROR(__xludf.DUMMYFUNCTION("""COMPUTED_VALUE"""),2020)</f>
        <v>2020</v>
      </c>
      <c r="C188" s="20" t="str">
        <f ca="1">IFERROR(__xludf.DUMMYFUNCTION("""COMPUTED_VALUE"""),"VIRTUAL")</f>
        <v>VIRTUAL</v>
      </c>
      <c r="D188" s="96">
        <f ca="1">IFERROR(__xludf.DUMMYFUNCTION("""COMPUTED_VALUE"""),44145)</f>
        <v>44145</v>
      </c>
      <c r="E188" s="20" t="str">
        <f ca="1">IFERROR(__xludf.DUMMYFUNCTION("""COMPUTED_VALUE"""),"SI")</f>
        <v>SI</v>
      </c>
      <c r="F188" s="20" t="str">
        <f ca="1">IFERROR(__xludf.DUMMYFUNCTION("""COMPUTED_VALUE"""),"EQUIDAD Y LUCHA CONTRA LA VIOLENCIA DE GÉNERO;LEGISLACIÓN GENERAL")</f>
        <v>EQUIDAD Y LUCHA CONTRA LA VIOLENCIA DE GÉNERO;LEGISLACIÓN GENERAL</v>
      </c>
      <c r="G188" s="20">
        <f ca="1">IFERROR(__xludf.DUMMYFUNCTION("""COMPUTED_VALUE"""),2)</f>
        <v>2</v>
      </c>
      <c r="H188" s="20">
        <f ca="1">IFERROR(__xludf.DUMMYFUNCTION("""COMPUTED_VALUE"""),1)</f>
        <v>1</v>
      </c>
      <c r="I188" s="20">
        <f ca="1">IFERROR(__xludf.DUMMYFUNCTION("""COMPUTED_VALUE"""),1)</f>
        <v>1</v>
      </c>
      <c r="J188" s="20" t="str">
        <f ca="1">IFERROR(__xludf.DUMMYFUNCTION("""COMPUTED_VALUE"""),"Ley")</f>
        <v>Ley</v>
      </c>
      <c r="K188" s="20">
        <f ca="1">IFERROR(__xludf.DUMMYFUNCTION("""COMPUTED_VALUE"""),31456)</f>
        <v>31456</v>
      </c>
      <c r="L188" s="20" t="str">
        <f ca="1">IFERROR(__xludf.DUMMYFUNCTION("""COMPUTED_VALUE"""),"Poder Legislativo Provincial")</f>
        <v>Poder Legislativo Provincial</v>
      </c>
      <c r="M188" s="20" t="str">
        <f ca="1">IFERROR(__xludf.DUMMYFUNCTION("""COMPUTED_VALUE"""),"Proyecto de Ley 31456/L/20, iniciado por los legisladores Basualdo, Rinaldi, Busso, Blangino y Guirardelli, promoviendo el principio de equidad de género en la composición de los órganos de administración y fiscalización de las personas jurídicas privadas"&amp;" cuyo domicilio legal se encuentre radicado en la Provincia de Córdoba y que se encuentren sujetas a la fiscalización de la Dirección General de Inspección de Personas Jurídicas dependiente del Ministerio de Finanzas.")</f>
        <v>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v>
      </c>
      <c r="N188" s="20" t="str">
        <f ca="1">IFERROR(__xludf.DUMMYFUNCTION("""COMPUTED_VALUE"""),"SI")</f>
        <v>SI</v>
      </c>
      <c r="O188" s="20" t="str">
        <f ca="1">IFERROR(__xludf.DUMMYFUNCTION("""COMPUTED_VALUE"""),"NO")</f>
        <v>NO</v>
      </c>
      <c r="P188" s="20">
        <f ca="1">IFERROR(__xludf.DUMMYFUNCTION("""COMPUTED_VALUE"""),0)</f>
        <v>0</v>
      </c>
      <c r="Q188" s="113" t="str">
        <f ca="1">IFERROR(__xludf.DUMMYFUNCTION("""COMPUTED_VALUE"""),"https://gld.legislaturacba.gob.ar/_cdd/api/Documento/descargar?guid=c187650d-b333-468b-ba7b-42273582bcf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v>
      </c>
      <c r="R188" s="113" t="str">
        <f ca="1">IFERROR(__xludf.DUMMYFUNCTION("""COMPUTED_VALUE"""),"https://www.youtube.com/watch?v=SA2qevq-HfY")</f>
        <v>https://www.youtube.com/watch?v=SA2qevq-HfY</v>
      </c>
      <c r="S188" s="113" t="str">
        <f ca="1">IFERROR(__xludf.DUMMYFUNCTION("""COMPUTED_VALUE"""),"https://gld.legislaturacba.gob.ar/Publics/Actas.aspx?id=Vuf9O8p_mAo=;https://gld.legislaturacba.gob.ar/Publics/Actas.aspx?id=NADWaQgqOWE=")</f>
        <v>https://gld.legislaturacba.gob.ar/Publics/Actas.aspx?id=Vuf9O8p_mAo=;https://gld.legislaturacba.gob.ar/Publics/Actas.aspx?id=NADWaQgqOWE=</v>
      </c>
      <c r="T188" s="99">
        <f t="shared" ca="1" si="0"/>
        <v>0</v>
      </c>
    </row>
    <row r="189" spans="1:20">
      <c r="A189" s="20">
        <f ca="1">IFERROR(__xludf.DUMMYFUNCTION("""COMPUTED_VALUE"""),188)</f>
        <v>188</v>
      </c>
      <c r="B189" s="20">
        <f ca="1">IFERROR(__xludf.DUMMYFUNCTION("""COMPUTED_VALUE"""),2020)</f>
        <v>2020</v>
      </c>
      <c r="C189" s="20" t="str">
        <f ca="1">IFERROR(__xludf.DUMMYFUNCTION("""COMPUTED_VALUE"""),"VIRTUAL")</f>
        <v>VIRTUAL</v>
      </c>
      <c r="D189" s="96">
        <f ca="1">IFERROR(__xludf.DUMMYFUNCTION("""COMPUTED_VALUE"""),44145)</f>
        <v>44145</v>
      </c>
      <c r="E189" s="20" t="str">
        <f ca="1">IFERROR(__xludf.DUMMYFUNCTION("""COMPUTED_VALUE"""),"SI")</f>
        <v>SI</v>
      </c>
      <c r="F189" s="20" t="str">
        <f ca="1">IFERROR(__xludf.DUMMYFUNCTION("""COMPUTED_VALUE"""),"ECONOMÍA, PRESUPUESTO, GESTIÓN PÚBLICA E INNOVACIÓN;LEGISLACIÓN GENERAL")</f>
        <v>ECONOMÍA, PRESUPUESTO, GESTIÓN PÚBLICA E INNOVACIÓN;LEGISLACIÓN GENERAL</v>
      </c>
      <c r="G189" s="20">
        <f ca="1">IFERROR(__xludf.DUMMYFUNCTION("""COMPUTED_VALUE"""),2)</f>
        <v>2</v>
      </c>
      <c r="H189" s="20">
        <f ca="1">IFERROR(__xludf.DUMMYFUNCTION("""COMPUTED_VALUE"""),3)</f>
        <v>3</v>
      </c>
      <c r="I189" s="20">
        <f ca="1">IFERROR(__xludf.DUMMYFUNCTION("""COMPUTED_VALUE"""),1)</f>
        <v>1</v>
      </c>
      <c r="J189" s="20" t="str">
        <f ca="1">IFERROR(__xludf.DUMMYFUNCTION("""COMPUTED_VALUE"""),"Ley")</f>
        <v>Ley</v>
      </c>
      <c r="K189" s="20">
        <f ca="1">IFERROR(__xludf.DUMMYFUNCTION("""COMPUTED_VALUE"""),31699)</f>
        <v>31699</v>
      </c>
      <c r="L189" s="20" t="str">
        <f ca="1">IFERROR(__xludf.DUMMYFUNCTION("""COMPUTED_VALUE"""),"Poder Ejecutivo Provincial")</f>
        <v>Poder Ejecutivo Provincial</v>
      </c>
      <c r="M189" s="20" t="str">
        <f ca="1">IFERROR(__xludf.DUMMYFUNCTION("""COMPUTED_VALUE"""),"Proyecto de Ley 31699/L/20, remitido por el Poder Ejecutivo, ratificando el Decreto Nº 782 por el que se estableció el incremento de las sumas que perciben los beneficiarios del Régimen Especial de Socorros Graciables y Vitalicios.")</f>
        <v>Proyecto de Ley 31699/L/20, remitido por el Poder Ejecutivo, ratificando el Decreto Nº 782 por el que se estableció el incremento de las sumas que perciben los beneficiarios del Régimen Especial de Socorros Graciables y Vitalicios.</v>
      </c>
      <c r="N189" s="20" t="str">
        <f ca="1">IFERROR(__xludf.DUMMYFUNCTION("""COMPUTED_VALUE"""),"NO")</f>
        <v>NO</v>
      </c>
      <c r="O189" s="20" t="str">
        <f ca="1">IFERROR(__xludf.DUMMYFUNCTION("""COMPUTED_VALUE"""),"NO")</f>
        <v>NO</v>
      </c>
      <c r="P189" s="20">
        <f ca="1">IFERROR(__xludf.DUMMYFUNCTION("""COMPUTED_VALUE"""),0)</f>
        <v>0</v>
      </c>
      <c r="Q189" s="113" t="str">
        <f ca="1">IFERROR(__xludf.DUMMYFUNCTION("""COMPUTED_VALUE"""),"https://gld.legislaturacba.gob.ar/_cdd/api/Documento/descargar?guid=8b2dfcc3-c1da-48c6-9e70-91d35d0ec512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v>
      </c>
      <c r="R189" s="20" t="str">
        <f ca="1">IFERROR(__xludf.DUMMYFUNCTION("""COMPUTED_VALUE"""),"NA")</f>
        <v>NA</v>
      </c>
      <c r="S189" s="113" t="str">
        <f ca="1">IFERROR(__xludf.DUMMYFUNCTION("""COMPUTED_VALUE"""),"https://gld.legislaturacba.gob.ar/Publics/Actas.aspx?id=gXAvmCNWmB8=;https://gld.legislaturacba.gob.ar/Publics/Actas.aspx?id=1zwgInz6V2k=")</f>
        <v>https://gld.legislaturacba.gob.ar/Publics/Actas.aspx?id=gXAvmCNWmB8=;https://gld.legislaturacba.gob.ar/Publics/Actas.aspx?id=1zwgInz6V2k=</v>
      </c>
      <c r="T189" s="99">
        <f t="shared" ca="1" si="0"/>
        <v>0</v>
      </c>
    </row>
    <row r="190" spans="1:20">
      <c r="A190" s="20">
        <f ca="1">IFERROR(__xludf.DUMMYFUNCTION("""COMPUTED_VALUE"""),189)</f>
        <v>189</v>
      </c>
      <c r="B190" s="20">
        <f ca="1">IFERROR(__xludf.DUMMYFUNCTION("""COMPUTED_VALUE"""),2020)</f>
        <v>2020</v>
      </c>
      <c r="C190" s="20" t="str">
        <f ca="1">IFERROR(__xludf.DUMMYFUNCTION("""COMPUTED_VALUE"""),"VIRTUAL")</f>
        <v>VIRTUAL</v>
      </c>
      <c r="D190" s="96">
        <f ca="1">IFERROR(__xludf.DUMMYFUNCTION("""COMPUTED_VALUE"""),44146)</f>
        <v>44146</v>
      </c>
      <c r="E190" s="20" t="str">
        <f ca="1">IFERROR(__xludf.DUMMYFUNCTION("""COMPUTED_VALUE"""),"SI")</f>
        <v>SI</v>
      </c>
      <c r="F190" s="20" t="str">
        <f ca="1">IFERROR(__xludf.DUMMYFUNCTION("""COMPUTED_VALUE"""),"DERECHOS HUMANOS Y DESARROLLO SOCIAL;SALUD HUMANA")</f>
        <v>DERECHOS HUMANOS Y DESARROLLO SOCIAL;SALUD HUMANA</v>
      </c>
      <c r="G190" s="20">
        <f ca="1">IFERROR(__xludf.DUMMYFUNCTION("""COMPUTED_VALUE"""),2)</f>
        <v>2</v>
      </c>
      <c r="H190" s="20">
        <f ca="1">IFERROR(__xludf.DUMMYFUNCTION("""COMPUTED_VALUE"""),4)</f>
        <v>4</v>
      </c>
      <c r="I190" s="20">
        <f ca="1">IFERROR(__xludf.DUMMYFUNCTION("""COMPUTED_VALUE"""),1)</f>
        <v>1</v>
      </c>
      <c r="J190" s="20" t="str">
        <f ca="1">IFERROR(__xludf.DUMMYFUNCTION("""COMPUTED_VALUE"""),"NA")</f>
        <v>NA</v>
      </c>
      <c r="K190" s="20" t="str">
        <f ca="1">IFERROR(__xludf.DUMMYFUNCTION("""COMPUTED_VALUE"""),"NA")</f>
        <v>NA</v>
      </c>
      <c r="L190" s="20" t="str">
        <f ca="1">IFERROR(__xludf.DUMMYFUNCTION("""COMPUTED_VALUE"""),"NA")</f>
        <v>NA</v>
      </c>
      <c r="M190" s="20" t="str">
        <f ca="1">IFERROR(__xludf.DUMMYFUNCTION("""COMPUTED_VALUE"""),"Anteproyecto de Modificación “Concejo Provincial de Accesibilidad” Decreto 1222/08.")</f>
        <v>Anteproyecto de Modificación “Concejo Provincial de Accesibilidad” Decreto 1222/08.</v>
      </c>
      <c r="N190" s="20" t="str">
        <f ca="1">IFERROR(__xludf.DUMMYFUNCTION("""COMPUTED_VALUE"""),"NA")</f>
        <v>NA</v>
      </c>
      <c r="O190" s="20" t="str">
        <f ca="1">IFERROR(__xludf.DUMMYFUNCTION("""COMPUTED_VALUE"""),"SI")</f>
        <v>SI</v>
      </c>
      <c r="P190" s="20">
        <f ca="1">IFERROR(__xludf.DUMMYFUNCTION("""COMPUTED_VALUE"""),1)</f>
        <v>1</v>
      </c>
      <c r="Q190" s="113" t="str">
        <f ca="1">IFERROR(__xludf.DUMMYFUNCTION("""COMPUTED_VALUE"""),"https://gld.legislaturacba.gob.ar/_cdd/api/Documento/descargar?guid=20620bd4-60bb-4e3d-b172-5cb73bb5d839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v>
      </c>
      <c r="R190" s="113" t="str">
        <f ca="1">IFERROR(__xludf.DUMMYFUNCTION("""COMPUTED_VALUE"""),"https://www.youtube.com/watch?v=SA2qevq-HfY")</f>
        <v>https://www.youtube.com/watch?v=SA2qevq-HfY</v>
      </c>
      <c r="S190" s="113" t="str">
        <f ca="1">IFERROR(__xludf.DUMMYFUNCTION("""COMPUTED_VALUE"""),"https://gld.legislaturacba.gob.ar/Publics/Actas.aspx?id=Wfqogqz1C6E=;https://gld.legislaturacba.gob.ar/Publics/Actas.aspx?id=q_QhUUanP8A=")</f>
        <v>https://gld.legislaturacba.gob.ar/Publics/Actas.aspx?id=Wfqogqz1C6E=;https://gld.legislaturacba.gob.ar/Publics/Actas.aspx?id=q_QhUUanP8A=</v>
      </c>
      <c r="T190" s="99">
        <f t="shared" ca="1" si="0"/>
        <v>0</v>
      </c>
    </row>
    <row r="191" spans="1:20">
      <c r="A191" s="20">
        <f ca="1">IFERROR(__xludf.DUMMYFUNCTION("""COMPUTED_VALUE"""),190)</f>
        <v>190</v>
      </c>
      <c r="B191" s="20">
        <f ca="1">IFERROR(__xludf.DUMMYFUNCTION("""COMPUTED_VALUE"""),2020)</f>
        <v>2020</v>
      </c>
      <c r="C191" s="20" t="str">
        <f ca="1">IFERROR(__xludf.DUMMYFUNCTION("""COMPUTED_VALUE"""),"VIRTUAL")</f>
        <v>VIRTUAL</v>
      </c>
      <c r="D191" s="96">
        <f ca="1">IFERROR(__xludf.DUMMYFUNCTION("""COMPUTED_VALUE"""),44147)</f>
        <v>44147</v>
      </c>
      <c r="E191" s="20" t="str">
        <f ca="1">IFERROR(__xludf.DUMMYFUNCTION("""COMPUTED_VALUE"""),"SI")</f>
        <v>SI</v>
      </c>
      <c r="F191" s="20" t="str">
        <f ca="1">IFERROR(__xludf.DUMMYFUNCTION("""COMPUTED_VALUE"""),"SERVICIOS PÚBLICOS;ASUNTOS INSTITUCIONALES, MUNICIPALES Y COMUNALES")</f>
        <v>SERVICIOS PÚBLICOS;ASUNTOS INSTITUCIONALES, MUNICIPALES Y COMUNALES</v>
      </c>
      <c r="G191" s="20">
        <f ca="1">IFERROR(__xludf.DUMMYFUNCTION("""COMPUTED_VALUE"""),2)</f>
        <v>2</v>
      </c>
      <c r="H191" s="20">
        <f ca="1">IFERROR(__xludf.DUMMYFUNCTION("""COMPUTED_VALUE"""),1)</f>
        <v>1</v>
      </c>
      <c r="I191" s="20">
        <f ca="1">IFERROR(__xludf.DUMMYFUNCTION("""COMPUTED_VALUE"""),1)</f>
        <v>1</v>
      </c>
      <c r="J191" s="20" t="str">
        <f ca="1">IFERROR(__xludf.DUMMYFUNCTION("""COMPUTED_VALUE"""),"Ley")</f>
        <v>Ley</v>
      </c>
      <c r="K191" s="20">
        <f ca="1">IFERROR(__xludf.DUMMYFUNCTION("""COMPUTED_VALUE"""),31411)</f>
        <v>31411</v>
      </c>
      <c r="L191" s="20" t="str">
        <f ca="1">IFERROR(__xludf.DUMMYFUNCTION("""COMPUTED_VALUE"""),"Poder Legislativo Provincial")</f>
        <v>Poder Legislativo Provincial</v>
      </c>
      <c r="M191" s="20" t="str">
        <f ca="1">IFERROR(__xludf.DUMMYFUNCTION("""COMPUTED_VALUE"""),"Proyecto de Ley 31411/L/20, iniciado por los Legisladores González e Iturria, modificando el artículo 1º de la Ley 10.545, sobre las facturaciones que emitan los entes distribuidores o quienes fueran responsables de la facturación del cobro de prestacione"&amp;"s de servicios públicos domiciliarios de energía eléctrica, agua y saneamiento.")</f>
        <v>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v>
      </c>
      <c r="N191" s="20" t="str">
        <f ca="1">IFERROR(__xludf.DUMMYFUNCTION("""COMPUTED_VALUE"""),"NO")</f>
        <v>NO</v>
      </c>
      <c r="O191" s="20" t="str">
        <f ca="1">IFERROR(__xludf.DUMMYFUNCTION("""COMPUTED_VALUE"""),"SI")</f>
        <v>SI</v>
      </c>
      <c r="P191" s="20">
        <f ca="1">IFERROR(__xludf.DUMMYFUNCTION("""COMPUTED_VALUE"""),4)</f>
        <v>4</v>
      </c>
      <c r="Q191" s="113" t="str">
        <f ca="1">IFERROR(__xludf.DUMMYFUNCTION("""COMPUTED_VALUE"""),"https://gld.legislaturacba.gob.ar/_cdd/api/Documento/descargar?guid=c7abd5fb-3ca1-4145-bad2-c6ffe203397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v>
      </c>
      <c r="R191" s="20" t="str">
        <f ca="1">IFERROR(__xludf.DUMMYFUNCTION("""COMPUTED_VALUE"""),"NA")</f>
        <v>NA</v>
      </c>
      <c r="S191" s="113" t="str">
        <f ca="1">IFERROR(__xludf.DUMMYFUNCTION("""COMPUTED_VALUE"""),"https://gld.legislaturacba.gob.ar/Publics/Actas.aspx?id=BP1XifldLe0=;https://gld.legislaturacba.gob.ar/Publics/Actas.aspx?id=Dn4S321keFY=")</f>
        <v>https://gld.legislaturacba.gob.ar/Publics/Actas.aspx?id=BP1XifldLe0=;https://gld.legislaturacba.gob.ar/Publics/Actas.aspx?id=Dn4S321keFY=</v>
      </c>
      <c r="T191" s="99">
        <f t="shared" ca="1" si="0"/>
        <v>0</v>
      </c>
    </row>
    <row r="192" spans="1:20">
      <c r="A192" s="20">
        <f ca="1">IFERROR(__xludf.DUMMYFUNCTION("""COMPUTED_VALUE"""),191)</f>
        <v>191</v>
      </c>
      <c r="B192" s="20">
        <f ca="1">IFERROR(__xludf.DUMMYFUNCTION("""COMPUTED_VALUE"""),2020)</f>
        <v>2020</v>
      </c>
      <c r="C192" s="20" t="str">
        <f ca="1">IFERROR(__xludf.DUMMYFUNCTION("""COMPUTED_VALUE"""),"VIRTUAL")</f>
        <v>VIRTUAL</v>
      </c>
      <c r="D192" s="96">
        <f ca="1">IFERROR(__xludf.DUMMYFUNCTION("""COMPUTED_VALUE"""),44147)</f>
        <v>44147</v>
      </c>
      <c r="E192" s="20" t="str">
        <f ca="1">IFERROR(__xludf.DUMMYFUNCTION("""COMPUTED_VALUE"""),"SI")</f>
        <v>SI</v>
      </c>
      <c r="F192" s="20" t="str">
        <f ca="1">IFERROR(__xludf.DUMMYFUNCTION("""COMPUTED_VALUE"""),"AMBIENTE;INDUSTRIA Y MINERÍA;LEGISLACIÓN GENERAL")</f>
        <v>AMBIENTE;INDUSTRIA Y MINERÍA;LEGISLACIÓN GENERAL</v>
      </c>
      <c r="G192" s="20">
        <f ca="1">IFERROR(__xludf.DUMMYFUNCTION("""COMPUTED_VALUE"""),3)</f>
        <v>3</v>
      </c>
      <c r="H192" s="20">
        <f ca="1">IFERROR(__xludf.DUMMYFUNCTION("""COMPUTED_VALUE"""),1)</f>
        <v>1</v>
      </c>
      <c r="I192" s="20">
        <f ca="1">IFERROR(__xludf.DUMMYFUNCTION("""COMPUTED_VALUE"""),1)</f>
        <v>1</v>
      </c>
      <c r="J192" s="20" t="str">
        <f ca="1">IFERROR(__xludf.DUMMYFUNCTION("""COMPUTED_VALUE"""),"Ley")</f>
        <v>Ley</v>
      </c>
      <c r="K192" s="20">
        <f ca="1">IFERROR(__xludf.DUMMYFUNCTION("""COMPUTED_VALUE"""),31660)</f>
        <v>31660</v>
      </c>
      <c r="L192" s="20" t="str">
        <f ca="1">IFERROR(__xludf.DUMMYFUNCTION("""COMPUTED_VALUE"""),"Poder Ejecutivo Provincial")</f>
        <v>Poder Ejecutivo Provincial</v>
      </c>
      <c r="M192" s="20" t="str">
        <f ca="1">IFERROR(__xludf.DUMMYFUNCTION("""COMPUTED_VALUE"""),"Proyecto de Ley 31660/L/20, presentado por el Poder Ejecutivo, declarando de interés provincial la Promoción y Desarrollo para la Producción y Consumo de Biocombustibles y Bioenergía, en el marco de la transición energética, estableciéndose el marco legal"&amp;", institucional y normativo para impulsar y promover la producción, el consumo y el aprovechamiento integral de los mismos, así como la transformación de la biomasa en general.")</f>
        <v>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v>
      </c>
      <c r="N192" s="20" t="str">
        <f ca="1">IFERROR(__xludf.DUMMYFUNCTION("""COMPUTED_VALUE"""),"NO")</f>
        <v>NO</v>
      </c>
      <c r="O192" s="20" t="str">
        <f ca="1">IFERROR(__xludf.DUMMYFUNCTION("""COMPUTED_VALUE"""),"SI")</f>
        <v>SI</v>
      </c>
      <c r="P192" s="20">
        <f ca="1">IFERROR(__xludf.DUMMYFUNCTION("""COMPUTED_VALUE"""),11)</f>
        <v>11</v>
      </c>
      <c r="Q192" s="113" t="str">
        <f ca="1">IFERROR(__xludf.DUMMYFUNCTION("""COMPUTED_VALUE"""),"https://gld.legislaturacba.gob.ar/_cdd/api/Documento/descargar?guid=102799a7-e8b9-497c-a73e-f2d29100b248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v>
      </c>
      <c r="R192" s="113" t="str">
        <f ca="1">IFERROR(__xludf.DUMMYFUNCTION("""COMPUTED_VALUE"""),"https://www.youtube.com/watch?v=IP6wcc8pYlY")</f>
        <v>https://www.youtube.com/watch?v=IP6wcc8pYlY</v>
      </c>
      <c r="S192" s="113" t="str">
        <f ca="1">IFERROR(__xludf.DUMMYFUNCTION("""COMPUTED_VALUE"""),"https://gld.legislaturacba.gob.ar/Publics/Actas.aspx?id=ImbOVZ3-EZE=;https://gld.legislaturacba.gob.ar/Publics/Actas.aspx?id=pUa-FFia1ac=;https://gld.legislaturacba.gob.ar/Publics/Actas.aspx?id=tSYBJr4IslM=")</f>
        <v>https://gld.legislaturacba.gob.ar/Publics/Actas.aspx?id=ImbOVZ3-EZE=;https://gld.legislaturacba.gob.ar/Publics/Actas.aspx?id=pUa-FFia1ac=;https://gld.legislaturacba.gob.ar/Publics/Actas.aspx?id=tSYBJr4IslM=</v>
      </c>
      <c r="T192" s="99">
        <f t="shared" ca="1" si="0"/>
        <v>0</v>
      </c>
    </row>
    <row r="193" spans="1:20">
      <c r="A193" s="20">
        <f ca="1">IFERROR(__xludf.DUMMYFUNCTION("""COMPUTED_VALUE"""),192)</f>
        <v>192</v>
      </c>
      <c r="B193" s="20">
        <f ca="1">IFERROR(__xludf.DUMMYFUNCTION("""COMPUTED_VALUE"""),2020)</f>
        <v>2020</v>
      </c>
      <c r="C193" s="20" t="str">
        <f ca="1">IFERROR(__xludf.DUMMYFUNCTION("""COMPUTED_VALUE"""),"VIRTUAL")</f>
        <v>VIRTUAL</v>
      </c>
      <c r="D193" s="96">
        <f ca="1">IFERROR(__xludf.DUMMYFUNCTION("""COMPUTED_VALUE"""),44147)</f>
        <v>44147</v>
      </c>
      <c r="E193" s="20" t="str">
        <f ca="1">IFERROR(__xludf.DUMMYFUNCTION("""COMPUTED_VALUE"""),"NO")</f>
        <v>NO</v>
      </c>
      <c r="F193" s="20" t="str">
        <f ca="1">IFERROR(__xludf.DUMMYFUNCTION("""COMPUTED_VALUE"""),"PREVENCIÓN, TRATAMIENTO Y CONTROL DE LAS ADICCIONES")</f>
        <v>PREVENCIÓN, TRATAMIENTO Y CONTROL DE LAS ADICCIONES</v>
      </c>
      <c r="G193" s="20">
        <f ca="1">IFERROR(__xludf.DUMMYFUNCTION("""COMPUTED_VALUE"""),1)</f>
        <v>1</v>
      </c>
      <c r="H193" s="20">
        <f ca="1">IFERROR(__xludf.DUMMYFUNCTION("""COMPUTED_VALUE"""),1)</f>
        <v>1</v>
      </c>
      <c r="I193" s="20">
        <f ca="1">IFERROR(__xludf.DUMMYFUNCTION("""COMPUTED_VALUE"""),1)</f>
        <v>1</v>
      </c>
      <c r="J193" s="20" t="str">
        <f ca="1">IFERROR(__xludf.DUMMYFUNCTION("""COMPUTED_VALUE"""),"NC")</f>
        <v>NC</v>
      </c>
      <c r="K193" s="20" t="str">
        <f ca="1">IFERROR(__xludf.DUMMYFUNCTION("""COMPUTED_VALUE"""),"NA")</f>
        <v>NA</v>
      </c>
      <c r="L193" s="20" t="str">
        <f ca="1">IFERROR(__xludf.DUMMYFUNCTION("""COMPUTED_VALUE"""),"NA")</f>
        <v>NA</v>
      </c>
      <c r="M193" s="20" t="str">
        <f ca="1">IFERROR(__xludf.DUMMYFUNCTION("""COMPUTED_VALUE"""),"Adicciones comportamentales. El caso de las adicciones tecnológicas.")</f>
        <v>Adicciones comportamentales. El caso de las adicciones tecnológicas.</v>
      </c>
      <c r="N193" s="20" t="str">
        <f ca="1">IFERROR(__xludf.DUMMYFUNCTION("""COMPUTED_VALUE"""),"NA")</f>
        <v>NA</v>
      </c>
      <c r="O193" s="20" t="str">
        <f ca="1">IFERROR(__xludf.DUMMYFUNCTION("""COMPUTED_VALUE"""),"SI")</f>
        <v>SI</v>
      </c>
      <c r="P193" s="20">
        <f ca="1">IFERROR(__xludf.DUMMYFUNCTION("""COMPUTED_VALUE"""),1)</f>
        <v>1</v>
      </c>
      <c r="Q193" s="113" t="str">
        <f ca="1">IFERROR(__xludf.DUMMYFUNCTION("""COMPUTED_VALUE"""),"https://gld.legislaturacba.gob.ar/_cdd/api/Documento/descargar?guid=1cf3b476-c010-48a6-890a-be091c74437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v>
      </c>
      <c r="R193" s="20" t="str">
        <f ca="1">IFERROR(__xludf.DUMMYFUNCTION("""COMPUTED_VALUE"""),"NA")</f>
        <v>NA</v>
      </c>
      <c r="S193" s="113" t="str">
        <f ca="1">IFERROR(__xludf.DUMMYFUNCTION("""COMPUTED_VALUE"""),"https://gld.legislaturacba.gob.ar/Publics/Actas.aspx?id=ari3U-E3eSI=")</f>
        <v>https://gld.legislaturacba.gob.ar/Publics/Actas.aspx?id=ari3U-E3eSI=</v>
      </c>
      <c r="T193" s="99">
        <f t="shared" ca="1" si="0"/>
        <v>0</v>
      </c>
    </row>
    <row r="194" spans="1:20">
      <c r="A194" s="20">
        <f ca="1">IFERROR(__xludf.DUMMYFUNCTION("""COMPUTED_VALUE"""),193)</f>
        <v>193</v>
      </c>
      <c r="B194" s="20">
        <f ca="1">IFERROR(__xludf.DUMMYFUNCTION("""COMPUTED_VALUE"""),2020)</f>
        <v>2020</v>
      </c>
      <c r="C194" s="20" t="str">
        <f ca="1">IFERROR(__xludf.DUMMYFUNCTION("""COMPUTED_VALUE"""),"VIRTUAL")</f>
        <v>VIRTUAL</v>
      </c>
      <c r="D194" s="96">
        <f ca="1">IFERROR(__xludf.DUMMYFUNCTION("""COMPUTED_VALUE"""),44152)</f>
        <v>44152</v>
      </c>
      <c r="E194" s="20" t="str">
        <f ca="1">IFERROR(__xludf.DUMMYFUNCTION("""COMPUTED_VALUE"""),"SI")</f>
        <v>SI</v>
      </c>
      <c r="F194" s="20" t="str">
        <f ca="1">IFERROR(__xludf.DUMMYFUNCTION("""COMPUTED_VALUE"""),"LEGISLACIÓN DEL TRABAJO, PREVISIÓN Y SEGURIDAD SOCIAL;ASUNTOS CONSTITUCIONALES, JUSTICIA Y ACUERDOS")</f>
        <v>LEGISLACIÓN DEL TRABAJO, PREVISIÓN Y SEGURIDAD SOCIAL;ASUNTOS CONSTITUCIONALES, JUSTICIA Y ACUERDOS</v>
      </c>
      <c r="G194" s="20">
        <f ca="1">IFERROR(__xludf.DUMMYFUNCTION("""COMPUTED_VALUE"""),2)</f>
        <v>2</v>
      </c>
      <c r="H194" s="20">
        <f ca="1">IFERROR(__xludf.DUMMYFUNCTION("""COMPUTED_VALUE"""),1)</f>
        <v>1</v>
      </c>
      <c r="I194" s="20">
        <f ca="1">IFERROR(__xludf.DUMMYFUNCTION("""COMPUTED_VALUE"""),1)</f>
        <v>1</v>
      </c>
      <c r="J194" s="20" t="str">
        <f ca="1">IFERROR(__xludf.DUMMYFUNCTION("""COMPUTED_VALUE"""),"Ley")</f>
        <v>Ley</v>
      </c>
      <c r="K194" s="20">
        <f ca="1">IFERROR(__xludf.DUMMYFUNCTION("""COMPUTED_VALUE"""),31373)</f>
        <v>31373</v>
      </c>
      <c r="L194" s="20" t="str">
        <f ca="1">IFERROR(__xludf.DUMMYFUNCTION("""COMPUTED_VALUE"""),"Poder Legislativo Provincial")</f>
        <v>Poder Legislativo Provincial</v>
      </c>
      <c r="M194" s="20" t="str">
        <f ca="1">IFERROR(__xludf.DUMMYFUNCTION("""COMPUTED_VALUE"""),"Proyecto de Ley 31373/L/20, iniciado por los legisladores González y Arduh, Modificando los artículos 4, 13, 22, 28 y 35 de la Ley 8.577 -Caja de Previsión Social para los Profesionales de la Salud de la Provincia de Córdoba-.")</f>
        <v>Proyecto de Ley 31373/L/20, iniciado por los legisladores González y Arduh, Modificando los artículos 4, 13, 22, 28 y 35 de la Ley 8.577 -Caja de Previsión Social para los Profesionales de la Salud de la Provincia de Córdoba-.</v>
      </c>
      <c r="N194" s="20" t="str">
        <f ca="1">IFERROR(__xludf.DUMMYFUNCTION("""COMPUTED_VALUE"""),"NO")</f>
        <v>NO</v>
      </c>
      <c r="O194" s="20" t="str">
        <f ca="1">IFERROR(__xludf.DUMMYFUNCTION("""COMPUTED_VALUE"""),"SI")</f>
        <v>SI</v>
      </c>
      <c r="P194" s="20">
        <f ca="1">IFERROR(__xludf.DUMMYFUNCTION("""COMPUTED_VALUE"""),1)</f>
        <v>1</v>
      </c>
      <c r="Q194" s="113" t="str">
        <f ca="1">IFERROR(__xludf.DUMMYFUNCTION("""COMPUTED_VALUE"""),"https://gld.legislaturacba.gob.ar/_cdd/api/Documento/descargar?guid=20fc6a66-a1eb-4b55-9d81-390b56139882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v>
      </c>
      <c r="R194" s="113" t="str">
        <f ca="1">IFERROR(__xludf.DUMMYFUNCTION("""COMPUTED_VALUE"""),"https://www.youtube.com/watch?v=buDN7eF-XpQ")</f>
        <v>https://www.youtube.com/watch?v=buDN7eF-XpQ</v>
      </c>
      <c r="S194" s="113" t="str">
        <f ca="1">IFERROR(__xludf.DUMMYFUNCTION("""COMPUTED_VALUE"""),"https://gld.legislaturacba.gob.ar/Publics/Actas.aspx?id=lyPfx5Dfn9k=;https://gld.legislaturacba.gob.ar/Publics/Actas.aspx?id=zQwkSahtAEc=")</f>
        <v>https://gld.legislaturacba.gob.ar/Publics/Actas.aspx?id=lyPfx5Dfn9k=;https://gld.legislaturacba.gob.ar/Publics/Actas.aspx?id=zQwkSahtAEc=</v>
      </c>
      <c r="T194" s="99">
        <f t="shared" ca="1" si="0"/>
        <v>0</v>
      </c>
    </row>
    <row r="195" spans="1:20">
      <c r="A195" s="20">
        <f ca="1">IFERROR(__xludf.DUMMYFUNCTION("""COMPUTED_VALUE"""),194)</f>
        <v>194</v>
      </c>
      <c r="B195" s="20">
        <f ca="1">IFERROR(__xludf.DUMMYFUNCTION("""COMPUTED_VALUE"""),2020)</f>
        <v>2020</v>
      </c>
      <c r="C195" s="20" t="str">
        <f ca="1">IFERROR(__xludf.DUMMYFUNCTION("""COMPUTED_VALUE"""),"VIRTUAL")</f>
        <v>VIRTUAL</v>
      </c>
      <c r="D195" s="96">
        <f ca="1">IFERROR(__xludf.DUMMYFUNCTION("""COMPUTED_VALUE"""),44152)</f>
        <v>44152</v>
      </c>
      <c r="E195" s="20" t="str">
        <f ca="1">IFERROR(__xludf.DUMMYFUNCTION("""COMPUTED_VALUE"""),"SI")</f>
        <v>SI</v>
      </c>
      <c r="F195" s="20" t="str">
        <f ca="1">IFERROR(__xludf.DUMMYFUNCTION("""COMPUTED_VALUE"""),"AMBIENTE;INDUSTRIA Y MINERÍA;LEGISLACIÓN GENERAL")</f>
        <v>AMBIENTE;INDUSTRIA Y MINERÍA;LEGISLACIÓN GENERAL</v>
      </c>
      <c r="G195" s="20">
        <f ca="1">IFERROR(__xludf.DUMMYFUNCTION("""COMPUTED_VALUE"""),3)</f>
        <v>3</v>
      </c>
      <c r="H195" s="20">
        <f ca="1">IFERROR(__xludf.DUMMYFUNCTION("""COMPUTED_VALUE"""),1)</f>
        <v>1</v>
      </c>
      <c r="I195" s="20">
        <f ca="1">IFERROR(__xludf.DUMMYFUNCTION("""COMPUTED_VALUE"""),1)</f>
        <v>1</v>
      </c>
      <c r="J195" s="20" t="str">
        <f ca="1">IFERROR(__xludf.DUMMYFUNCTION("""COMPUTED_VALUE"""),"Ley")</f>
        <v>Ley</v>
      </c>
      <c r="K195" s="20">
        <f ca="1">IFERROR(__xludf.DUMMYFUNCTION("""COMPUTED_VALUE"""),31660)</f>
        <v>31660</v>
      </c>
      <c r="L195" s="20" t="str">
        <f ca="1">IFERROR(__xludf.DUMMYFUNCTION("""COMPUTED_VALUE"""),"Poder Ejecutivo Provincial")</f>
        <v>Poder Ejecutivo Provincial</v>
      </c>
      <c r="M195" s="20" t="str">
        <f ca="1">IFERROR(__xludf.DUMMYFUNCTION("""COMPUTED_VALUE"""),"Proyecto de Ley 31660/L/20, presentado por el Poder Ejecutivo, declarando de interés provincial la Promoción y Desarrollo para la Producción y Consumo de Biocombustibles y Bioenergía, en el marco de la transición energética, estableciéndose el marco legal"&amp;", institucional y normativo para impulsar y promover la producción, el consumo y el aprovechamiento integral de los mismos, así como la transformación de la biomasa en general.")</f>
        <v>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v>
      </c>
      <c r="N195" s="20" t="str">
        <f ca="1">IFERROR(__xludf.DUMMYFUNCTION("""COMPUTED_VALUE"""),"SI")</f>
        <v>SI</v>
      </c>
      <c r="O195" s="20" t="str">
        <f ca="1">IFERROR(__xludf.DUMMYFUNCTION("""COMPUTED_VALUE"""),"NO")</f>
        <v>NO</v>
      </c>
      <c r="P195" s="20">
        <f ca="1">IFERROR(__xludf.DUMMYFUNCTION("""COMPUTED_VALUE"""),0)</f>
        <v>0</v>
      </c>
      <c r="Q195" s="113" t="str">
        <f ca="1">IFERROR(__xludf.DUMMYFUNCTION("""COMPUTED_VALUE"""),"https://gld.legislaturacba.gob.ar/_cdd/api/Documento/descargar?guid=bd0eb753-199a-4e61-a8b8-f537d43881a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v>
      </c>
      <c r="R195" s="113" t="str">
        <f ca="1">IFERROR(__xludf.DUMMYFUNCTION("""COMPUTED_VALUE"""),"https://www.youtube.com/watch?v=0CcvLpc3lB0")</f>
        <v>https://www.youtube.com/watch?v=0CcvLpc3lB0</v>
      </c>
      <c r="S195" s="113" t="str">
        <f ca="1">IFERROR(__xludf.DUMMYFUNCTION("""COMPUTED_VALUE"""),"https://gld.legislaturacba.gob.ar/Publics/Actas.aspx?id=8UA5pm_pIIk=;https://gld.legislaturacba.gob.ar/Publics/Actas.aspx?id=1K9FRmig12U=;https://gld.legislaturacba.gob.ar/Publics/Actas.aspx?id=-m5eS-gqc6k=")</f>
        <v>https://gld.legislaturacba.gob.ar/Publics/Actas.aspx?id=8UA5pm_pIIk=;https://gld.legislaturacba.gob.ar/Publics/Actas.aspx?id=1K9FRmig12U=;https://gld.legislaturacba.gob.ar/Publics/Actas.aspx?id=-m5eS-gqc6k=</v>
      </c>
      <c r="T195" s="99">
        <f t="shared" ca="1" si="0"/>
        <v>0</v>
      </c>
    </row>
    <row r="196" spans="1:20">
      <c r="A196" s="20">
        <f ca="1">IFERROR(__xludf.DUMMYFUNCTION("""COMPUTED_VALUE"""),195)</f>
        <v>195</v>
      </c>
      <c r="B196" s="20">
        <f ca="1">IFERROR(__xludf.DUMMYFUNCTION("""COMPUTED_VALUE"""),2020)</f>
        <v>2020</v>
      </c>
      <c r="C196" s="20" t="str">
        <f ca="1">IFERROR(__xludf.DUMMYFUNCTION("""COMPUTED_VALUE"""),"VIRTUAL")</f>
        <v>VIRTUAL</v>
      </c>
      <c r="D196" s="96">
        <f ca="1">IFERROR(__xludf.DUMMYFUNCTION("""COMPUTED_VALUE"""),44152)</f>
        <v>44152</v>
      </c>
      <c r="E196" s="20" t="str">
        <f ca="1">IFERROR(__xludf.DUMMYFUNCTION("""COMPUTED_VALUE"""),"SI")</f>
        <v>SI</v>
      </c>
      <c r="F196" s="20" t="str">
        <f ca="1">IFERROR(__xludf.DUMMYFUNCTION("""COMPUTED_VALUE"""),"ECONOMÍA, PRESUPUESTO, GESTIÓN PÚBLICA E INNOVACIÓN;LEGISLACIÓN GENERAL;EDUCACIÓN, CULTURA, CIENCIA, TECNOLOGÍA E INFORMÁTICA")</f>
        <v>ECONOMÍA, PRESUPUESTO, GESTIÓN PÚBLICA E INNOVACIÓN;LEGISLACIÓN GENERAL;EDUCACIÓN, CULTURA, CIENCIA, TECNOLOGÍA E INFORMÁTICA</v>
      </c>
      <c r="G196" s="20">
        <f ca="1">IFERROR(__xludf.DUMMYFUNCTION("""COMPUTED_VALUE"""),3)</f>
        <v>3</v>
      </c>
      <c r="H196" s="20">
        <f ca="1">IFERROR(__xludf.DUMMYFUNCTION("""COMPUTED_VALUE"""),1)</f>
        <v>1</v>
      </c>
      <c r="I196" s="20">
        <f ca="1">IFERROR(__xludf.DUMMYFUNCTION("""COMPUTED_VALUE"""),1)</f>
        <v>1</v>
      </c>
      <c r="J196" s="20" t="str">
        <f ca="1">IFERROR(__xludf.DUMMYFUNCTION("""COMPUTED_VALUE"""),"Ley")</f>
        <v>Ley</v>
      </c>
      <c r="K196" s="20">
        <f ca="1">IFERROR(__xludf.DUMMYFUNCTION("""COMPUTED_VALUE"""),31688)</f>
        <v>31688</v>
      </c>
      <c r="L196" s="20" t="str">
        <f ca="1">IFERROR(__xludf.DUMMYFUNCTION("""COMPUTED_VALUE"""),"Poder Ejecutivo Provincial")</f>
        <v>Poder Ejecutivo Provincial</v>
      </c>
      <c r="M196"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tecnol"&amp;"ogías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196" s="20" t="str">
        <f ca="1">IFERROR(__xludf.DUMMYFUNCTION("""COMPUTED_VALUE"""),"NO")</f>
        <v>NO</v>
      </c>
      <c r="O196" s="20" t="str">
        <f ca="1">IFERROR(__xludf.DUMMYFUNCTION("""COMPUTED_VALUE"""),"SI")</f>
        <v>SI</v>
      </c>
      <c r="P196" s="20">
        <f ca="1">IFERROR(__xludf.DUMMYFUNCTION("""COMPUTED_VALUE"""),3)</f>
        <v>3</v>
      </c>
      <c r="Q196" s="113" t="str">
        <f ca="1">IFERROR(__xludf.DUMMYFUNCTION("""COMPUTED_VALUE"""),"https://gld.legislaturacba.gob.ar/_cdd/api/Documento/descargar?guid=213380f5-3bbb-4e65-9476-bee2bb5ff62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v>
      </c>
      <c r="R196" s="113" t="str">
        <f ca="1">IFERROR(__xludf.DUMMYFUNCTION("""COMPUTED_VALUE"""),"https://www.youtube.com/watch?v=YtTFdBtueP0")</f>
        <v>https://www.youtube.com/watch?v=YtTFdBtueP0</v>
      </c>
      <c r="S196" s="113" t="str">
        <f ca="1">IFERROR(__xludf.DUMMYFUNCTION("""COMPUTED_VALUE"""),"https://gld.legislaturacba.gob.ar/Publics/Actas.aspx?id=Vl3PpKPH4d4=;https://gld.legislaturacba.gob.ar/Publics/Actas.aspx?id=0yKJCMCTo7c=;https://gld.legislaturacba.gob.ar/Publics/Actas.aspx?id=n8P0BCfliUc=")</f>
        <v>https://gld.legislaturacba.gob.ar/Publics/Actas.aspx?id=Vl3PpKPH4d4=;https://gld.legislaturacba.gob.ar/Publics/Actas.aspx?id=0yKJCMCTo7c=;https://gld.legislaturacba.gob.ar/Publics/Actas.aspx?id=n8P0BCfliUc=</v>
      </c>
      <c r="T196" s="99">
        <f t="shared" ca="1" si="0"/>
        <v>0</v>
      </c>
    </row>
    <row r="197" spans="1:20">
      <c r="A197" s="20">
        <f ca="1">IFERROR(__xludf.DUMMYFUNCTION("""COMPUTED_VALUE"""),196)</f>
        <v>196</v>
      </c>
      <c r="B197" s="20">
        <f ca="1">IFERROR(__xludf.DUMMYFUNCTION("""COMPUTED_VALUE"""),2020)</f>
        <v>2020</v>
      </c>
      <c r="C197" s="20" t="str">
        <f ca="1">IFERROR(__xludf.DUMMYFUNCTION("""COMPUTED_VALUE"""),"VIRTUAL")</f>
        <v>VIRTUAL</v>
      </c>
      <c r="D197" s="96">
        <f ca="1">IFERROR(__xludf.DUMMYFUNCTION("""COMPUTED_VALUE"""),44153)</f>
        <v>44153</v>
      </c>
      <c r="E197" s="20" t="str">
        <f ca="1">IFERROR(__xludf.DUMMYFUNCTION("""COMPUTED_VALUE"""),"NO")</f>
        <v>NO</v>
      </c>
      <c r="F197" s="20" t="str">
        <f ca="1">IFERROR(__xludf.DUMMYFUNCTION("""COMPUTED_VALUE"""),"DEPORTES Y RECREACIÓN")</f>
        <v>DEPORTES Y RECREACIÓN</v>
      </c>
      <c r="G197" s="20">
        <f ca="1">IFERROR(__xludf.DUMMYFUNCTION("""COMPUTED_VALUE"""),1)</f>
        <v>1</v>
      </c>
      <c r="H197" s="20">
        <f ca="1">IFERROR(__xludf.DUMMYFUNCTION("""COMPUTED_VALUE"""),2)</f>
        <v>2</v>
      </c>
      <c r="I197" s="20">
        <f ca="1">IFERROR(__xludf.DUMMYFUNCTION("""COMPUTED_VALUE"""),1)</f>
        <v>1</v>
      </c>
      <c r="J197" s="20" t="str">
        <f ca="1">IFERROR(__xludf.DUMMYFUNCTION("""COMPUTED_VALUE"""),"Resolución")</f>
        <v>Resolución</v>
      </c>
      <c r="K197" s="20">
        <f ca="1">IFERROR(__xludf.DUMMYFUNCTION("""COMPUTED_VALUE"""),31480)</f>
        <v>31480</v>
      </c>
      <c r="L197" s="20" t="str">
        <f ca="1">IFERROR(__xludf.DUMMYFUNCTION("""COMPUTED_VALUE"""),"Poder Legislativo Provincial")</f>
        <v>Poder Legislativo Provincial</v>
      </c>
      <c r="M197" s="20" t="str">
        <f ca="1">IFERROR(__xludf.DUMMYFUNCTION("""COMPUTED_VALUE"""),"Proyecto de Resolución 31480/R/20, iniciado por el Legislador Ambrosio, solicitando al Poder Ejecutivo informe sobre algunos aspectos vinculados a la suspensión o cancelación de las actividades de la Liga Nacional de Básquet en la modalidad “burbuja”.")</f>
        <v>Proyecto de Resolución 31480/R/20, iniciado por el Legislador Ambrosio, solicitando al Poder Ejecutivo informe sobre algunos aspectos vinculados a la suspensión o cancelación de las actividades de la Liga Nacional de Básquet en la modalidad “burbuja”.</v>
      </c>
      <c r="N197" s="20" t="str">
        <f ca="1">IFERROR(__xludf.DUMMYFUNCTION("""COMPUTED_VALUE"""),"NO")</f>
        <v>NO</v>
      </c>
      <c r="O197" s="20" t="str">
        <f ca="1">IFERROR(__xludf.DUMMYFUNCTION("""COMPUTED_VALUE"""),"SI")</f>
        <v>SI</v>
      </c>
      <c r="P197" s="20">
        <f ca="1">IFERROR(__xludf.DUMMYFUNCTION("""COMPUTED_VALUE"""),3)</f>
        <v>3</v>
      </c>
      <c r="Q197" s="113" t="str">
        <f ca="1">IFERROR(__xludf.DUMMYFUNCTION("""COMPUTED_VALUE"""),"https://gld.legislaturacba.gob.ar/_cdd/api/Documento/descargar?guid=5ce87290-5043-464c-a23f-fa3dbdb512c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v>
      </c>
      <c r="R197" s="113" t="str">
        <f ca="1">IFERROR(__xludf.DUMMYFUNCTION("""COMPUTED_VALUE"""),"https://www.youtube.com/watch?v=79hjkY3rQXY")</f>
        <v>https://www.youtube.com/watch?v=79hjkY3rQXY</v>
      </c>
      <c r="S197" s="113" t="str">
        <f ca="1">IFERROR(__xludf.DUMMYFUNCTION("""COMPUTED_VALUE"""),"https://gld.legislaturacba.gob.ar/Publics/Actas.aspx?id=jPEbZB6m_IA=")</f>
        <v>https://gld.legislaturacba.gob.ar/Publics/Actas.aspx?id=jPEbZB6m_IA=</v>
      </c>
      <c r="T197" s="99">
        <f t="shared" ca="1" si="0"/>
        <v>0</v>
      </c>
    </row>
    <row r="198" spans="1:20">
      <c r="A198" s="20">
        <f ca="1">IFERROR(__xludf.DUMMYFUNCTION("""COMPUTED_VALUE"""),197)</f>
        <v>197</v>
      </c>
      <c r="B198" s="20">
        <f ca="1">IFERROR(__xludf.DUMMYFUNCTION("""COMPUTED_VALUE"""),2020)</f>
        <v>2020</v>
      </c>
      <c r="C198" s="20" t="str">
        <f ca="1">IFERROR(__xludf.DUMMYFUNCTION("""COMPUTED_VALUE"""),"VIRTUAL")</f>
        <v>VIRTUAL</v>
      </c>
      <c r="D198" s="96">
        <f ca="1">IFERROR(__xludf.DUMMYFUNCTION("""COMPUTED_VALUE"""),44154)</f>
        <v>44154</v>
      </c>
      <c r="E198" s="20" t="str">
        <f ca="1">IFERROR(__xludf.DUMMYFUNCTION("""COMPUTED_VALUE"""),"SI")</f>
        <v>SI</v>
      </c>
      <c r="F198" s="20" t="str">
        <f ca="1">IFERROR(__xludf.DUMMYFUNCTION("""COMPUTED_VALUE"""),"ECONOMÍA, PRESUPUESTO, GESTIÓN PÚBLICA E INNOVACIÓN;LEGISLACIÓN GENERAL;ASUNTOS CONSTITUCIONALES, JUSTICIA Y ACUERDOS")</f>
        <v>ECONOMÍA, PRESUPUESTO, GESTIÓN PÚBLICA E INNOVACIÓN;LEGISLACIÓN GENERAL;ASUNTOS CONSTITUCIONALES, JUSTICIA Y ACUERDOS</v>
      </c>
      <c r="G198" s="20">
        <f ca="1">IFERROR(__xludf.DUMMYFUNCTION("""COMPUTED_VALUE"""),3)</f>
        <v>3</v>
      </c>
      <c r="H198" s="20">
        <f ca="1">IFERROR(__xludf.DUMMYFUNCTION("""COMPUTED_VALUE"""),3)</f>
        <v>3</v>
      </c>
      <c r="I198" s="20">
        <f ca="1">IFERROR(__xludf.DUMMYFUNCTION("""COMPUTED_VALUE"""),1)</f>
        <v>1</v>
      </c>
      <c r="J198" s="20" t="str">
        <f ca="1">IFERROR(__xludf.DUMMYFUNCTION("""COMPUTED_VALUE"""),"Ley")</f>
        <v>Ley</v>
      </c>
      <c r="K198" s="20">
        <f ca="1">IFERROR(__xludf.DUMMYFUNCTION("""COMPUTED_VALUE"""),31753)</f>
        <v>31753</v>
      </c>
      <c r="L198" s="20" t="str">
        <f ca="1">IFERROR(__xludf.DUMMYFUNCTION("""COMPUTED_VALUE"""),"Poder Ejecutivo Provincial")</f>
        <v>Poder Ejecutivo Provincial</v>
      </c>
      <c r="M198"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198" s="20" t="str">
        <f ca="1">IFERROR(__xludf.DUMMYFUNCTION("""COMPUTED_VALUE"""),"NO")</f>
        <v>NO</v>
      </c>
      <c r="O198" s="20" t="str">
        <f ca="1">IFERROR(__xludf.DUMMYFUNCTION("""COMPUTED_VALUE"""),"SI")</f>
        <v>SI</v>
      </c>
      <c r="P198" s="20">
        <f ca="1">IFERROR(__xludf.DUMMYFUNCTION("""COMPUTED_VALUE"""),2)</f>
        <v>2</v>
      </c>
      <c r="Q198" s="113" t="str">
        <f ca="1">IFERROR(__xludf.DUMMYFUNCTION("""COMPUTED_VALUE"""),"https://gld.legislaturacba.gob.ar/_cdd/api/Documento/descargar?guid=a28bacc3-386c-45ef-8582-4e5489084300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v>
      </c>
      <c r="R198" s="113" t="str">
        <f ca="1">IFERROR(__xludf.DUMMYFUNCTION("""COMPUTED_VALUE"""),"https://www.youtube.com/watch?v=NcWW3IB8fp0")</f>
        <v>https://www.youtube.com/watch?v=NcWW3IB8fp0</v>
      </c>
      <c r="S198" s="113" t="str">
        <f ca="1">IFERROR(__xludf.DUMMYFUNCTION("""COMPUTED_VALUE"""),"https://gld.legislaturacba.gob.ar/Publics/Actas.aspx?id=NscmDJ01PiQ=;https://gld.legislaturacba.gob.ar/Publics/Actas.aspx?id=ETxU6i6E0VQ=;https://gld.legislaturacba.gob.ar/Publics/Actas.aspx?id=ToYWMe5mdzo=")</f>
        <v>https://gld.legislaturacba.gob.ar/Publics/Actas.aspx?id=NscmDJ01PiQ=;https://gld.legislaturacba.gob.ar/Publics/Actas.aspx?id=ETxU6i6E0VQ=;https://gld.legislaturacba.gob.ar/Publics/Actas.aspx?id=ToYWMe5mdzo=</v>
      </c>
      <c r="T198" s="99">
        <f t="shared" ca="1" si="0"/>
        <v>0</v>
      </c>
    </row>
    <row r="199" spans="1:20">
      <c r="A199" s="20">
        <f ca="1">IFERROR(__xludf.DUMMYFUNCTION("""COMPUTED_VALUE"""),198)</f>
        <v>198</v>
      </c>
      <c r="B199" s="20">
        <f ca="1">IFERROR(__xludf.DUMMYFUNCTION("""COMPUTED_VALUE"""),2020)</f>
        <v>2020</v>
      </c>
      <c r="C199" s="20" t="str">
        <f ca="1">IFERROR(__xludf.DUMMYFUNCTION("""COMPUTED_VALUE"""),"VIRTUAL")</f>
        <v>VIRTUAL</v>
      </c>
      <c r="D199" s="96">
        <f ca="1">IFERROR(__xludf.DUMMYFUNCTION("""COMPUTED_VALUE"""),44154)</f>
        <v>44154</v>
      </c>
      <c r="E199" s="20" t="str">
        <f ca="1">IFERROR(__xludf.DUMMYFUNCTION("""COMPUTED_VALUE"""),"SI")</f>
        <v>SI</v>
      </c>
      <c r="F199"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199" s="20">
        <f ca="1">IFERROR(__xludf.DUMMYFUNCTION("""COMPUTED_VALUE"""),4)</f>
        <v>4</v>
      </c>
      <c r="H199" s="20">
        <f ca="1">IFERROR(__xludf.DUMMYFUNCTION("""COMPUTED_VALUE"""),1)</f>
        <v>1</v>
      </c>
      <c r="I199" s="20">
        <f ca="1">IFERROR(__xludf.DUMMYFUNCTION("""COMPUTED_VALUE"""),1)</f>
        <v>1</v>
      </c>
      <c r="J199" s="20" t="str">
        <f ca="1">IFERROR(__xludf.DUMMYFUNCTION("""COMPUTED_VALUE"""),"Ley")</f>
        <v>Ley</v>
      </c>
      <c r="K199" s="20">
        <f ca="1">IFERROR(__xludf.DUMMYFUNCTION("""COMPUTED_VALUE"""),31688)</f>
        <v>31688</v>
      </c>
      <c r="L199" s="20" t="str">
        <f ca="1">IFERROR(__xludf.DUMMYFUNCTION("""COMPUTED_VALUE"""),"Poder Ejecutivo Provincial")</f>
        <v>Poder Ejecutivo Provincial</v>
      </c>
      <c r="M199"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tecnol"&amp;"ogías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199" s="20" t="str">
        <f ca="1">IFERROR(__xludf.DUMMYFUNCTION("""COMPUTED_VALUE"""),"NO")</f>
        <v>NO</v>
      </c>
      <c r="O199" s="20" t="str">
        <f ca="1">IFERROR(__xludf.DUMMYFUNCTION("""COMPUTED_VALUE"""),"NO")</f>
        <v>NO</v>
      </c>
      <c r="P199" s="20">
        <f ca="1">IFERROR(__xludf.DUMMYFUNCTION("""COMPUTED_VALUE"""),0)</f>
        <v>0</v>
      </c>
      <c r="Q199" s="113" t="str">
        <f ca="1">IFERROR(__xludf.DUMMYFUNCTION("""COMPUTED_VALUE"""),"https://gld.legislaturacba.gob.ar/_cdd/api/Documento/descargar?guid=f0a0d5b6-b2fa-4454-bd34-94d875d37789&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v>
      </c>
      <c r="R199" s="20" t="str">
        <f ca="1">IFERROR(__xludf.DUMMYFUNCTION("""COMPUTED_VALUE"""),"NA")</f>
        <v>NA</v>
      </c>
      <c r="S199" s="113" t="str">
        <f ca="1">IFERROR(__xludf.DUMMYFUNCTION("""COMPUTED_VALUE"""),"https://gld.legislaturacba.gob.ar/Publics/Actas.aspx?id=2eNCdt31xww=;https://gld.legislaturacba.gob.ar/Publics/Actas.aspx?id=tps85x5vD3M=;https://gld.legislaturacba.gob.ar/Publics/Actas.aspx?id=uibVFnxsUYI=;https://gld.legislaturacba.gob.ar/Publics/Actas."&amp;"aspx?id=3ZUMjIbuvxs=")</f>
        <v>https://gld.legislaturacba.gob.ar/Publics/Actas.aspx?id=2eNCdt31xww=;https://gld.legislaturacba.gob.ar/Publics/Actas.aspx?id=tps85x5vD3M=;https://gld.legislaturacba.gob.ar/Publics/Actas.aspx?id=uibVFnxsUYI=;https://gld.legislaturacba.gob.ar/Publics/Actas.aspx?id=3ZUMjIbuvxs=</v>
      </c>
      <c r="T199" s="99">
        <f t="shared" ca="1" si="0"/>
        <v>0</v>
      </c>
    </row>
    <row r="200" spans="1:20">
      <c r="A200" s="20">
        <f ca="1">IFERROR(__xludf.DUMMYFUNCTION("""COMPUTED_VALUE"""),199)</f>
        <v>199</v>
      </c>
      <c r="B200" s="20">
        <f ca="1">IFERROR(__xludf.DUMMYFUNCTION("""COMPUTED_VALUE"""),2020)</f>
        <v>2020</v>
      </c>
      <c r="C200" s="20" t="str">
        <f ca="1">IFERROR(__xludf.DUMMYFUNCTION("""COMPUTED_VALUE"""),"VIRTUAL")</f>
        <v>VIRTUAL</v>
      </c>
      <c r="D200" s="96">
        <f ca="1">IFERROR(__xludf.DUMMYFUNCTION("""COMPUTED_VALUE"""),44154)</f>
        <v>44154</v>
      </c>
      <c r="E200" s="20" t="str">
        <f ca="1">IFERROR(__xludf.DUMMYFUNCTION("""COMPUTED_VALUE"""),"NO")</f>
        <v>NO</v>
      </c>
      <c r="F200" s="20" t="str">
        <f ca="1">IFERROR(__xludf.DUMMYFUNCTION("""COMPUTED_VALUE"""),"SERVICIOS PÚBLICOS")</f>
        <v>SERVICIOS PÚBLICOS</v>
      </c>
      <c r="G200" s="20">
        <f ca="1">IFERROR(__xludf.DUMMYFUNCTION("""COMPUTED_VALUE"""),1)</f>
        <v>1</v>
      </c>
      <c r="H200" s="20">
        <f ca="1">IFERROR(__xludf.DUMMYFUNCTION("""COMPUTED_VALUE"""),1)</f>
        <v>1</v>
      </c>
      <c r="I200" s="20">
        <f ca="1">IFERROR(__xludf.DUMMYFUNCTION("""COMPUTED_VALUE"""),1)</f>
        <v>1</v>
      </c>
      <c r="J200" s="20" t="str">
        <f ca="1">IFERROR(__xludf.DUMMYFUNCTION("""COMPUTED_VALUE"""),"NC")</f>
        <v>NC</v>
      </c>
      <c r="K200" s="20" t="str">
        <f ca="1">IFERROR(__xludf.DUMMYFUNCTION("""COMPUTED_VALUE"""),"NA")</f>
        <v>NA</v>
      </c>
      <c r="L200" s="20" t="str">
        <f ca="1">IFERROR(__xludf.DUMMYFUNCTION("""COMPUTED_VALUE"""),"NA")</f>
        <v>NA</v>
      </c>
      <c r="M200" s="20" t="str">
        <f ca="1">IFERROR(__xludf.DUMMYFUNCTION("""COMPUTED_VALUE"""),"Situación del transporte público de pasajeros en la Provincia de Córdoba.")</f>
        <v>Situación del transporte público de pasajeros en la Provincia de Córdoba.</v>
      </c>
      <c r="N200" s="20" t="str">
        <f ca="1">IFERROR(__xludf.DUMMYFUNCTION("""COMPUTED_VALUE"""),"NA")</f>
        <v>NA</v>
      </c>
      <c r="O200" s="20" t="str">
        <f ca="1">IFERROR(__xludf.DUMMYFUNCTION("""COMPUTED_VALUE"""),"SI")</f>
        <v>SI</v>
      </c>
      <c r="P200" s="20">
        <f ca="1">IFERROR(__xludf.DUMMYFUNCTION("""COMPUTED_VALUE"""),3)</f>
        <v>3</v>
      </c>
      <c r="Q200" s="113" t="str">
        <f ca="1">IFERROR(__xludf.DUMMYFUNCTION("""COMPUTED_VALUE"""),"https://gld.legislaturacba.gob.ar/_cdd/api/Documento/descargar?guid=99f3857b-c57e-4a60-8127-930c8fd08763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v>
      </c>
      <c r="R200" s="113" t="str">
        <f ca="1">IFERROR(__xludf.DUMMYFUNCTION("""COMPUTED_VALUE"""),"https://www.youtube.com/watch?v=Ge0l9NFj9qg")</f>
        <v>https://www.youtube.com/watch?v=Ge0l9NFj9qg</v>
      </c>
      <c r="S200" s="113" t="str">
        <f ca="1">IFERROR(__xludf.DUMMYFUNCTION("""COMPUTED_VALUE"""),"https://gld.legislaturacba.gob.ar/Publics/Actas.aspx?id=Ow7xqyo3Eb8=")</f>
        <v>https://gld.legislaturacba.gob.ar/Publics/Actas.aspx?id=Ow7xqyo3Eb8=</v>
      </c>
      <c r="T200" s="99">
        <f t="shared" ca="1" si="0"/>
        <v>0</v>
      </c>
    </row>
    <row r="201" spans="1:20">
      <c r="A201" s="20">
        <f ca="1">IFERROR(__xludf.DUMMYFUNCTION("""COMPUTED_VALUE"""),200)</f>
        <v>200</v>
      </c>
      <c r="B201" s="20">
        <f ca="1">IFERROR(__xludf.DUMMYFUNCTION("""COMPUTED_VALUE"""),2020)</f>
        <v>2020</v>
      </c>
      <c r="C201" s="20" t="str">
        <f ca="1">IFERROR(__xludf.DUMMYFUNCTION("""COMPUTED_VALUE"""),"VIRTUAL")</f>
        <v>VIRTUAL</v>
      </c>
      <c r="D201" s="96">
        <f ca="1">IFERROR(__xludf.DUMMYFUNCTION("""COMPUTED_VALUE"""),44159)</f>
        <v>44159</v>
      </c>
      <c r="E201" s="20" t="str">
        <f ca="1">IFERROR(__xludf.DUMMYFUNCTION("""COMPUTED_VALUE"""),"NO")</f>
        <v>NO</v>
      </c>
      <c r="F201" s="20" t="str">
        <f ca="1">IFERROR(__xludf.DUMMYFUNCTION("""COMPUTED_VALUE"""),"LEGISLACIÓN DEL TRABAJO, PREVISIÓN Y SEGURIDAD SOCIAL")</f>
        <v>LEGISLACIÓN DEL TRABAJO, PREVISIÓN Y SEGURIDAD SOCIAL</v>
      </c>
      <c r="G201" s="20">
        <f ca="1">IFERROR(__xludf.DUMMYFUNCTION("""COMPUTED_VALUE"""),1)</f>
        <v>1</v>
      </c>
      <c r="H201" s="20">
        <f ca="1">IFERROR(__xludf.DUMMYFUNCTION("""COMPUTED_VALUE"""),1)</f>
        <v>1</v>
      </c>
      <c r="I201" s="20">
        <f ca="1">IFERROR(__xludf.DUMMYFUNCTION("""COMPUTED_VALUE"""),1)</f>
        <v>1</v>
      </c>
      <c r="J201" s="20" t="str">
        <f ca="1">IFERROR(__xludf.DUMMYFUNCTION("""COMPUTED_VALUE"""),"NC")</f>
        <v>NC</v>
      </c>
      <c r="K201" s="20" t="str">
        <f ca="1">IFERROR(__xludf.DUMMYFUNCTION("""COMPUTED_VALUE"""),"NA")</f>
        <v>NA</v>
      </c>
      <c r="L201" s="20" t="str">
        <f ca="1">IFERROR(__xludf.DUMMYFUNCTION("""COMPUTED_VALUE"""),"NA")</f>
        <v>NA</v>
      </c>
      <c r="M201" s="20" t="str">
        <f ca="1">IFERROR(__xludf.DUMMYFUNCTION("""COMPUTED_VALUE"""),"Situación del sector de la industria del calzado en el marco de la Pandemia COVID-19.")</f>
        <v>Situación del sector de la industria del calzado en el marco de la Pandemia COVID-19.</v>
      </c>
      <c r="N201" s="20" t="str">
        <f ca="1">IFERROR(__xludf.DUMMYFUNCTION("""COMPUTED_VALUE"""),"NA")</f>
        <v>NA</v>
      </c>
      <c r="O201" s="20" t="str">
        <f ca="1">IFERROR(__xludf.DUMMYFUNCTION("""COMPUTED_VALUE"""),"SI")</f>
        <v>SI</v>
      </c>
      <c r="P201" s="20">
        <f ca="1">IFERROR(__xludf.DUMMYFUNCTION("""COMPUTED_VALUE"""),2)</f>
        <v>2</v>
      </c>
      <c r="Q201" s="113" t="str">
        <f ca="1">IFERROR(__xludf.DUMMYFUNCTION("""COMPUTED_VALUE"""),"https://gld.legislaturacba.gob.ar/_cdd/api/Documento/descargar?guid=629636a3-4c79-4b0b-96d9-2666d6a6ca83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v>
      </c>
      <c r="R201" s="113" t="str">
        <f ca="1">IFERROR(__xludf.DUMMYFUNCTION("""COMPUTED_VALUE"""),"https://www.youtube.com/watch?v=RolNrf7eElY")</f>
        <v>https://www.youtube.com/watch?v=RolNrf7eElY</v>
      </c>
      <c r="S201" s="113" t="str">
        <f ca="1">IFERROR(__xludf.DUMMYFUNCTION("""COMPUTED_VALUE"""),"https://gld.legislaturacba.gob.ar/Publics/Actas.aspx?id=jvHkn0Jc720=")</f>
        <v>https://gld.legislaturacba.gob.ar/Publics/Actas.aspx?id=jvHkn0Jc720=</v>
      </c>
      <c r="T201" s="99">
        <f t="shared" ca="1" si="0"/>
        <v>0</v>
      </c>
    </row>
    <row r="202" spans="1:20">
      <c r="A202" s="20">
        <f ca="1">IFERROR(__xludf.DUMMYFUNCTION("""COMPUTED_VALUE"""),201)</f>
        <v>201</v>
      </c>
      <c r="B202" s="20">
        <f ca="1">IFERROR(__xludf.DUMMYFUNCTION("""COMPUTED_VALUE"""),2020)</f>
        <v>2020</v>
      </c>
      <c r="C202" s="20" t="str">
        <f ca="1">IFERROR(__xludf.DUMMYFUNCTION("""COMPUTED_VALUE"""),"VIRTUAL")</f>
        <v>VIRTUAL</v>
      </c>
      <c r="D202" s="96">
        <f ca="1">IFERROR(__xludf.DUMMYFUNCTION("""COMPUTED_VALUE"""),44159)</f>
        <v>44159</v>
      </c>
      <c r="E202" s="20" t="str">
        <f ca="1">IFERROR(__xludf.DUMMYFUNCTION("""COMPUTED_VALUE"""),"SI")</f>
        <v>SI</v>
      </c>
      <c r="F202" s="20" t="str">
        <f ca="1">IFERROR(__xludf.DUMMYFUNCTION("""COMPUTED_VALUE"""),"ECONOMÍA, PRESUPUESTO, GESTIÓN PÚBLICA E INNOVACIÓN;ASUNTOS CONSTITUCIONALES, JUSTICIA Y ACUERDOS;LEGISLACIÓN GENERAL")</f>
        <v>ECONOMÍA, PRESUPUESTO, GESTIÓN PÚBLICA E INNOVACIÓN;ASUNTOS CONSTITUCIONALES, JUSTICIA Y ACUERDOS;LEGISLACIÓN GENERAL</v>
      </c>
      <c r="G202" s="20">
        <f ca="1">IFERROR(__xludf.DUMMYFUNCTION("""COMPUTED_VALUE"""),3)</f>
        <v>3</v>
      </c>
      <c r="H202" s="20">
        <f ca="1">IFERROR(__xludf.DUMMYFUNCTION("""COMPUTED_VALUE"""),3)</f>
        <v>3</v>
      </c>
      <c r="I202" s="20">
        <f ca="1">IFERROR(__xludf.DUMMYFUNCTION("""COMPUTED_VALUE"""),1)</f>
        <v>1</v>
      </c>
      <c r="J202" s="20" t="str">
        <f ca="1">IFERROR(__xludf.DUMMYFUNCTION("""COMPUTED_VALUE"""),"Ley")</f>
        <v>Ley</v>
      </c>
      <c r="K202" s="20">
        <f ca="1">IFERROR(__xludf.DUMMYFUNCTION("""COMPUTED_VALUE"""),31753)</f>
        <v>31753</v>
      </c>
      <c r="L202" s="20" t="str">
        <f ca="1">IFERROR(__xludf.DUMMYFUNCTION("""COMPUTED_VALUE"""),"Poder Ejecutivo Provincial")</f>
        <v>Poder Ejecutivo Provincial</v>
      </c>
      <c r="M202"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02" s="20" t="str">
        <f ca="1">IFERROR(__xludf.DUMMYFUNCTION("""COMPUTED_VALUE"""),"NO")</f>
        <v>NO</v>
      </c>
      <c r="O202" s="20" t="str">
        <f ca="1">IFERROR(__xludf.DUMMYFUNCTION("""COMPUTED_VALUE"""),"NO")</f>
        <v>NO</v>
      </c>
      <c r="P202" s="20">
        <f ca="1">IFERROR(__xludf.DUMMYFUNCTION("""COMPUTED_VALUE"""),0)</f>
        <v>0</v>
      </c>
      <c r="Q202" s="113" t="str">
        <f ca="1">IFERROR(__xludf.DUMMYFUNCTION("""COMPUTED_VALUE"""),"https://gld.legislaturacba.gob.ar/_cdd/api/Documento/descargar?guid=a539708a-cf21-4a73-b16a-1d370d83dc36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v>
      </c>
      <c r="R202" s="113" t="str">
        <f ca="1">IFERROR(__xludf.DUMMYFUNCTION("""COMPUTED_VALUE"""),"https://www.youtube.com/watch?v=gg01u0jaffA")</f>
        <v>https://www.youtube.com/watch?v=gg01u0jaffA</v>
      </c>
      <c r="S202" s="113" t="str">
        <f ca="1">IFERROR(__xludf.DUMMYFUNCTION("""COMPUTED_VALUE"""),"https://gld.legislaturacba.gob.ar/Publics/Actas.aspx?id=6ZRa_6WmIj4=;https://gld.legislaturacba.gob.ar/Publics/Actas.aspx?id=PCgUn_X273I=;https://gld.legislaturacba.gob.ar/Publics/Actas.aspx?id=r-WtQ-tqZxY=")</f>
        <v>https://gld.legislaturacba.gob.ar/Publics/Actas.aspx?id=6ZRa_6WmIj4=;https://gld.legislaturacba.gob.ar/Publics/Actas.aspx?id=PCgUn_X273I=;https://gld.legislaturacba.gob.ar/Publics/Actas.aspx?id=r-WtQ-tqZxY=</v>
      </c>
      <c r="T202" s="99">
        <f t="shared" ca="1" si="0"/>
        <v>0</v>
      </c>
    </row>
    <row r="203" spans="1:20">
      <c r="A203" s="20">
        <f ca="1">IFERROR(__xludf.DUMMYFUNCTION("""COMPUTED_VALUE"""),202)</f>
        <v>202</v>
      </c>
      <c r="B203" s="20">
        <f ca="1">IFERROR(__xludf.DUMMYFUNCTION("""COMPUTED_VALUE"""),2020)</f>
        <v>2020</v>
      </c>
      <c r="C203" s="20" t="str">
        <f ca="1">IFERROR(__xludf.DUMMYFUNCTION("""COMPUTED_VALUE"""),"VIRTUAL")</f>
        <v>VIRTUAL</v>
      </c>
      <c r="D203" s="96">
        <f ca="1">IFERROR(__xludf.DUMMYFUNCTION("""COMPUTED_VALUE"""),44159)</f>
        <v>44159</v>
      </c>
      <c r="E203" s="20" t="str">
        <f ca="1">IFERROR(__xludf.DUMMYFUNCTION("""COMPUTED_VALUE"""),"SI")</f>
        <v>SI</v>
      </c>
      <c r="F203"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203" s="20">
        <f ca="1">IFERROR(__xludf.DUMMYFUNCTION("""COMPUTED_VALUE"""),4)</f>
        <v>4</v>
      </c>
      <c r="H203" s="20">
        <f ca="1">IFERROR(__xludf.DUMMYFUNCTION("""COMPUTED_VALUE"""),2)</f>
        <v>2</v>
      </c>
      <c r="I203" s="20">
        <f ca="1">IFERROR(__xludf.DUMMYFUNCTION("""COMPUTED_VALUE"""),1)</f>
        <v>1</v>
      </c>
      <c r="J203" s="20" t="str">
        <f ca="1">IFERROR(__xludf.DUMMYFUNCTION("""COMPUTED_VALUE"""),"Ley")</f>
        <v>Ley</v>
      </c>
      <c r="K203" s="20">
        <f ca="1">IFERROR(__xludf.DUMMYFUNCTION("""COMPUTED_VALUE"""),31688)</f>
        <v>31688</v>
      </c>
      <c r="L203" s="20" t="str">
        <f ca="1">IFERROR(__xludf.DUMMYFUNCTION("""COMPUTED_VALUE"""),"Poder Ejecutivo Provincial")</f>
        <v>Poder Ejecutivo Provincial</v>
      </c>
      <c r="M203" s="20" t="str">
        <f ca="1">IFERROR(__xludf.DUMMYFUNCTION("""COMPUTED_VALUE"""),"Proyecto de Ley 31688/E/20, modificando e incorporando distintos artículos a la Ley Nº 10.649 con el objeto de crear un Régimen de Promoción de la Economía del Conocimiento para la Provincia de Córdoba que permita la adopción y aplicación de nuevas tecnol"&amp;"ogías para promover y aumentar la competitividad y productividad.")</f>
        <v>Proyecto de Ley 31688/E/20,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203" s="20" t="str">
        <f ca="1">IFERROR(__xludf.DUMMYFUNCTION("""COMPUTED_VALUE"""),"NO")</f>
        <v>NO</v>
      </c>
      <c r="O203" s="20" t="str">
        <f ca="1">IFERROR(__xludf.DUMMYFUNCTION("""COMPUTED_VALUE"""),"SI")</f>
        <v>SI</v>
      </c>
      <c r="P203" s="20">
        <f ca="1">IFERROR(__xludf.DUMMYFUNCTION("""COMPUTED_VALUE"""),5)</f>
        <v>5</v>
      </c>
      <c r="Q203" s="113" t="str">
        <f ca="1">IFERROR(__xludf.DUMMYFUNCTION("""COMPUTED_VALUE"""),"https://gld.legislaturacba.gob.ar/_cdd/api/Documento/descargar?guid=9205ac9c-357f-40b6-83e6-b13a7ff343e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v>
      </c>
      <c r="R203" s="113" t="str">
        <f ca="1">IFERROR(__xludf.DUMMYFUNCTION("""COMPUTED_VALUE"""),"https://www.youtube.com/watch?v=U6T2PHcXPRM")</f>
        <v>https://www.youtube.com/watch?v=U6T2PHcXPRM</v>
      </c>
      <c r="S203" s="113" t="str">
        <f ca="1">IFERROR(__xludf.DUMMYFUNCTION("""COMPUTED_VALUE"""),"https://gld.legislaturacba.gob.ar/Publics/Actas.aspx?id=S13yyNqOZWk=;https://gld.legislaturacba.gob.ar/Publics/Actas.aspx?id=9zGvIkY3OUE=;https://gld.legislaturacba.gob.ar/Publics/Actas.aspx?id=6_-RHLtiq_8=;https://gld.legislaturacba.gob.ar/Publics/Actas."&amp;"aspx?id=Jxl9Vjcr1Mk=")</f>
        <v>https://gld.legislaturacba.gob.ar/Publics/Actas.aspx?id=S13yyNqOZWk=;https://gld.legislaturacba.gob.ar/Publics/Actas.aspx?id=9zGvIkY3OUE=;https://gld.legislaturacba.gob.ar/Publics/Actas.aspx?id=6_-RHLtiq_8=;https://gld.legislaturacba.gob.ar/Publics/Actas.aspx?id=Jxl9Vjcr1Mk=</v>
      </c>
      <c r="T203" s="99">
        <f t="shared" ca="1" si="0"/>
        <v>0</v>
      </c>
    </row>
    <row r="204" spans="1:20">
      <c r="A204" s="20">
        <f ca="1">IFERROR(__xludf.DUMMYFUNCTION("""COMPUTED_VALUE"""),203)</f>
        <v>203</v>
      </c>
      <c r="B204" s="20">
        <f ca="1">IFERROR(__xludf.DUMMYFUNCTION("""COMPUTED_VALUE"""),2020)</f>
        <v>2020</v>
      </c>
      <c r="C204" s="20" t="str">
        <f ca="1">IFERROR(__xludf.DUMMYFUNCTION("""COMPUTED_VALUE"""),"VIRTUAL")</f>
        <v>VIRTUAL</v>
      </c>
      <c r="D204" s="96">
        <f ca="1">IFERROR(__xludf.DUMMYFUNCTION("""COMPUTED_VALUE"""),44160)</f>
        <v>44160</v>
      </c>
      <c r="E204" s="20" t="str">
        <f ca="1">IFERROR(__xludf.DUMMYFUNCTION("""COMPUTED_VALUE"""),"NO")</f>
        <v>NO</v>
      </c>
      <c r="F204" s="20" t="str">
        <f ca="1">IFERROR(__xludf.DUMMYFUNCTION("""COMPUTED_VALUE"""),"DERECHOS HUMANOS Y DESARROLLO SOCIAL")</f>
        <v>DERECHOS HUMANOS Y DESARROLLO SOCIAL</v>
      </c>
      <c r="G204" s="20">
        <f ca="1">IFERROR(__xludf.DUMMYFUNCTION("""COMPUTED_VALUE"""),1)</f>
        <v>1</v>
      </c>
      <c r="H204" s="20">
        <f ca="1">IFERROR(__xludf.DUMMYFUNCTION("""COMPUTED_VALUE"""),3)</f>
        <v>3</v>
      </c>
      <c r="I204" s="20">
        <f ca="1">IFERROR(__xludf.DUMMYFUNCTION("""COMPUTED_VALUE"""),1)</f>
        <v>1</v>
      </c>
      <c r="J204" s="20" t="str">
        <f ca="1">IFERROR(__xludf.DUMMYFUNCTION("""COMPUTED_VALUE"""),"Ley")</f>
        <v>Ley</v>
      </c>
      <c r="K204" s="20">
        <f ca="1">IFERROR(__xludf.DUMMYFUNCTION("""COMPUTED_VALUE"""),30515)</f>
        <v>30515</v>
      </c>
      <c r="L204" s="20" t="str">
        <f ca="1">IFERROR(__xludf.DUMMYFUNCTION("""COMPUTED_VALUE"""),"Poder Legislativo Provincial")</f>
        <v>Poder Legislativo Provincial</v>
      </c>
      <c r="M204" s="20" t="str">
        <f ca="1">IFERROR(__xludf.DUMMYFUNCTION("""COMPUTED_VALUE"""),"Proyecto de Ley 30515/L/20, iniciado por la legisladora Echevarría, estableciendo la obligatoriedad de traducir a la Lengua de Señas Argentina (LSA), las transmisiones de las sesiones de la Legislatura de la Provincia de Córdoba, a través de sus canales o"&amp;"ficiales.")</f>
        <v>Proyecto de Ley 30515/L/20, iniciado por la legisladora Echevarría, estableciendo la obligatoriedad de traducir a la Lengua de Señas Argentina (LSA), las transmisiones de las sesiones de la Legislatura de la Provincia de Córdoba, a través de sus canales oficiales.</v>
      </c>
      <c r="N204" s="20" t="str">
        <f ca="1">IFERROR(__xludf.DUMMYFUNCTION("""COMPUTED_VALUE"""),"NO")</f>
        <v>NO</v>
      </c>
      <c r="O204" s="20" t="str">
        <f ca="1">IFERROR(__xludf.DUMMYFUNCTION("""COMPUTED_VALUE"""),"NO")</f>
        <v>NO</v>
      </c>
      <c r="P204" s="20">
        <f ca="1">IFERROR(__xludf.DUMMYFUNCTION("""COMPUTED_VALUE"""),0)</f>
        <v>0</v>
      </c>
      <c r="Q204" s="113" t="str">
        <f ca="1">IFERROR(__xludf.DUMMYFUNCTION("""COMPUTED_VALUE"""),"https://gld.legislaturacba.gob.ar/_cdd/api/Documento/descargar?guid=0d08a8d5-39b2-4ffd-a3e7-834f1b132570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v>
      </c>
      <c r="R204" s="113" t="str">
        <f ca="1">IFERROR(__xludf.DUMMYFUNCTION("""COMPUTED_VALUE"""),"https://www.youtube.com/watch?v=-NKDvABYslM")</f>
        <v>https://www.youtube.com/watch?v=-NKDvABYslM</v>
      </c>
      <c r="S204" s="113" t="str">
        <f ca="1">IFERROR(__xludf.DUMMYFUNCTION("""COMPUTED_VALUE"""),"https://gld.legislaturacba.gob.ar/Publics/Actas.aspx?id=NkYTWIUucoY=")</f>
        <v>https://gld.legislaturacba.gob.ar/Publics/Actas.aspx?id=NkYTWIUucoY=</v>
      </c>
      <c r="T204" s="99">
        <f t="shared" ca="1" si="0"/>
        <v>0</v>
      </c>
    </row>
    <row r="205" spans="1:20">
      <c r="A205" s="20">
        <f ca="1">IFERROR(__xludf.DUMMYFUNCTION("""COMPUTED_VALUE"""),204)</f>
        <v>204</v>
      </c>
      <c r="B205" s="20">
        <f ca="1">IFERROR(__xludf.DUMMYFUNCTION("""COMPUTED_VALUE"""),2020)</f>
        <v>2020</v>
      </c>
      <c r="C205" s="20" t="str">
        <f ca="1">IFERROR(__xludf.DUMMYFUNCTION("""COMPUTED_VALUE"""),"VIRTUAL")</f>
        <v>VIRTUAL</v>
      </c>
      <c r="D205" s="96">
        <f ca="1">IFERROR(__xludf.DUMMYFUNCTION("""COMPUTED_VALUE"""),44161)</f>
        <v>44161</v>
      </c>
      <c r="E205" s="20" t="str">
        <f ca="1">IFERROR(__xludf.DUMMYFUNCTION("""COMPUTED_VALUE"""),"SI")</f>
        <v>SI</v>
      </c>
      <c r="F205" s="20" t="str">
        <f ca="1">IFERROR(__xludf.DUMMYFUNCTION("""COMPUTED_VALUE"""),"ECONOMÍA, PRESUPUESTO, GESTIÓN PÚBLICA E INNOVACIÓN;ASUNTOS CONSTITUCIONALES, JUSTICIA Y ACUERDOS;LEGISLACIÓN GENERAL")</f>
        <v>ECONOMÍA, PRESUPUESTO, GESTIÓN PÚBLICA E INNOVACIÓN;ASUNTOS CONSTITUCIONALES, JUSTICIA Y ACUERDOS;LEGISLACIÓN GENERAL</v>
      </c>
      <c r="G205" s="20">
        <f ca="1">IFERROR(__xludf.DUMMYFUNCTION("""COMPUTED_VALUE"""),3)</f>
        <v>3</v>
      </c>
      <c r="H205" s="20">
        <f ca="1">IFERROR(__xludf.DUMMYFUNCTION("""COMPUTED_VALUE"""),3)</f>
        <v>3</v>
      </c>
      <c r="I205" s="20">
        <f ca="1">IFERROR(__xludf.DUMMYFUNCTION("""COMPUTED_VALUE"""),1)</f>
        <v>1</v>
      </c>
      <c r="J205" s="20" t="str">
        <f ca="1">IFERROR(__xludf.DUMMYFUNCTION("""COMPUTED_VALUE"""),"Ley")</f>
        <v>Ley</v>
      </c>
      <c r="K205" s="20">
        <f ca="1">IFERROR(__xludf.DUMMYFUNCTION("""COMPUTED_VALUE"""),31753)</f>
        <v>31753</v>
      </c>
      <c r="L205" s="20" t="str">
        <f ca="1">IFERROR(__xludf.DUMMYFUNCTION("""COMPUTED_VALUE"""),"Poder Ejecutivo Provincial")</f>
        <v>Poder Ejecutivo Provincial</v>
      </c>
      <c r="M205"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05" s="20" t="str">
        <f ca="1">IFERROR(__xludf.DUMMYFUNCTION("""COMPUTED_VALUE"""),"SI")</f>
        <v>SI</v>
      </c>
      <c r="O205" s="20" t="str">
        <f ca="1">IFERROR(__xludf.DUMMYFUNCTION("""COMPUTED_VALUE"""),"SI")</f>
        <v>SI</v>
      </c>
      <c r="P205" s="20">
        <f ca="1">IFERROR(__xludf.DUMMYFUNCTION("""COMPUTED_VALUE"""),2)</f>
        <v>2</v>
      </c>
      <c r="Q205" s="113" t="str">
        <f ca="1">IFERROR(__xludf.DUMMYFUNCTION("""COMPUTED_VALUE"""),"https://gld.legislaturacba.gob.ar/_cdd/api/Documento/descargar?guid=6233bdae-6a05-4e1e-9ce7-a0f26b7614b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v>
      </c>
      <c r="R205" s="113" t="str">
        <f ca="1">IFERROR(__xludf.DUMMYFUNCTION("""COMPUTED_VALUE"""),"https://www.youtube.com/watch?v=J298QWPeYnw")</f>
        <v>https://www.youtube.com/watch?v=J298QWPeYnw</v>
      </c>
      <c r="S205" s="113" t="str">
        <f ca="1">IFERROR(__xludf.DUMMYFUNCTION("""COMPUTED_VALUE"""),"https://gld.legislaturacba.gob.ar/Publics/Actas.aspx?id=z-3fZDwzcAY=;https://gld.legislaturacba.gob.ar/Publics/Actas.aspx?id=IgBGmRUABcU=;https://gld.legislaturacba.gob.ar/Publics/Actas.aspx?id=r6Cjd9pDJmo=")</f>
        <v>https://gld.legislaturacba.gob.ar/Publics/Actas.aspx?id=z-3fZDwzcAY=;https://gld.legislaturacba.gob.ar/Publics/Actas.aspx?id=IgBGmRUABcU=;https://gld.legislaturacba.gob.ar/Publics/Actas.aspx?id=r6Cjd9pDJmo=</v>
      </c>
      <c r="T205" s="99">
        <f t="shared" ca="1" si="0"/>
        <v>0</v>
      </c>
    </row>
    <row r="206" spans="1:20">
      <c r="A206" s="20">
        <f ca="1">IFERROR(__xludf.DUMMYFUNCTION("""COMPUTED_VALUE"""),205)</f>
        <v>205</v>
      </c>
      <c r="B206" s="20">
        <f ca="1">IFERROR(__xludf.DUMMYFUNCTION("""COMPUTED_VALUE"""),2020)</f>
        <v>2020</v>
      </c>
      <c r="C206" s="20" t="str">
        <f ca="1">IFERROR(__xludf.DUMMYFUNCTION("""COMPUTED_VALUE"""),"VIRTUAL")</f>
        <v>VIRTUAL</v>
      </c>
      <c r="D206" s="96">
        <f ca="1">IFERROR(__xludf.DUMMYFUNCTION("""COMPUTED_VALUE"""),44161)</f>
        <v>44161</v>
      </c>
      <c r="E206" s="20" t="str">
        <f ca="1">IFERROR(__xludf.DUMMYFUNCTION("""COMPUTED_VALUE"""),"NO")</f>
        <v>NO</v>
      </c>
      <c r="F206" s="20" t="str">
        <f ca="1">IFERROR(__xludf.DUMMYFUNCTION("""COMPUTED_VALUE"""),"EQUIDAD Y LUCHA CONTRA LA VIOLENCIA DE GÉNERO")</f>
        <v>EQUIDAD Y LUCHA CONTRA LA VIOLENCIA DE GÉNERO</v>
      </c>
      <c r="G206" s="20">
        <f ca="1">IFERROR(__xludf.DUMMYFUNCTION("""COMPUTED_VALUE"""),1)</f>
        <v>1</v>
      </c>
      <c r="H206" s="20">
        <f ca="1">IFERROR(__xludf.DUMMYFUNCTION("""COMPUTED_VALUE"""),3)</f>
        <v>3</v>
      </c>
      <c r="I206" s="20">
        <f ca="1">IFERROR(__xludf.DUMMYFUNCTION("""COMPUTED_VALUE"""),1)</f>
        <v>1</v>
      </c>
      <c r="J206" s="20" t="str">
        <f ca="1">IFERROR(__xludf.DUMMYFUNCTION("""COMPUTED_VALUE"""),"Ley")</f>
        <v>Ley</v>
      </c>
      <c r="K206" s="20">
        <f ca="1">IFERROR(__xludf.DUMMYFUNCTION("""COMPUTED_VALUE"""),30684)</f>
        <v>30684</v>
      </c>
      <c r="L206" s="20" t="str">
        <f ca="1">IFERROR(__xludf.DUMMYFUNCTION("""COMPUTED_VALUE"""),"Poder Legislativo Provincial")</f>
        <v>Poder Legislativo Provincial</v>
      </c>
      <c r="M206" s="20" t="str">
        <f ca="1">IFERROR(__xludf.DUMMYFUNCTION("""COMPUTED_VALUE"""),"Proyecto de Ley 30684/L/20, iniciado por la Legisladora Paleo, adhiriendo la Provincia de Córdoba a la Ley Nacional Nº 27533, de Protección Integral a las Mujeres.")</f>
        <v>Proyecto de Ley 30684/L/20, iniciado por la Legisladora Paleo, adhiriendo la Provincia de Córdoba a la Ley Nacional Nº 27533, de Protección Integral a las Mujeres.</v>
      </c>
      <c r="N206" s="20" t="str">
        <f ca="1">IFERROR(__xludf.DUMMYFUNCTION("""COMPUTED_VALUE"""),"NO")</f>
        <v>NO</v>
      </c>
      <c r="O206" s="20" t="str">
        <f ca="1">IFERROR(__xludf.DUMMYFUNCTION("""COMPUTED_VALUE"""),"NO")</f>
        <v>NO</v>
      </c>
      <c r="P206" s="20">
        <f ca="1">IFERROR(__xludf.DUMMYFUNCTION("""COMPUTED_VALUE"""),0)</f>
        <v>0</v>
      </c>
      <c r="Q206" s="113" t="str">
        <f ca="1">IFERROR(__xludf.DUMMYFUNCTION("""COMPUTED_VALUE"""),"https://gld.legislaturacba.gob.ar/_cdd/api/Documento/descargar?guid=2ec32fb1-6c1f-4611-8976-cc808a9fecd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v>
      </c>
      <c r="R206" s="113" t="str">
        <f ca="1">IFERROR(__xludf.DUMMYFUNCTION("""COMPUTED_VALUE"""),"https://www.youtube.com/watch?v=sNHwYlMvZYg")</f>
        <v>https://www.youtube.com/watch?v=sNHwYlMvZYg</v>
      </c>
      <c r="S206" s="113" t="str">
        <f ca="1">IFERROR(__xludf.DUMMYFUNCTION("""COMPUTED_VALUE"""),"https://gld.legislaturacba.gob.ar/Publics/Actas.aspx?id=Ns2u8LRwkMY=")</f>
        <v>https://gld.legislaturacba.gob.ar/Publics/Actas.aspx?id=Ns2u8LRwkMY=</v>
      </c>
      <c r="T206" s="99">
        <f t="shared" ca="1" si="0"/>
        <v>0</v>
      </c>
    </row>
    <row r="207" spans="1:20">
      <c r="A207" s="20">
        <f ca="1">IFERROR(__xludf.DUMMYFUNCTION("""COMPUTED_VALUE"""),206)</f>
        <v>206</v>
      </c>
      <c r="B207" s="20">
        <f ca="1">IFERROR(__xludf.DUMMYFUNCTION("""COMPUTED_VALUE"""),2020)</f>
        <v>2020</v>
      </c>
      <c r="C207" s="20" t="str">
        <f ca="1">IFERROR(__xludf.DUMMYFUNCTION("""COMPUTED_VALUE"""),"VIRTUAL")</f>
        <v>VIRTUAL</v>
      </c>
      <c r="D207" s="96">
        <f ca="1">IFERROR(__xludf.DUMMYFUNCTION("""COMPUTED_VALUE"""),44161)</f>
        <v>44161</v>
      </c>
      <c r="E207" s="20" t="str">
        <f ca="1">IFERROR(__xludf.DUMMYFUNCTION("""COMPUTED_VALUE"""),"SI")</f>
        <v>SI</v>
      </c>
      <c r="F207"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207" s="20">
        <f ca="1">IFERROR(__xludf.DUMMYFUNCTION("""COMPUTED_VALUE"""),4)</f>
        <v>4</v>
      </c>
      <c r="H207" s="20">
        <f ca="1">IFERROR(__xludf.DUMMYFUNCTION("""COMPUTED_VALUE"""),2)</f>
        <v>2</v>
      </c>
      <c r="I207" s="20">
        <f ca="1">IFERROR(__xludf.DUMMYFUNCTION("""COMPUTED_VALUE"""),1)</f>
        <v>1</v>
      </c>
      <c r="J207" s="20" t="str">
        <f ca="1">IFERROR(__xludf.DUMMYFUNCTION("""COMPUTED_VALUE"""),"Ley")</f>
        <v>Ley</v>
      </c>
      <c r="K207" s="20">
        <f ca="1">IFERROR(__xludf.DUMMYFUNCTION("""COMPUTED_VALUE"""),31688)</f>
        <v>31688</v>
      </c>
      <c r="L207" s="20" t="str">
        <f ca="1">IFERROR(__xludf.DUMMYFUNCTION("""COMPUTED_VALUE"""),"Poder Ejecutivo Provincial")</f>
        <v>Poder Ejecutivo Provincial</v>
      </c>
      <c r="M207"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tecnolo"&amp;"gías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207" s="20" t="str">
        <f ca="1">IFERROR(__xludf.DUMMYFUNCTION("""COMPUTED_VALUE"""),"NO")</f>
        <v>NO</v>
      </c>
      <c r="O207" s="20" t="str">
        <f ca="1">IFERROR(__xludf.DUMMYFUNCTION("""COMPUTED_VALUE"""),"SI")</f>
        <v>SI</v>
      </c>
      <c r="P207" s="20">
        <f ca="1">IFERROR(__xludf.DUMMYFUNCTION("""COMPUTED_VALUE"""),4)</f>
        <v>4</v>
      </c>
      <c r="Q207" s="113" t="str">
        <f ca="1">IFERROR(__xludf.DUMMYFUNCTION("""COMPUTED_VALUE"""),"https://gld.legislaturacba.gob.ar/_cdd/api/Documento/descargar?guid=17718787-a3d3-494e-91bc-50aac06ed067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v>
      </c>
      <c r="R207" s="113" t="str">
        <f ca="1">IFERROR(__xludf.DUMMYFUNCTION("""COMPUTED_VALUE"""),"https://www.youtube.com/watch?v=pOX0tSIj1FA")</f>
        <v>https://www.youtube.com/watch?v=pOX0tSIj1FA</v>
      </c>
      <c r="S207" s="113" t="str">
        <f ca="1">IFERROR(__xludf.DUMMYFUNCTION("""COMPUTED_VALUE"""),"https://gld.legislaturacba.gob.ar/Publics/Actas.aspx?id=uIZJJ1AwGRU=;https://gld.legislaturacba.gob.ar/Publics/Actas.aspx?id=Nrz2T7u9xPY=;https://gld.legislaturacba.gob.ar/Publics/Actas.aspx?id=u5gZHsRGm1g=;https://gld.legislaturacba.gob.ar/Publics/Actas."&amp;"aspx?id=ndgs485_fYg=")</f>
        <v>https://gld.legislaturacba.gob.ar/Publics/Actas.aspx?id=uIZJJ1AwGRU=;https://gld.legislaturacba.gob.ar/Publics/Actas.aspx?id=Nrz2T7u9xPY=;https://gld.legislaturacba.gob.ar/Publics/Actas.aspx?id=u5gZHsRGm1g=;https://gld.legislaturacba.gob.ar/Publics/Actas.aspx?id=ndgs485_fYg=</v>
      </c>
      <c r="T207" s="99">
        <f t="shared" ca="1" si="0"/>
        <v>0</v>
      </c>
    </row>
    <row r="208" spans="1:20">
      <c r="A208" s="20">
        <f ca="1">IFERROR(__xludf.DUMMYFUNCTION("""COMPUTED_VALUE"""),207)</f>
        <v>207</v>
      </c>
      <c r="B208" s="20">
        <f ca="1">IFERROR(__xludf.DUMMYFUNCTION("""COMPUTED_VALUE"""),2020)</f>
        <v>2020</v>
      </c>
      <c r="C208" s="20" t="str">
        <f ca="1">IFERROR(__xludf.DUMMYFUNCTION("""COMPUTED_VALUE"""),"VIRTUAL")</f>
        <v>VIRTUAL</v>
      </c>
      <c r="D208" s="96">
        <f ca="1">IFERROR(__xludf.DUMMYFUNCTION("""COMPUTED_VALUE"""),44166)</f>
        <v>44166</v>
      </c>
      <c r="E208" s="20" t="str">
        <f ca="1">IFERROR(__xludf.DUMMYFUNCTION("""COMPUTED_VALUE"""),"SI")</f>
        <v>SI</v>
      </c>
      <c r="F208" s="20" t="str">
        <f ca="1">IFERROR(__xludf.DUMMYFUNCTION("""COMPUTED_VALUE"""),"ECONOMÍA, PRESUPUESTO, GESTIÓN PÚBLICA E INNOVACIÓN;ASUNTOS CONSTITUCIONALES, JUSTICIA Y ACUERDOS;LEGISLACIÓN GENERAL")</f>
        <v>ECONOMÍA, PRESUPUESTO, GESTIÓN PÚBLICA E INNOVACIÓN;ASUNTOS CONSTITUCIONALES, JUSTICIA Y ACUERDOS;LEGISLACIÓN GENERAL</v>
      </c>
      <c r="G208" s="20">
        <f ca="1">IFERROR(__xludf.DUMMYFUNCTION("""COMPUTED_VALUE"""),3)</f>
        <v>3</v>
      </c>
      <c r="H208" s="20">
        <f ca="1">IFERROR(__xludf.DUMMYFUNCTION("""COMPUTED_VALUE"""),3)</f>
        <v>3</v>
      </c>
      <c r="I208" s="20">
        <f ca="1">IFERROR(__xludf.DUMMYFUNCTION("""COMPUTED_VALUE"""),1)</f>
        <v>1</v>
      </c>
      <c r="J208" s="20" t="str">
        <f ca="1">IFERROR(__xludf.DUMMYFUNCTION("""COMPUTED_VALUE"""),"Ley")</f>
        <v>Ley</v>
      </c>
      <c r="K208" s="20">
        <f ca="1">IFERROR(__xludf.DUMMYFUNCTION("""COMPUTED_VALUE"""),31753)</f>
        <v>31753</v>
      </c>
      <c r="L208" s="20" t="str">
        <f ca="1">IFERROR(__xludf.DUMMYFUNCTION("""COMPUTED_VALUE"""),"Poder Ejecutivo Provincial")</f>
        <v>Poder Ejecutivo Provincial</v>
      </c>
      <c r="M208"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08" s="20" t="str">
        <f ca="1">IFERROR(__xludf.DUMMYFUNCTION("""COMPUTED_VALUE"""),"NO")</f>
        <v>NO</v>
      </c>
      <c r="O208" s="20" t="str">
        <f ca="1">IFERROR(__xludf.DUMMYFUNCTION("""COMPUTED_VALUE"""),"SI")</f>
        <v>SI</v>
      </c>
      <c r="P208" s="20">
        <f ca="1">IFERROR(__xludf.DUMMYFUNCTION("""COMPUTED_VALUE"""),2)</f>
        <v>2</v>
      </c>
      <c r="Q208" s="113" t="str">
        <f ca="1">IFERROR(__xludf.DUMMYFUNCTION("""COMPUTED_VALUE"""),"https://gld.legislaturacba.gob.ar/_cdd/api/Documento/descargar?guid=c68f132d-3153-4f3f-86b1-1fa61df54ee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v>
      </c>
      <c r="R208" s="113" t="str">
        <f ca="1">IFERROR(__xludf.DUMMYFUNCTION("""COMPUTED_VALUE"""),"https://www.youtube.com/watch?v=zSz0Kh-GrXk")</f>
        <v>https://www.youtube.com/watch?v=zSz0Kh-GrXk</v>
      </c>
      <c r="S208" s="113" t="str">
        <f ca="1">IFERROR(__xludf.DUMMYFUNCTION("""COMPUTED_VALUE"""),"https://gld.legislaturacba.gob.ar/Publics/Actas.aspx?id=u0489YzJ6b8=;https://gld.legislaturacba.gob.ar/Publics/Actas.aspx?id=NCP-AmqnWt0=;https://gld.legislaturacba.gob.ar/Publics/Actas.aspx?id=-MXc17ILd1s=")</f>
        <v>https://gld.legislaturacba.gob.ar/Publics/Actas.aspx?id=u0489YzJ6b8=;https://gld.legislaturacba.gob.ar/Publics/Actas.aspx?id=NCP-AmqnWt0=;https://gld.legislaturacba.gob.ar/Publics/Actas.aspx?id=-MXc17ILd1s=</v>
      </c>
      <c r="T208" s="99">
        <f t="shared" ca="1" si="0"/>
        <v>0</v>
      </c>
    </row>
    <row r="209" spans="1:20">
      <c r="A209" s="20">
        <f ca="1">IFERROR(__xludf.DUMMYFUNCTION("""COMPUTED_VALUE"""),208)</f>
        <v>208</v>
      </c>
      <c r="B209" s="20">
        <f ca="1">IFERROR(__xludf.DUMMYFUNCTION("""COMPUTED_VALUE"""),2020)</f>
        <v>2020</v>
      </c>
      <c r="C209" s="20" t="str">
        <f ca="1">IFERROR(__xludf.DUMMYFUNCTION("""COMPUTED_VALUE"""),"VIRTUAL")</f>
        <v>VIRTUAL</v>
      </c>
      <c r="D209" s="96">
        <f ca="1">IFERROR(__xludf.DUMMYFUNCTION("""COMPUTED_VALUE"""),44166)</f>
        <v>44166</v>
      </c>
      <c r="E209" s="20" t="str">
        <f ca="1">IFERROR(__xludf.DUMMYFUNCTION("""COMPUTED_VALUE"""),"NO")</f>
        <v>NO</v>
      </c>
      <c r="F209" s="20" t="str">
        <f ca="1">IFERROR(__xludf.DUMMYFUNCTION("""COMPUTED_VALUE"""),"PROMOCIÓN Y DESARROLLO DE ECONOMÍAS REGIONALES Y PYMES")</f>
        <v>PROMOCIÓN Y DESARROLLO DE ECONOMÍAS REGIONALES Y PYMES</v>
      </c>
      <c r="G209" s="20">
        <f ca="1">IFERROR(__xludf.DUMMYFUNCTION("""COMPUTED_VALUE"""),1)</f>
        <v>1</v>
      </c>
      <c r="H209" s="20">
        <f ca="1">IFERROR(__xludf.DUMMYFUNCTION("""COMPUTED_VALUE"""),1)</f>
        <v>1</v>
      </c>
      <c r="I209" s="20">
        <f ca="1">IFERROR(__xludf.DUMMYFUNCTION("""COMPUTED_VALUE"""),1)</f>
        <v>1</v>
      </c>
      <c r="J209" s="20" t="str">
        <f ca="1">IFERROR(__xludf.DUMMYFUNCTION("""COMPUTED_VALUE"""),"NC")</f>
        <v>NC</v>
      </c>
      <c r="K209" s="20" t="str">
        <f ca="1">IFERROR(__xludf.DUMMYFUNCTION("""COMPUTED_VALUE"""),"NA")</f>
        <v>NA</v>
      </c>
      <c r="L209" s="20" t="str">
        <f ca="1">IFERROR(__xludf.DUMMYFUNCTION("""COMPUTED_VALUE"""),"NA")</f>
        <v>NA</v>
      </c>
      <c r="M209" s="20" t="str">
        <f ca="1">IFERROR(__xludf.DUMMYFUNCTION("""COMPUTED_VALUE"""),"Incorporación de nuevos miembros y designación de la Presidencia.")</f>
        <v>Incorporación de nuevos miembros y designación de la Presidencia.</v>
      </c>
      <c r="N209" s="20" t="str">
        <f ca="1">IFERROR(__xludf.DUMMYFUNCTION("""COMPUTED_VALUE"""),"NA")</f>
        <v>NA</v>
      </c>
      <c r="O209" s="20" t="str">
        <f ca="1">IFERROR(__xludf.DUMMYFUNCTION("""COMPUTED_VALUE"""),"NO")</f>
        <v>NO</v>
      </c>
      <c r="P209" s="20">
        <f ca="1">IFERROR(__xludf.DUMMYFUNCTION("""COMPUTED_VALUE"""),0)</f>
        <v>0</v>
      </c>
      <c r="Q209" s="113" t="str">
        <f ca="1">IFERROR(__xludf.DUMMYFUNCTION("""COMPUTED_VALUE"""),"https://gld.legislaturacba.gob.ar/_cdd/api/Documento/descargar?guid=44ab6e20-cd25-49d3-913d-3e8098acca15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v>
      </c>
      <c r="R209" s="113" t="str">
        <f ca="1">IFERROR(__xludf.DUMMYFUNCTION("""COMPUTED_VALUE"""),"https://www.youtube.com/watch?v=qRQy6qPrvb8")</f>
        <v>https://www.youtube.com/watch?v=qRQy6qPrvb8</v>
      </c>
      <c r="S209" s="113" t="str">
        <f ca="1">IFERROR(__xludf.DUMMYFUNCTION("""COMPUTED_VALUE"""),"https://gld.legislaturacba.gob.ar/Publics/Actas.aspx?id=JnBKhwZ28WM=")</f>
        <v>https://gld.legislaturacba.gob.ar/Publics/Actas.aspx?id=JnBKhwZ28WM=</v>
      </c>
      <c r="T209" s="99">
        <f t="shared" ca="1" si="0"/>
        <v>0</v>
      </c>
    </row>
    <row r="210" spans="1:20">
      <c r="A210" s="20">
        <f ca="1">IFERROR(__xludf.DUMMYFUNCTION("""COMPUTED_VALUE"""),209)</f>
        <v>209</v>
      </c>
      <c r="B210" s="20">
        <f ca="1">IFERROR(__xludf.DUMMYFUNCTION("""COMPUTED_VALUE"""),2020)</f>
        <v>2020</v>
      </c>
      <c r="C210" s="20" t="str">
        <f ca="1">IFERROR(__xludf.DUMMYFUNCTION("""COMPUTED_VALUE"""),"VIRTUAL")</f>
        <v>VIRTUAL</v>
      </c>
      <c r="D210" s="96">
        <f ca="1">IFERROR(__xludf.DUMMYFUNCTION("""COMPUTED_VALUE"""),44166)</f>
        <v>44166</v>
      </c>
      <c r="E210" s="20" t="str">
        <f ca="1">IFERROR(__xludf.DUMMYFUNCTION("""COMPUTED_VALUE"""),"SI")</f>
        <v>SI</v>
      </c>
      <c r="F210" s="20" t="str">
        <f ca="1">IFERROR(__xludf.DUMMYFUNCTION("""COMPUTED_VALUE"""),"ECONOMÍA, PRESUPUESTO, GESTIÓN PÚBLICA E INNOVACIÓN;EDUCACIÓN, CULTURA, CIENCIA, TECNOLOGÍA E INFORMÁTICA;INDUSTRIA Y MINERÍA;LEGISLACIÓN GENERAL")</f>
        <v>ECONOMÍA, PRESUPUESTO, GESTIÓN PÚBLICA E INNOVACIÓN;EDUCACIÓN, CULTURA, CIENCIA, TECNOLOGÍA E INFORMÁTICA;INDUSTRIA Y MINERÍA;LEGISLACIÓN GENERAL</v>
      </c>
      <c r="G210" s="20">
        <f ca="1">IFERROR(__xludf.DUMMYFUNCTION("""COMPUTED_VALUE"""),4)</f>
        <v>4</v>
      </c>
      <c r="H210" s="20">
        <f ca="1">IFERROR(__xludf.DUMMYFUNCTION("""COMPUTED_VALUE"""),2)</f>
        <v>2</v>
      </c>
      <c r="I210" s="20">
        <f ca="1">IFERROR(__xludf.DUMMYFUNCTION("""COMPUTED_VALUE"""),1)</f>
        <v>1</v>
      </c>
      <c r="J210" s="20" t="str">
        <f ca="1">IFERROR(__xludf.DUMMYFUNCTION("""COMPUTED_VALUE"""),"Ley")</f>
        <v>Ley</v>
      </c>
      <c r="K210" s="20">
        <f ca="1">IFERROR(__xludf.DUMMYFUNCTION("""COMPUTED_VALUE"""),31688)</f>
        <v>31688</v>
      </c>
      <c r="L210" s="20" t="str">
        <f ca="1">IFERROR(__xludf.DUMMYFUNCTION("""COMPUTED_VALUE"""),"Poder Ejecutivo Provincial")</f>
        <v>Poder Ejecutivo Provincial</v>
      </c>
      <c r="M210" s="20" t="str">
        <f ca="1">IFERROR(__xludf.DUMMYFUNCTION("""COMPUTED_VALUE"""),"Proyecto de Ley 31688/L/20, modificando e incorporando distintos artículos a la Ley Nº 10649 con el objeto de crear un Régimen de Promoción de la Economía del Conocimiento para la Provincia de Córdoba que permita la adopción y aplicación de nuevas tecnolo"&amp;"gías para promover y aumentar la competitividad y productividad.")</f>
        <v>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v>
      </c>
      <c r="N210" s="20" t="str">
        <f ca="1">IFERROR(__xludf.DUMMYFUNCTION("""COMPUTED_VALUE"""),"SI")</f>
        <v>SI</v>
      </c>
      <c r="O210" s="20" t="str">
        <f ca="1">IFERROR(__xludf.DUMMYFUNCTION("""COMPUTED_VALUE"""),"NO")</f>
        <v>NO</v>
      </c>
      <c r="P210" s="20">
        <f ca="1">IFERROR(__xludf.DUMMYFUNCTION("""COMPUTED_VALUE"""),0)</f>
        <v>0</v>
      </c>
      <c r="Q210" s="113" t="str">
        <f ca="1">IFERROR(__xludf.DUMMYFUNCTION("""COMPUTED_VALUE"""),"https://gld.legislaturacba.gob.ar/_cdd/api/Documento/descargar?guid=6e567a88-be42-42ff-843c-b1255cf8f275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v>
      </c>
      <c r="R210" s="113" t="str">
        <f ca="1">IFERROR(__xludf.DUMMYFUNCTION("""COMPUTED_VALUE"""),"https://www.youtube.com/watch?v=wylVSPTKQSE")</f>
        <v>https://www.youtube.com/watch?v=wylVSPTKQSE</v>
      </c>
      <c r="S210" s="113" t="str">
        <f ca="1">IFERROR(__xludf.DUMMYFUNCTION("""COMPUTED_VALUE"""),"https://gld.legislaturacba.gob.ar/Publics/Actas.aspx?id=nrbf9fDfWNA=;https://gld.legislaturacba.gob.ar/Publics/Actas.aspx?id=u3jIW2vDUYs=;https://gld.legislaturacba.gob.ar/Publics/Actas.aspx?id=ZkQJ2-g36ng=;https://gld.legislaturacba.gob.ar/Publics/Actas."&amp;"aspx?id=sJxvGuebqdI=")</f>
        <v>https://gld.legislaturacba.gob.ar/Publics/Actas.aspx?id=nrbf9fDfWNA=;https://gld.legislaturacba.gob.ar/Publics/Actas.aspx?id=u3jIW2vDUYs=;https://gld.legislaturacba.gob.ar/Publics/Actas.aspx?id=ZkQJ2-g36ng=;https://gld.legislaturacba.gob.ar/Publics/Actas.aspx?id=sJxvGuebqdI=</v>
      </c>
      <c r="T210" s="99">
        <f t="shared" ca="1" si="0"/>
        <v>0</v>
      </c>
    </row>
    <row r="211" spans="1:20">
      <c r="A211" s="20">
        <f ca="1">IFERROR(__xludf.DUMMYFUNCTION("""COMPUTED_VALUE"""),210)</f>
        <v>210</v>
      </c>
      <c r="B211" s="20">
        <f ca="1">IFERROR(__xludf.DUMMYFUNCTION("""COMPUTED_VALUE"""),2020)</f>
        <v>2020</v>
      </c>
      <c r="C211" s="20" t="str">
        <f ca="1">IFERROR(__xludf.DUMMYFUNCTION("""COMPUTED_VALUE"""),"VIRTUAL")</f>
        <v>VIRTUAL</v>
      </c>
      <c r="D211" s="96">
        <f ca="1">IFERROR(__xludf.DUMMYFUNCTION("""COMPUTED_VALUE"""),44167)</f>
        <v>44167</v>
      </c>
      <c r="E211" s="20" t="str">
        <f ca="1">IFERROR(__xludf.DUMMYFUNCTION("""COMPUTED_VALUE"""),"NO")</f>
        <v>NO</v>
      </c>
      <c r="F211" s="20" t="str">
        <f ca="1">IFERROR(__xludf.DUMMYFUNCTION("""COMPUTED_VALUE"""),"DEPORTES Y RECREACIÓN")</f>
        <v>DEPORTES Y RECREACIÓN</v>
      </c>
      <c r="G211" s="20">
        <f ca="1">IFERROR(__xludf.DUMMYFUNCTION("""COMPUTED_VALUE"""),1)</f>
        <v>1</v>
      </c>
      <c r="H211" s="20">
        <f ca="1">IFERROR(__xludf.DUMMYFUNCTION("""COMPUTED_VALUE"""),2)</f>
        <v>2</v>
      </c>
      <c r="I211" s="20">
        <f ca="1">IFERROR(__xludf.DUMMYFUNCTION("""COMPUTED_VALUE"""),1)</f>
        <v>1</v>
      </c>
      <c r="J211" s="20" t="str">
        <f ca="1">IFERROR(__xludf.DUMMYFUNCTION("""COMPUTED_VALUE"""),"Ley")</f>
        <v>Ley</v>
      </c>
      <c r="K211" s="20">
        <f ca="1">IFERROR(__xludf.DUMMYFUNCTION("""COMPUTED_VALUE"""),31707)</f>
        <v>31707</v>
      </c>
      <c r="L211" s="20" t="str">
        <f ca="1">IFERROR(__xludf.DUMMYFUNCTION("""COMPUTED_VALUE"""),"Poder Legislativo Provincial")</f>
        <v>Poder Legislativo Provincial</v>
      </c>
      <c r="M211" s="20" t="str">
        <f ca="1">IFERROR(__xludf.DUMMYFUNCTION("""COMPUTED_VALUE"""),"Proyecto de Ley 31707/L/20, iniciado por los Legisladores Hak, Fernández y Zorrilla, declarando de interés social los bienes inmuebles y/o muebles destinados a actividades deportivas, sociales, recreativas y/o culturales, propiedad de asociaciones civiles"&amp;" sin fines de lucro, con el fin de garantizar el funcionamiento básico de estas entidades y asegurar la conservación de su patrimonio físico y su infraestructura deportiva.")</f>
        <v>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11" s="20" t="str">
        <f ca="1">IFERROR(__xludf.DUMMYFUNCTION("""COMPUTED_VALUE"""),"NO")</f>
        <v>NO</v>
      </c>
      <c r="O211" s="20" t="str">
        <f ca="1">IFERROR(__xludf.DUMMYFUNCTION("""COMPUTED_VALUE"""),"SI")</f>
        <v>SI</v>
      </c>
      <c r="P211" s="20">
        <f ca="1">IFERROR(__xludf.DUMMYFUNCTION("""COMPUTED_VALUE"""),4)</f>
        <v>4</v>
      </c>
      <c r="Q211" s="113" t="str">
        <f ca="1">IFERROR(__xludf.DUMMYFUNCTION("""COMPUTED_VALUE"""),"https://gld.legislaturacba.gob.ar/_cdd/api/Documento/descargar?guid=bc2fc221-3206-4d95-9fc0-ff5337c7084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v>
      </c>
      <c r="R211" s="113" t="str">
        <f ca="1">IFERROR(__xludf.DUMMYFUNCTION("""COMPUTED_VALUE"""),"https://www.youtube.com/watch?v=Am4QbKSB-4I")</f>
        <v>https://www.youtube.com/watch?v=Am4QbKSB-4I</v>
      </c>
      <c r="S211" s="113" t="str">
        <f ca="1">IFERROR(__xludf.DUMMYFUNCTION("""COMPUTED_VALUE"""),"https://gld.legislaturacba.gob.ar/Publics/Actas.aspx?id=gLWDIGn5A8Y=")</f>
        <v>https://gld.legislaturacba.gob.ar/Publics/Actas.aspx?id=gLWDIGn5A8Y=</v>
      </c>
      <c r="T211" s="99">
        <f t="shared" ca="1" si="0"/>
        <v>0</v>
      </c>
    </row>
    <row r="212" spans="1:20">
      <c r="A212" s="20">
        <f ca="1">IFERROR(__xludf.DUMMYFUNCTION("""COMPUTED_VALUE"""),211)</f>
        <v>211</v>
      </c>
      <c r="B212" s="20">
        <f ca="1">IFERROR(__xludf.DUMMYFUNCTION("""COMPUTED_VALUE"""),2020)</f>
        <v>2020</v>
      </c>
      <c r="C212" s="20" t="str">
        <f ca="1">IFERROR(__xludf.DUMMYFUNCTION("""COMPUTED_VALUE"""),"VIRTUAL")</f>
        <v>VIRTUAL</v>
      </c>
      <c r="D212" s="96">
        <f ca="1">IFERROR(__xludf.DUMMYFUNCTION("""COMPUTED_VALUE"""),44168)</f>
        <v>44168</v>
      </c>
      <c r="E212" s="20" t="str">
        <f ca="1">IFERROR(__xludf.DUMMYFUNCTION("""COMPUTED_VALUE"""),"SI")</f>
        <v>SI</v>
      </c>
      <c r="F212" s="20" t="str">
        <f ca="1">IFERROR(__xludf.DUMMYFUNCTION("""COMPUTED_VALUE"""),"ASUNTOS CONSTITUCIONALES, JUSTICIA Y ACUERDOS;LEGISLACIÓN GENERAL")</f>
        <v>ASUNTOS CONSTITUCIONALES, JUSTICIA Y ACUERDOS;LEGISLACIÓN GENERAL</v>
      </c>
      <c r="G212" s="20">
        <f ca="1">IFERROR(__xludf.DUMMYFUNCTION("""COMPUTED_VALUE"""),2)</f>
        <v>2</v>
      </c>
      <c r="H212" s="20">
        <f ca="1">IFERROR(__xludf.DUMMYFUNCTION("""COMPUTED_VALUE"""),2)</f>
        <v>2</v>
      </c>
      <c r="I212" s="20">
        <f ca="1">IFERROR(__xludf.DUMMYFUNCTION("""COMPUTED_VALUE"""),1)</f>
        <v>1</v>
      </c>
      <c r="J212" s="20" t="str">
        <f ca="1">IFERROR(__xludf.DUMMYFUNCTION("""COMPUTED_VALUE"""),"Ley")</f>
        <v>Ley</v>
      </c>
      <c r="K212" s="20">
        <f ca="1">IFERROR(__xludf.DUMMYFUNCTION("""COMPUTED_VALUE"""),31911)</f>
        <v>31911</v>
      </c>
      <c r="L212" s="20" t="str">
        <f ca="1">IFERROR(__xludf.DUMMYFUNCTION("""COMPUTED_VALUE"""),"Poder Ejecutivo Provincial")</f>
        <v>Poder Ejecutivo Provincial</v>
      </c>
      <c r="M212"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12" s="20" t="str">
        <f ca="1">IFERROR(__xludf.DUMMYFUNCTION("""COMPUTED_VALUE"""),"NO")</f>
        <v>NO</v>
      </c>
      <c r="O212" s="20" t="str">
        <f ca="1">IFERROR(__xludf.DUMMYFUNCTION("""COMPUTED_VALUE"""),"SI")</f>
        <v>SI</v>
      </c>
      <c r="P212" s="20">
        <f ca="1">IFERROR(__xludf.DUMMYFUNCTION("""COMPUTED_VALUE"""),2)</f>
        <v>2</v>
      </c>
      <c r="Q212" s="113" t="str">
        <f ca="1">IFERROR(__xludf.DUMMYFUNCTION("""COMPUTED_VALUE"""),"https://gld.legislaturacba.gob.ar/_cdd/api/Documento/descargar?guid=5ecebf05-0ae4-4cde-94a7-e3febc5e6539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v>
      </c>
      <c r="R212" s="20" t="str">
        <f ca="1">IFERROR(__xludf.DUMMYFUNCTION("""COMPUTED_VALUE"""),"NA")</f>
        <v>NA</v>
      </c>
      <c r="S212" s="113" t="str">
        <f ca="1">IFERROR(__xludf.DUMMYFUNCTION("""COMPUTED_VALUE"""),"https://gld.legislaturacba.gob.ar/Publics/Actas.aspx?id=L88pFOJtCP4=;https://gld.legislaturacba.gob.ar/Publics/Actas.aspx?id=q3wxkQZLdL0=")</f>
        <v>https://gld.legislaturacba.gob.ar/Publics/Actas.aspx?id=L88pFOJtCP4=;https://gld.legislaturacba.gob.ar/Publics/Actas.aspx?id=q3wxkQZLdL0=</v>
      </c>
      <c r="T212" s="99">
        <f t="shared" ca="1" si="0"/>
        <v>0</v>
      </c>
    </row>
    <row r="213" spans="1:20">
      <c r="A213" s="20">
        <f ca="1">IFERROR(__xludf.DUMMYFUNCTION("""COMPUTED_VALUE"""),212)</f>
        <v>212</v>
      </c>
      <c r="B213" s="20">
        <f ca="1">IFERROR(__xludf.DUMMYFUNCTION("""COMPUTED_VALUE"""),2020)</f>
        <v>2020</v>
      </c>
      <c r="C213" s="20" t="str">
        <f ca="1">IFERROR(__xludf.DUMMYFUNCTION("""COMPUTED_VALUE"""),"VIRTUAL")</f>
        <v>VIRTUAL</v>
      </c>
      <c r="D213" s="96">
        <f ca="1">IFERROR(__xludf.DUMMYFUNCTION("""COMPUTED_VALUE"""),44168)</f>
        <v>44168</v>
      </c>
      <c r="E213" s="20" t="str">
        <f ca="1">IFERROR(__xludf.DUMMYFUNCTION("""COMPUTED_VALUE"""),"SI")</f>
        <v>SI</v>
      </c>
      <c r="F213" s="20" t="str">
        <f ca="1">IFERROR(__xludf.DUMMYFUNCTION("""COMPUTED_VALUE"""),"TURISMO Y SU RELACIÓN CON EL DESARROLLO REGIONAL;DEPORTES Y RECREACIÓN")</f>
        <v>TURISMO Y SU RELACIÓN CON EL DESARROLLO REGIONAL;DEPORTES Y RECREACIÓN</v>
      </c>
      <c r="G213" s="20">
        <f ca="1">IFERROR(__xludf.DUMMYFUNCTION("""COMPUTED_VALUE"""),2)</f>
        <v>2</v>
      </c>
      <c r="H213" s="20">
        <f ca="1">IFERROR(__xludf.DUMMYFUNCTION("""COMPUTED_VALUE"""),1)</f>
        <v>1</v>
      </c>
      <c r="I213" s="20">
        <f ca="1">IFERROR(__xludf.DUMMYFUNCTION("""COMPUTED_VALUE"""),1)</f>
        <v>1</v>
      </c>
      <c r="J213" s="20" t="str">
        <f ca="1">IFERROR(__xludf.DUMMYFUNCTION("""COMPUTED_VALUE"""),"Ley")</f>
        <v>Ley</v>
      </c>
      <c r="K213" s="20">
        <f ca="1">IFERROR(__xludf.DUMMYFUNCTION("""COMPUTED_VALUE"""),31797)</f>
        <v>31797</v>
      </c>
      <c r="L213" s="20" t="str">
        <f ca="1">IFERROR(__xludf.DUMMYFUNCTION("""COMPUTED_VALUE"""),"Poder Legislativo Provincial")</f>
        <v>Poder Legislativo Provincial</v>
      </c>
      <c r="M213" s="20" t="str">
        <f ca="1">IFERROR(__xludf.DUMMYFUNCTION("""COMPUTED_VALUE"""),"Proyecto de Ley 31797/L/20, iniciado por la Legisladora Caserio, estableciendo el marco normativo para la regulación, control, promoción y fomento del Turismo Activo en la Provincia de Córdoba; y creando el Registro de Prestadores de Servicios de Turismo "&amp;"Activo y Operadores de Turismo Activo de la provincia.")</f>
        <v>Proyecto de Ley 31797/L/20, iniciado por la Legisladora Caserio, estableciendo el marco normativo para la regulación, control, promoción y fomento del Turismo Activo en la Provincia de Córdoba; y creando el Registro de Prestadores de Servicios de Turismo Activo y Operadores de Turismo Activo de la provincia.</v>
      </c>
      <c r="N213" s="20" t="str">
        <f ca="1">IFERROR(__xludf.DUMMYFUNCTION("""COMPUTED_VALUE"""),"NO")</f>
        <v>NO</v>
      </c>
      <c r="O213" s="20" t="str">
        <f ca="1">IFERROR(__xludf.DUMMYFUNCTION("""COMPUTED_VALUE"""),"NO")</f>
        <v>NO</v>
      </c>
      <c r="P213" s="20">
        <f ca="1">IFERROR(__xludf.DUMMYFUNCTION("""COMPUTED_VALUE"""),0)</f>
        <v>0</v>
      </c>
      <c r="Q213" s="113" t="str">
        <f ca="1">IFERROR(__xludf.DUMMYFUNCTION("""COMPUTED_VALUE"""),"https://gld.legislaturacba.gob.ar/_cdd/api/Documento/descargar?guid=d5042b2c-422f-462e-82ba-f6c7399fce73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v>
      </c>
      <c r="R213" s="113" t="str">
        <f ca="1">IFERROR(__xludf.DUMMYFUNCTION("""COMPUTED_VALUE"""),"https://www.youtube.com/watch?v=VROvyhUcSAM")</f>
        <v>https://www.youtube.com/watch?v=VROvyhUcSAM</v>
      </c>
      <c r="S213" s="113" t="str">
        <f ca="1">IFERROR(__xludf.DUMMYFUNCTION("""COMPUTED_VALUE"""),"https://gld.legislaturacba.gob.ar/Publics/Actas.aspx?id=8Zf1xV_deUM=;https://gld.legislaturacba.gob.ar/Publics/Actas.aspx?id=18RFV5cQ_z4=")</f>
        <v>https://gld.legislaturacba.gob.ar/Publics/Actas.aspx?id=8Zf1xV_deUM=;https://gld.legislaturacba.gob.ar/Publics/Actas.aspx?id=18RFV5cQ_z4=</v>
      </c>
      <c r="T213" s="99">
        <f t="shared" ca="1" si="0"/>
        <v>0</v>
      </c>
    </row>
    <row r="214" spans="1:20">
      <c r="A214" s="20">
        <f ca="1">IFERROR(__xludf.DUMMYFUNCTION("""COMPUTED_VALUE"""),213)</f>
        <v>213</v>
      </c>
      <c r="B214" s="20">
        <f ca="1">IFERROR(__xludf.DUMMYFUNCTION("""COMPUTED_VALUE"""),2020)</f>
        <v>2020</v>
      </c>
      <c r="C214" s="20" t="str">
        <f ca="1">IFERROR(__xludf.DUMMYFUNCTION("""COMPUTED_VALUE"""),"VIRTUAL")</f>
        <v>VIRTUAL</v>
      </c>
      <c r="D214" s="96">
        <f ca="1">IFERROR(__xludf.DUMMYFUNCTION("""COMPUTED_VALUE"""),44168)</f>
        <v>44168</v>
      </c>
      <c r="E214" s="20" t="str">
        <f ca="1">IFERROR(__xludf.DUMMYFUNCTION("""COMPUTED_VALUE"""),"NO")</f>
        <v>NO</v>
      </c>
      <c r="F214" s="20" t="str">
        <f ca="1">IFERROR(__xludf.DUMMYFUNCTION("""COMPUTED_VALUE"""),"DERECHOS HUMANOS Y DESARROLLO SOCIAL")</f>
        <v>DERECHOS HUMANOS Y DESARROLLO SOCIAL</v>
      </c>
      <c r="G214" s="20">
        <f ca="1">IFERROR(__xludf.DUMMYFUNCTION("""COMPUTED_VALUE"""),1)</f>
        <v>1</v>
      </c>
      <c r="H214" s="20">
        <f ca="1">IFERROR(__xludf.DUMMYFUNCTION("""COMPUTED_VALUE"""),2)</f>
        <v>2</v>
      </c>
      <c r="I214" s="20">
        <f ca="1">IFERROR(__xludf.DUMMYFUNCTION("""COMPUTED_VALUE"""),1)</f>
        <v>1</v>
      </c>
      <c r="J214" s="20" t="str">
        <f ca="1">IFERROR(__xludf.DUMMYFUNCTION("""COMPUTED_VALUE"""),"Ley")</f>
        <v>Ley</v>
      </c>
      <c r="K214" s="20">
        <f ca="1">IFERROR(__xludf.DUMMYFUNCTION("""COMPUTED_VALUE"""),30646)</f>
        <v>30646</v>
      </c>
      <c r="L214" s="20" t="str">
        <f ca="1">IFERROR(__xludf.DUMMYFUNCTION("""COMPUTED_VALUE"""),"Poder Legislativo Provincial")</f>
        <v>Poder Legislativo Provincial</v>
      </c>
      <c r="M214" s="20" t="str">
        <f ca="1">IFERROR(__xludf.DUMMYFUNCTION("""COMPUTED_VALUE"""),"Proyecto de Ley 30646/L/20, iniciado por el Bloque de la Unión Cívica Radical, estableciendo la capacitación obligatoria, continua, permanente y actualizada en Derechos de la Discapacidad en el ámbito de los Poderes Ejecutivo, Legislativo y Judicial.")</f>
        <v>Proyecto de Ley 30646/L/20, iniciado por el Bloque de la Unión Cívica Radical, estableciendo la capacitación obligatoria, continua, permanente y actualizada en Derechos de la Discapacidad en el ámbito de los Poderes Ejecutivo, Legislativo y Judicial.</v>
      </c>
      <c r="N214" s="20" t="str">
        <f ca="1">IFERROR(__xludf.DUMMYFUNCTION("""COMPUTED_VALUE"""),"SI")</f>
        <v>SI</v>
      </c>
      <c r="O214" s="20" t="str">
        <f ca="1">IFERROR(__xludf.DUMMYFUNCTION("""COMPUTED_VALUE"""),"NO")</f>
        <v>NO</v>
      </c>
      <c r="P214" s="20">
        <f ca="1">IFERROR(__xludf.DUMMYFUNCTION("""COMPUTED_VALUE"""),0)</f>
        <v>0</v>
      </c>
      <c r="Q214" s="113" t="str">
        <f ca="1">IFERROR(__xludf.DUMMYFUNCTION("""COMPUTED_VALUE"""),"https://gld.legislaturacba.gob.ar/_cdd/api/Documento/descargar?guid=d3d87fd5-509e-4308-83cc-d5b4adda96a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v>
      </c>
      <c r="R214" s="20" t="str">
        <f ca="1">IFERROR(__xludf.DUMMYFUNCTION("""COMPUTED_VALUE"""),"NA")</f>
        <v>NA</v>
      </c>
      <c r="S214" s="113" t="str">
        <f ca="1">IFERROR(__xludf.DUMMYFUNCTION("""COMPUTED_VALUE"""),"https://gld.legislaturacba.gob.ar/Publics/Actas.aspx?id=-FZhkLPkHP0=")</f>
        <v>https://gld.legislaturacba.gob.ar/Publics/Actas.aspx?id=-FZhkLPkHP0=</v>
      </c>
      <c r="T214" s="99">
        <f t="shared" ca="1" si="0"/>
        <v>0</v>
      </c>
    </row>
    <row r="215" spans="1:20">
      <c r="A215" s="20">
        <f ca="1">IFERROR(__xludf.DUMMYFUNCTION("""COMPUTED_VALUE"""),214)</f>
        <v>214</v>
      </c>
      <c r="B215" s="20">
        <f ca="1">IFERROR(__xludf.DUMMYFUNCTION("""COMPUTED_VALUE"""),2020)</f>
        <v>2020</v>
      </c>
      <c r="C215" s="20" t="str">
        <f ca="1">IFERROR(__xludf.DUMMYFUNCTION("""COMPUTED_VALUE"""),"VIRTUAL")</f>
        <v>VIRTUAL</v>
      </c>
      <c r="D215" s="96">
        <f ca="1">IFERROR(__xludf.DUMMYFUNCTION("""COMPUTED_VALUE"""),44168)</f>
        <v>44168</v>
      </c>
      <c r="E215" s="20" t="str">
        <f ca="1">IFERROR(__xludf.DUMMYFUNCTION("""COMPUTED_VALUE"""),"SI")</f>
        <v>SI</v>
      </c>
      <c r="F215" s="20" t="str">
        <f ca="1">IFERROR(__xludf.DUMMYFUNCTION("""COMPUTED_VALUE"""),"ECONOMÍA, PRESUPUESTO, GESTIÓN PÚBLICA E INNOVACIÓN;LEGISLACIÓN GENERAL;ASUNTOS CONSTITUCIONALES, JUSTICIA Y ACUERDOS")</f>
        <v>ECONOMÍA, PRESUPUESTO, GESTIÓN PÚBLICA E INNOVACIÓN;LEGISLACIÓN GENERAL;ASUNTOS CONSTITUCIONALES, JUSTICIA Y ACUERDOS</v>
      </c>
      <c r="G215" s="20">
        <f ca="1">IFERROR(__xludf.DUMMYFUNCTION("""COMPUTED_VALUE"""),3)</f>
        <v>3</v>
      </c>
      <c r="H215" s="20">
        <f ca="1">IFERROR(__xludf.DUMMYFUNCTION("""COMPUTED_VALUE"""),3)</f>
        <v>3</v>
      </c>
      <c r="I215" s="20">
        <f ca="1">IFERROR(__xludf.DUMMYFUNCTION("""COMPUTED_VALUE"""),1)</f>
        <v>1</v>
      </c>
      <c r="J215" s="20" t="str">
        <f ca="1">IFERROR(__xludf.DUMMYFUNCTION("""COMPUTED_VALUE"""),"Ley")</f>
        <v>Ley</v>
      </c>
      <c r="K215" s="20">
        <f ca="1">IFERROR(__xludf.DUMMYFUNCTION("""COMPUTED_VALUE"""),31753)</f>
        <v>31753</v>
      </c>
      <c r="L215" s="20" t="str">
        <f ca="1">IFERROR(__xludf.DUMMYFUNCTION("""COMPUTED_VALUE"""),"Poder Ejecutivo Provincial")</f>
        <v>Poder Ejecutivo Provincial</v>
      </c>
      <c r="M215" s="20" t="str">
        <f ca="1">IFERROR(__xludf.DUMMYFUNCTION("""COMPUTED_VALUE"""),"Proyecto de Ley 31753/L/20, enviado por el Poder Ejecutivo, elevando el Presupuesto General de la Administración Pública Provincial para el Ejercicio 2021.")</f>
        <v>Proyecto de Ley 31753/L/20, enviado por el Poder Ejecutivo, elevando el Presupuesto General de la Administración Pública Provincial para el Ejercicio 2021.</v>
      </c>
      <c r="N215" s="20" t="str">
        <f ca="1">IFERROR(__xludf.DUMMYFUNCTION("""COMPUTED_VALUE"""),"SI")</f>
        <v>SI</v>
      </c>
      <c r="O215" s="20" t="str">
        <f ca="1">IFERROR(__xludf.DUMMYFUNCTION("""COMPUTED_VALUE"""),"NO")</f>
        <v>NO</v>
      </c>
      <c r="P215" s="20">
        <f ca="1">IFERROR(__xludf.DUMMYFUNCTION("""COMPUTED_VALUE"""),0)</f>
        <v>0</v>
      </c>
      <c r="Q215" s="113" t="str">
        <f ca="1">IFERROR(__xludf.DUMMYFUNCTION("""COMPUTED_VALUE"""),"https://gld.legislaturacba.gob.ar/_cdd/api/Documento/descargar?guid=3e599080-a401-4f00-9f5d-8fc75ee76160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v>
      </c>
      <c r="R215" s="20" t="str">
        <f ca="1">IFERROR(__xludf.DUMMYFUNCTION("""COMPUTED_VALUE"""),"NA")</f>
        <v>NA</v>
      </c>
      <c r="S215" s="113" t="str">
        <f ca="1">IFERROR(__xludf.DUMMYFUNCTION("""COMPUTED_VALUE"""),"https://gld.legislaturacba.gob.ar/Publics/Actas.aspx?id=910K9OZ8ln0=;https://gld.legislaturacba.gob.ar/Publics/Actas.aspx?id=VmQckbkTSvw=;https://gld.legislaturacba.gob.ar/Publics/Actas.aspx?id=w55NvP-nNd4=")</f>
        <v>https://gld.legislaturacba.gob.ar/Publics/Actas.aspx?id=910K9OZ8ln0=;https://gld.legislaturacba.gob.ar/Publics/Actas.aspx?id=VmQckbkTSvw=;https://gld.legislaturacba.gob.ar/Publics/Actas.aspx?id=w55NvP-nNd4=</v>
      </c>
      <c r="T215" s="99">
        <f t="shared" ca="1" si="0"/>
        <v>0</v>
      </c>
    </row>
    <row r="216" spans="1:20">
      <c r="A216" s="20">
        <f ca="1">IFERROR(__xludf.DUMMYFUNCTION("""COMPUTED_VALUE"""),215)</f>
        <v>215</v>
      </c>
      <c r="B216" s="20">
        <f ca="1">IFERROR(__xludf.DUMMYFUNCTION("""COMPUTED_VALUE"""),2020)</f>
        <v>2020</v>
      </c>
      <c r="C216" s="20" t="str">
        <f ca="1">IFERROR(__xludf.DUMMYFUNCTION("""COMPUTED_VALUE"""),"VIRTUAL")</f>
        <v>VIRTUAL</v>
      </c>
      <c r="D216" s="96">
        <f ca="1">IFERROR(__xludf.DUMMYFUNCTION("""COMPUTED_VALUE"""),44174)</f>
        <v>44174</v>
      </c>
      <c r="E216" s="20" t="str">
        <f ca="1">IFERROR(__xludf.DUMMYFUNCTION("""COMPUTED_VALUE"""),"SI")</f>
        <v>SI</v>
      </c>
      <c r="F216" s="20" t="str">
        <f ca="1">IFERROR(__xludf.DUMMYFUNCTION("""COMPUTED_VALUE"""),"ASUNTOS CONSTITUCIONALES, JUSTICIA Y ACUERDOS;LEGISLACIÓN GENERAL")</f>
        <v>ASUNTOS CONSTITUCIONALES, JUSTICIA Y ACUERDOS;LEGISLACIÓN GENERAL</v>
      </c>
      <c r="G216" s="20">
        <f ca="1">IFERROR(__xludf.DUMMYFUNCTION("""COMPUTED_VALUE"""),2)</f>
        <v>2</v>
      </c>
      <c r="H216" s="20">
        <f ca="1">IFERROR(__xludf.DUMMYFUNCTION("""COMPUTED_VALUE"""),1)</f>
        <v>1</v>
      </c>
      <c r="I216" s="20">
        <f ca="1">IFERROR(__xludf.DUMMYFUNCTION("""COMPUTED_VALUE"""),1)</f>
        <v>1</v>
      </c>
      <c r="J216" s="20" t="str">
        <f ca="1">IFERROR(__xludf.DUMMYFUNCTION("""COMPUTED_VALUE"""),"Ley")</f>
        <v>Ley</v>
      </c>
      <c r="K216" s="20">
        <f ca="1">IFERROR(__xludf.DUMMYFUNCTION("""COMPUTED_VALUE"""),31862)</f>
        <v>31862</v>
      </c>
      <c r="L216" s="20" t="str">
        <f ca="1">IFERROR(__xludf.DUMMYFUNCTION("""COMPUTED_VALUE"""),"Poder Ejecutivo Provincial")</f>
        <v>Poder Ejecutivo Provincial</v>
      </c>
      <c r="M216" s="20" t="str">
        <f ca="1">IFERROR(__xludf.DUMMYFUNCTION("""COMPUTED_VALUE"""),"Proyecto de Ley 31862/L/20, iniciado por el Poder Ejecutivo, ratificando el Decreto Nº 1615 del 10 de diciembre de 2019, y su similar modificatorio Nº 93 del 17 de febrero de 2020, que establecen la Estructura Orgánica del Poder Ejecutivo Provincial.")</f>
        <v>Proyecto de Ley 31862/L/20, iniciado por el Poder Ejecutivo, ratificando el Decreto Nº 1615 del 10 de diciembre de 2019, y su similar modificatorio Nº 93 del 17 de febrero de 2020, que establecen la Estructura Orgánica del Poder Ejecutivo Provincial.</v>
      </c>
      <c r="N216" s="20" t="str">
        <f ca="1">IFERROR(__xludf.DUMMYFUNCTION("""COMPUTED_VALUE"""),"SI")</f>
        <v>SI</v>
      </c>
      <c r="O216" s="20" t="str">
        <f ca="1">IFERROR(__xludf.DUMMYFUNCTION("""COMPUTED_VALUE"""),"NO")</f>
        <v>NO</v>
      </c>
      <c r="P216" s="20">
        <f ca="1">IFERROR(__xludf.DUMMYFUNCTION("""COMPUTED_VALUE"""),0)</f>
        <v>0</v>
      </c>
      <c r="Q216" s="113" t="str">
        <f ca="1">IFERROR(__xludf.DUMMYFUNCTION("""COMPUTED_VALUE"""),"https://gld.legislaturacba.gob.ar/_cdd/api/Documento/descargar?guid=259bf083-12df-498c-8e43-0fa7965eaab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v>
      </c>
      <c r="R216" s="113" t="str">
        <f ca="1">IFERROR(__xludf.DUMMYFUNCTION("""COMPUTED_VALUE"""),"https://www.youtube.com/watch?v=302h4bFsFjw")</f>
        <v>https://www.youtube.com/watch?v=302h4bFsFjw</v>
      </c>
      <c r="S216" s="113" t="str">
        <f ca="1">IFERROR(__xludf.DUMMYFUNCTION("""COMPUTED_VALUE"""),"https://gld.legislaturacba.gob.ar/Publics/Actas.aspx?id=wpMvJu52fI0=;https://gld.legislaturacba.gob.ar/Publics/Actas.aspx?id=CuGxoppufEg=")</f>
        <v>https://gld.legislaturacba.gob.ar/Publics/Actas.aspx?id=wpMvJu52fI0=;https://gld.legislaturacba.gob.ar/Publics/Actas.aspx?id=CuGxoppufEg=</v>
      </c>
      <c r="T216" s="99">
        <f t="shared" ca="1" si="0"/>
        <v>0</v>
      </c>
    </row>
    <row r="217" spans="1:20">
      <c r="A217" s="20">
        <f ca="1">IFERROR(__xludf.DUMMYFUNCTION("""COMPUTED_VALUE"""),216)</f>
        <v>216</v>
      </c>
      <c r="B217" s="20">
        <f ca="1">IFERROR(__xludf.DUMMYFUNCTION("""COMPUTED_VALUE"""),2020)</f>
        <v>2020</v>
      </c>
      <c r="C217" s="20" t="str">
        <f ca="1">IFERROR(__xludf.DUMMYFUNCTION("""COMPUTED_VALUE"""),"VIRTUAL")</f>
        <v>VIRTUAL</v>
      </c>
      <c r="D217" s="96">
        <f ca="1">IFERROR(__xludf.DUMMYFUNCTION("""COMPUTED_VALUE"""),44175)</f>
        <v>44175</v>
      </c>
      <c r="E217" s="20" t="str">
        <f ca="1">IFERROR(__xludf.DUMMYFUNCTION("""COMPUTED_VALUE"""),"NO")</f>
        <v>NO</v>
      </c>
      <c r="F217" s="20" t="str">
        <f ca="1">IFERROR(__xludf.DUMMYFUNCTION("""COMPUTED_VALUE"""),"SALUD HUMANA")</f>
        <v>SALUD HUMANA</v>
      </c>
      <c r="G217" s="20">
        <f ca="1">IFERROR(__xludf.DUMMYFUNCTION("""COMPUTED_VALUE"""),1)</f>
        <v>1</v>
      </c>
      <c r="H217" s="20">
        <f ca="1">IFERROR(__xludf.DUMMYFUNCTION("""COMPUTED_VALUE"""),2)</f>
        <v>2</v>
      </c>
      <c r="I217" s="20">
        <f ca="1">IFERROR(__xludf.DUMMYFUNCTION("""COMPUTED_VALUE"""),1)</f>
        <v>1</v>
      </c>
      <c r="J217" s="20" t="str">
        <f ca="1">IFERROR(__xludf.DUMMYFUNCTION("""COMPUTED_VALUE"""),"NC")</f>
        <v>NC</v>
      </c>
      <c r="K217" s="20" t="str">
        <f ca="1">IFERROR(__xludf.DUMMYFUNCTION("""COMPUTED_VALUE"""),"NA")</f>
        <v>NA</v>
      </c>
      <c r="L217" s="20" t="str">
        <f ca="1">IFERROR(__xludf.DUMMYFUNCTION("""COMPUTED_VALUE"""),"NA")</f>
        <v>NA</v>
      </c>
      <c r="M217" s="20" t="str">
        <f ca="1">IFERROR(__xludf.DUMMYFUNCTION("""COMPUTED_VALUE"""),"Programa Provincial de VIH/SIDA y Enfermedades de Transmisión Sexual (ETS).")</f>
        <v>Programa Provincial de VIH/SIDA y Enfermedades de Transmisión Sexual (ETS).</v>
      </c>
      <c r="N217" s="20" t="str">
        <f ca="1">IFERROR(__xludf.DUMMYFUNCTION("""COMPUTED_VALUE"""),"NA")</f>
        <v>NA</v>
      </c>
      <c r="O217" s="20" t="str">
        <f ca="1">IFERROR(__xludf.DUMMYFUNCTION("""COMPUTED_VALUE"""),"SI")</f>
        <v>SI</v>
      </c>
      <c r="P217" s="20">
        <f ca="1">IFERROR(__xludf.DUMMYFUNCTION("""COMPUTED_VALUE"""),2)</f>
        <v>2</v>
      </c>
      <c r="Q217" s="113" t="str">
        <f ca="1">IFERROR(__xludf.DUMMYFUNCTION("""COMPUTED_VALUE"""),"https://gld.legislaturacba.gob.ar/_cdd/api/Documento/descargar?guid=cbf004ed-f9df-4050-ae34-589142e543b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v>
      </c>
      <c r="R217" s="113" t="str">
        <f ca="1">IFERROR(__xludf.DUMMYFUNCTION("""COMPUTED_VALUE"""),"https://www.youtube.com/watch?v=1c8sBebOyxI")</f>
        <v>https://www.youtube.com/watch?v=1c8sBebOyxI</v>
      </c>
      <c r="S217" s="113" t="str">
        <f ca="1">IFERROR(__xludf.DUMMYFUNCTION("""COMPUTED_VALUE"""),"https://gld.legislaturacba.gob.ar/Publics/Actas.aspx?id=EmB_5gmx1sA=")</f>
        <v>https://gld.legislaturacba.gob.ar/Publics/Actas.aspx?id=EmB_5gmx1sA=</v>
      </c>
      <c r="T217" s="99">
        <f t="shared" ca="1" si="0"/>
        <v>0</v>
      </c>
    </row>
    <row r="218" spans="1:20">
      <c r="A218" s="20">
        <f ca="1">IFERROR(__xludf.DUMMYFUNCTION("""COMPUTED_VALUE"""),217)</f>
        <v>217</v>
      </c>
      <c r="B218" s="20">
        <f ca="1">IFERROR(__xludf.DUMMYFUNCTION("""COMPUTED_VALUE"""),2020)</f>
        <v>2020</v>
      </c>
      <c r="C218" s="20" t="str">
        <f ca="1">IFERROR(__xludf.DUMMYFUNCTION("""COMPUTED_VALUE"""),"VIRTUAL")</f>
        <v>VIRTUAL</v>
      </c>
      <c r="D218" s="96">
        <f ca="1">IFERROR(__xludf.DUMMYFUNCTION("""COMPUTED_VALUE"""),44175)</f>
        <v>44175</v>
      </c>
      <c r="E218" s="20" t="str">
        <f ca="1">IFERROR(__xludf.DUMMYFUNCTION("""COMPUTED_VALUE"""),"SI")</f>
        <v>SI</v>
      </c>
      <c r="F218" s="20" t="str">
        <f ca="1">IFERROR(__xludf.DUMMYFUNCTION("""COMPUTED_VALUE"""),"EDUCACIÓN, CULTURA, CIENCIA, TECNOLOGÍA E INFORMÁTICA;LEGISLACIÓN GENERAL")</f>
        <v>EDUCACIÓN, CULTURA, CIENCIA, TECNOLOGÍA E INFORMÁTICA;LEGISLACIÓN GENERAL</v>
      </c>
      <c r="G218" s="20">
        <f ca="1">IFERROR(__xludf.DUMMYFUNCTION("""COMPUTED_VALUE"""),2)</f>
        <v>2</v>
      </c>
      <c r="H218" s="20">
        <f ca="1">IFERROR(__xludf.DUMMYFUNCTION("""COMPUTED_VALUE"""),3)</f>
        <v>3</v>
      </c>
      <c r="I218" s="20">
        <f ca="1">IFERROR(__xludf.DUMMYFUNCTION("""COMPUTED_VALUE"""),1)</f>
        <v>1</v>
      </c>
      <c r="J218" s="20" t="str">
        <f ca="1">IFERROR(__xludf.DUMMYFUNCTION("""COMPUTED_VALUE"""),"Ley")</f>
        <v>Ley</v>
      </c>
      <c r="K218" s="20">
        <f ca="1">IFERROR(__xludf.DUMMYFUNCTION("""COMPUTED_VALUE"""),30646)</f>
        <v>30646</v>
      </c>
      <c r="L218" s="20" t="str">
        <f ca="1">IFERROR(__xludf.DUMMYFUNCTION("""COMPUTED_VALUE"""),"Poder Legislativo Provincial")</f>
        <v>Poder Legislativo Provincial</v>
      </c>
      <c r="M218" s="20" t="str">
        <f ca="1">IFERROR(__xludf.DUMMYFUNCTION("""COMPUTED_VALUE"""),"Proyecto de Ley 30646/L/20, iniciado por el Bloque de la Unión Cívica Radical, estableciendo la capacitación obligatoria, continua, permanente y actualizada en Derechos de la Discapacidad en el ámbito de los Poderes Ejecutivo, Legislativo y Judicial.")</f>
        <v>Proyecto de Ley 30646/L/20, iniciado por el Bloque de la Unión Cívica Radical, estableciendo la capacitación obligatoria, continua, permanente y actualizada en Derechos de la Discapacidad en el ámbito de los Poderes Ejecutivo, Legislativo y Judicial.</v>
      </c>
      <c r="N218" s="20" t="str">
        <f ca="1">IFERROR(__xludf.DUMMYFUNCTION("""COMPUTED_VALUE"""),"SI")</f>
        <v>SI</v>
      </c>
      <c r="O218" s="20" t="str">
        <f ca="1">IFERROR(__xludf.DUMMYFUNCTION("""COMPUTED_VALUE"""),"NO")</f>
        <v>NO</v>
      </c>
      <c r="P218" s="20">
        <f ca="1">IFERROR(__xludf.DUMMYFUNCTION("""COMPUTED_VALUE"""),0)</f>
        <v>0</v>
      </c>
      <c r="Q218" s="113" t="str">
        <f ca="1">IFERROR(__xludf.DUMMYFUNCTION("""COMPUTED_VALUE"""),"https://gld.legislaturacba.gob.ar/_cdd/api/Documento/descargar?guid=2c17105c-6a3f-442f-b7d8-5395bdcb6ba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v>
      </c>
      <c r="R218" s="113" t="str">
        <f ca="1">IFERROR(__xludf.DUMMYFUNCTION("""COMPUTED_VALUE"""),"https://www.youtube.com/watch?v=5WtiaYhhxXo")</f>
        <v>https://www.youtube.com/watch?v=5WtiaYhhxXo</v>
      </c>
      <c r="S218" s="113" t="str">
        <f ca="1">IFERROR(__xludf.DUMMYFUNCTION("""COMPUTED_VALUE"""),"https://gld.legislaturacba.gob.ar/Publics/Actas.aspx?id=tlx7Doiixrk=;https://gld.legislaturacba.gob.ar/Publics/Actas.aspx?id=GCjgcJ3yoJ4=")</f>
        <v>https://gld.legislaturacba.gob.ar/Publics/Actas.aspx?id=tlx7Doiixrk=;https://gld.legislaturacba.gob.ar/Publics/Actas.aspx?id=GCjgcJ3yoJ4=</v>
      </c>
      <c r="T218" s="99">
        <f t="shared" ca="1" si="0"/>
        <v>0</v>
      </c>
    </row>
    <row r="219" spans="1:20">
      <c r="A219" s="20">
        <f ca="1">IFERROR(__xludf.DUMMYFUNCTION("""COMPUTED_VALUE"""),218)</f>
        <v>218</v>
      </c>
      <c r="B219" s="20">
        <f ca="1">IFERROR(__xludf.DUMMYFUNCTION("""COMPUTED_VALUE"""),2020)</f>
        <v>2020</v>
      </c>
      <c r="C219" s="20" t="str">
        <f ca="1">IFERROR(__xludf.DUMMYFUNCTION("""COMPUTED_VALUE"""),"VIRTUAL")</f>
        <v>VIRTUAL</v>
      </c>
      <c r="D219" s="96">
        <f ca="1">IFERROR(__xludf.DUMMYFUNCTION("""COMPUTED_VALUE"""),44175)</f>
        <v>44175</v>
      </c>
      <c r="E219" s="20" t="str">
        <f ca="1">IFERROR(__xludf.DUMMYFUNCTION("""COMPUTED_VALUE"""),"SI")</f>
        <v>SI</v>
      </c>
      <c r="F219" s="20" t="str">
        <f ca="1">IFERROR(__xludf.DUMMYFUNCTION("""COMPUTED_VALUE"""),"ASUNTOS CONSTITUCIONALES, JUSTICIA Y ACUERDOS;LEGISLACIÓN GENERAL")</f>
        <v>ASUNTOS CONSTITUCIONALES, JUSTICIA Y ACUERDOS;LEGISLACIÓN GENERAL</v>
      </c>
      <c r="G219" s="20">
        <f ca="1">IFERROR(__xludf.DUMMYFUNCTION("""COMPUTED_VALUE"""),2)</f>
        <v>2</v>
      </c>
      <c r="H219" s="20">
        <f ca="1">IFERROR(__xludf.DUMMYFUNCTION("""COMPUTED_VALUE"""),2)</f>
        <v>2</v>
      </c>
      <c r="I219" s="20">
        <f ca="1">IFERROR(__xludf.DUMMYFUNCTION("""COMPUTED_VALUE"""),1)</f>
        <v>1</v>
      </c>
      <c r="J219" s="20" t="str">
        <f ca="1">IFERROR(__xludf.DUMMYFUNCTION("""COMPUTED_VALUE"""),"Ley")</f>
        <v>Ley</v>
      </c>
      <c r="K219" s="20">
        <f ca="1">IFERROR(__xludf.DUMMYFUNCTION("""COMPUTED_VALUE"""),31911)</f>
        <v>31911</v>
      </c>
      <c r="L219" s="20" t="str">
        <f ca="1">IFERROR(__xludf.DUMMYFUNCTION("""COMPUTED_VALUE"""),"Poder Ejecutivo Provincial")</f>
        <v>Poder Ejecutivo Provincial</v>
      </c>
      <c r="M219"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19" s="20" t="str">
        <f ca="1">IFERROR(__xludf.DUMMYFUNCTION("""COMPUTED_VALUE"""),"NO")</f>
        <v>NO</v>
      </c>
      <c r="O219" s="20" t="str">
        <f ca="1">IFERROR(__xludf.DUMMYFUNCTION("""COMPUTED_VALUE"""),"NO")</f>
        <v>NO</v>
      </c>
      <c r="P219" s="20">
        <f ca="1">IFERROR(__xludf.DUMMYFUNCTION("""COMPUTED_VALUE"""),0)</f>
        <v>0</v>
      </c>
      <c r="Q219" s="113" t="str">
        <f ca="1">IFERROR(__xludf.DUMMYFUNCTION("""COMPUTED_VALUE"""),"https://gld.legislaturacba.gob.ar/_cdd/api/Documento/descargar?guid=0cb6622c-be78-4b52-b9de-935daef1ca29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v>
      </c>
      <c r="R219" s="20" t="str">
        <f ca="1">IFERROR(__xludf.DUMMYFUNCTION("""COMPUTED_VALUE"""),"NA")</f>
        <v>NA</v>
      </c>
      <c r="S219" s="113" t="str">
        <f ca="1">IFERROR(__xludf.DUMMYFUNCTION("""COMPUTED_VALUE"""),"https://gld.legislaturacba.gob.ar/Publics/Actas.aspx?id=IvjjLPLBnvE=;https://gld.legislaturacba.gob.ar/Publics/Actas.aspx?id=UhNmx57rtvg=")</f>
        <v>https://gld.legislaturacba.gob.ar/Publics/Actas.aspx?id=IvjjLPLBnvE=;https://gld.legislaturacba.gob.ar/Publics/Actas.aspx?id=UhNmx57rtvg=</v>
      </c>
      <c r="T219" s="99">
        <f t="shared" ca="1" si="0"/>
        <v>0</v>
      </c>
    </row>
    <row r="220" spans="1:20">
      <c r="A220" s="20">
        <f ca="1">IFERROR(__xludf.DUMMYFUNCTION("""COMPUTED_VALUE"""),219)</f>
        <v>219</v>
      </c>
      <c r="B220" s="20">
        <f ca="1">IFERROR(__xludf.DUMMYFUNCTION("""COMPUTED_VALUE"""),2020)</f>
        <v>2020</v>
      </c>
      <c r="C220" s="20" t="str">
        <f ca="1">IFERROR(__xludf.DUMMYFUNCTION("""COMPUTED_VALUE"""),"VIRTUAL")</f>
        <v>VIRTUAL</v>
      </c>
      <c r="D220" s="96">
        <f ca="1">IFERROR(__xludf.DUMMYFUNCTION("""COMPUTED_VALUE"""),44180)</f>
        <v>44180</v>
      </c>
      <c r="E220" s="20" t="str">
        <f ca="1">IFERROR(__xludf.DUMMYFUNCTION("""COMPUTED_VALUE"""),"NO")</f>
        <v>NO</v>
      </c>
      <c r="F220" s="20" t="str">
        <f ca="1">IFERROR(__xludf.DUMMYFUNCTION("""COMPUTED_VALUE"""),"LEGISLACIÓN DEL TRABAJO, PREVISIÓN Y SEGURIDAD SOCIAL")</f>
        <v>LEGISLACIÓN DEL TRABAJO, PREVISIÓN Y SEGURIDAD SOCIAL</v>
      </c>
      <c r="G220" s="20">
        <f ca="1">IFERROR(__xludf.DUMMYFUNCTION("""COMPUTED_VALUE"""),1)</f>
        <v>1</v>
      </c>
      <c r="H220" s="20">
        <f ca="1">IFERROR(__xludf.DUMMYFUNCTION("""COMPUTED_VALUE"""),1)</f>
        <v>1</v>
      </c>
      <c r="I220" s="20">
        <f ca="1">IFERROR(__xludf.DUMMYFUNCTION("""COMPUTED_VALUE"""),1)</f>
        <v>1</v>
      </c>
      <c r="J220" s="20" t="str">
        <f ca="1">IFERROR(__xludf.DUMMYFUNCTION("""COMPUTED_VALUE"""),"NC")</f>
        <v>NC</v>
      </c>
      <c r="K220" s="20" t="str">
        <f ca="1">IFERROR(__xludf.DUMMYFUNCTION("""COMPUTED_VALUE"""),"NA")</f>
        <v>NA</v>
      </c>
      <c r="L220" s="20" t="str">
        <f ca="1">IFERROR(__xludf.DUMMYFUNCTION("""COMPUTED_VALUE"""),"NA")</f>
        <v>NA</v>
      </c>
      <c r="M220" s="20" t="str">
        <f ca="1">IFERROR(__xludf.DUMMYFUNCTION("""COMPUTED_VALUE"""),"Situación del sector de la industria gráfica cordobesa en el marco de la Pandemia COVID 19.")</f>
        <v>Situación del sector de la industria gráfica cordobesa en el marco de la Pandemia COVID 19.</v>
      </c>
      <c r="N220" s="20" t="str">
        <f ca="1">IFERROR(__xludf.DUMMYFUNCTION("""COMPUTED_VALUE"""),"NA")</f>
        <v>NA</v>
      </c>
      <c r="O220" s="20" t="str">
        <f ca="1">IFERROR(__xludf.DUMMYFUNCTION("""COMPUTED_VALUE"""),"SI")</f>
        <v>SI</v>
      </c>
      <c r="P220" s="20">
        <f ca="1">IFERROR(__xludf.DUMMYFUNCTION("""COMPUTED_VALUE"""),1)</f>
        <v>1</v>
      </c>
      <c r="Q220" s="113" t="str">
        <f ca="1">IFERROR(__xludf.DUMMYFUNCTION("""COMPUTED_VALUE"""),"https://gld.legislaturacba.gob.ar/_cdd/api/Documento/descargar?guid=1e4e3510-7fea-4a08-b9f4-0ad64542cd72&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v>
      </c>
      <c r="R220" s="113" t="str">
        <f ca="1">IFERROR(__xludf.DUMMYFUNCTION("""COMPUTED_VALUE"""),"https://www.youtube.com/watch?v=2gTVD_Hzr3o")</f>
        <v>https://www.youtube.com/watch?v=2gTVD_Hzr3o</v>
      </c>
      <c r="S220" s="113" t="str">
        <f ca="1">IFERROR(__xludf.DUMMYFUNCTION("""COMPUTED_VALUE"""),"https://gld.legislaturacba.gob.ar/Publics/Actas.aspx?id=H8z8IMs9VOA=")</f>
        <v>https://gld.legislaturacba.gob.ar/Publics/Actas.aspx?id=H8z8IMs9VOA=</v>
      </c>
      <c r="T220" s="99">
        <f t="shared" ca="1" si="0"/>
        <v>0</v>
      </c>
    </row>
    <row r="221" spans="1:20">
      <c r="A221" s="20">
        <f ca="1">IFERROR(__xludf.DUMMYFUNCTION("""COMPUTED_VALUE"""),220)</f>
        <v>220</v>
      </c>
      <c r="B221" s="20">
        <f ca="1">IFERROR(__xludf.DUMMYFUNCTION("""COMPUTED_VALUE"""),2020)</f>
        <v>2020</v>
      </c>
      <c r="C221" s="20" t="str">
        <f ca="1">IFERROR(__xludf.DUMMYFUNCTION("""COMPUTED_VALUE"""),"VIRTUAL")</f>
        <v>VIRTUAL</v>
      </c>
      <c r="D221" s="96">
        <f ca="1">IFERROR(__xludf.DUMMYFUNCTION("""COMPUTED_VALUE"""),44180)</f>
        <v>44180</v>
      </c>
      <c r="E221" s="20" t="str">
        <f ca="1">IFERROR(__xludf.DUMMYFUNCTION("""COMPUTED_VALUE"""),"SI")</f>
        <v>SI</v>
      </c>
      <c r="F221" s="20" t="str">
        <f ca="1">IFERROR(__xludf.DUMMYFUNCTION("""COMPUTED_VALUE"""),"EDUCACIÓN, CULTURA, CIENCIA, TECNOLOGÍA E INFORMÁTICA;LEGISLACIÓN GENERAL")</f>
        <v>EDUCACIÓN, CULTURA, CIENCIA, TECNOLOGÍA E INFORMÁTICA;LEGISLACIÓN GENERAL</v>
      </c>
      <c r="G221" s="20">
        <f ca="1">IFERROR(__xludf.DUMMYFUNCTION("""COMPUTED_VALUE"""),2)</f>
        <v>2</v>
      </c>
      <c r="H221" s="20">
        <f ca="1">IFERROR(__xludf.DUMMYFUNCTION("""COMPUTED_VALUE"""),1)</f>
        <v>1</v>
      </c>
      <c r="I221" s="20">
        <f ca="1">IFERROR(__xludf.DUMMYFUNCTION("""COMPUTED_VALUE"""),1)</f>
        <v>1</v>
      </c>
      <c r="J221" s="20" t="str">
        <f ca="1">IFERROR(__xludf.DUMMYFUNCTION("""COMPUTED_VALUE"""),"Ley")</f>
        <v>Ley</v>
      </c>
      <c r="K221" s="20">
        <f ca="1">IFERROR(__xludf.DUMMYFUNCTION("""COMPUTED_VALUE"""),31817)</f>
        <v>31817</v>
      </c>
      <c r="L221" s="20" t="str">
        <f ca="1">IFERROR(__xludf.DUMMYFUNCTION("""COMPUTED_VALUE"""),"Poder Ejecutivo Provincial")</f>
        <v>Poder Ejecutivo Provincial</v>
      </c>
      <c r="M221" s="20" t="str">
        <f ca="1">IFERROR(__xludf.DUMMYFUNCTION("""COMPUTED_VALUE"""),"Proyecto de Ley 31817/L/20, remitido por el Poder Ejecutivo, modificando e incorporando distintos artículos al Decreto-Ley Nº 214/E/63 Estatuto y Escalafón de la Docencia Media, Especial y Superior.")</f>
        <v>Proyecto de Ley 31817/L/20, remitido por el Poder Ejecutivo, modificando e incorporando distintos artículos al Decreto-Ley Nº 214/E/63 Estatuto y Escalafón de la Docencia Media, Especial y Superior.</v>
      </c>
      <c r="N221" s="20" t="str">
        <f ca="1">IFERROR(__xludf.DUMMYFUNCTION("""COMPUTED_VALUE"""),"SI")</f>
        <v>SI</v>
      </c>
      <c r="O221" s="20" t="str">
        <f ca="1">IFERROR(__xludf.DUMMYFUNCTION("""COMPUTED_VALUE"""),"NO")</f>
        <v>NO</v>
      </c>
      <c r="P221" s="20">
        <f ca="1">IFERROR(__xludf.DUMMYFUNCTION("""COMPUTED_VALUE"""),0)</f>
        <v>0</v>
      </c>
      <c r="Q221" s="113" t="str">
        <f ca="1">IFERROR(__xludf.DUMMYFUNCTION("""COMPUTED_VALUE"""),"https://gld.legislaturacba.gob.ar/_cdd/api/Documento/descargar?guid=2baed259-fdc9-4d2f-864c-b37050a503d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v>
      </c>
      <c r="R221" s="113" t="str">
        <f ca="1">IFERROR(__xludf.DUMMYFUNCTION("""COMPUTED_VALUE"""),"https://www.youtube.com/watch?v=ewowi9uoS6k")</f>
        <v>https://www.youtube.com/watch?v=ewowi9uoS6k</v>
      </c>
      <c r="S221" s="113" t="str">
        <f ca="1">IFERROR(__xludf.DUMMYFUNCTION("""COMPUTED_VALUE"""),"https://gld.legislaturacba.gob.ar/Publics/Actas.aspx?id=6QzzmziEcuY=;https://gld.legislaturacba.gob.ar/Publics/Actas.aspx?id=NDLFgCeW_h8=")</f>
        <v>https://gld.legislaturacba.gob.ar/Publics/Actas.aspx?id=6QzzmziEcuY=;https://gld.legislaturacba.gob.ar/Publics/Actas.aspx?id=NDLFgCeW_h8=</v>
      </c>
      <c r="T221" s="99">
        <f t="shared" ca="1" si="0"/>
        <v>0</v>
      </c>
    </row>
    <row r="222" spans="1:20">
      <c r="A222" s="20">
        <f ca="1">IFERROR(__xludf.DUMMYFUNCTION("""COMPUTED_VALUE"""),221)</f>
        <v>221</v>
      </c>
      <c r="B222" s="20">
        <f ca="1">IFERROR(__xludf.DUMMYFUNCTION("""COMPUTED_VALUE"""),2020)</f>
        <v>2020</v>
      </c>
      <c r="C222" s="20" t="str">
        <f ca="1">IFERROR(__xludf.DUMMYFUNCTION("""COMPUTED_VALUE"""),"VIRTUAL")</f>
        <v>VIRTUAL</v>
      </c>
      <c r="D222" s="96">
        <f ca="1">IFERROR(__xludf.DUMMYFUNCTION("""COMPUTED_VALUE"""),44180)</f>
        <v>44180</v>
      </c>
      <c r="E222" s="20" t="str">
        <f ca="1">IFERROR(__xludf.DUMMYFUNCTION("""COMPUTED_VALUE"""),"NO")</f>
        <v>NO</v>
      </c>
      <c r="F222" s="20" t="str">
        <f ca="1">IFERROR(__xludf.DUMMYFUNCTION("""COMPUTED_VALUE"""),"DEPORTES Y RECREACIÓN")</f>
        <v>DEPORTES Y RECREACIÓN</v>
      </c>
      <c r="G222" s="20">
        <f ca="1">IFERROR(__xludf.DUMMYFUNCTION("""COMPUTED_VALUE"""),1)</f>
        <v>1</v>
      </c>
      <c r="H222" s="20">
        <f ca="1">IFERROR(__xludf.DUMMYFUNCTION("""COMPUTED_VALUE"""),2)</f>
        <v>2</v>
      </c>
      <c r="I222" s="20">
        <f ca="1">IFERROR(__xludf.DUMMYFUNCTION("""COMPUTED_VALUE"""),1)</f>
        <v>1</v>
      </c>
      <c r="J222" s="20" t="str">
        <f ca="1">IFERROR(__xludf.DUMMYFUNCTION("""COMPUTED_VALUE"""),"Ley")</f>
        <v>Ley</v>
      </c>
      <c r="K222" s="20">
        <f ca="1">IFERROR(__xludf.DUMMYFUNCTION("""COMPUTED_VALUE"""),31707)</f>
        <v>31707</v>
      </c>
      <c r="L222" s="20" t="str">
        <f ca="1">IFERROR(__xludf.DUMMYFUNCTION("""COMPUTED_VALUE"""),"Poder Legislativo Provincial")</f>
        <v>Poder Legislativo Provincial</v>
      </c>
      <c r="M222" s="20" t="str">
        <f ca="1">IFERROR(__xludf.DUMMYFUNCTION("""COMPUTED_VALUE"""),"Proyecto de Ley 31707/L/20, iniciado por los Legisladores Hak, Fernández y Zorrilla, declarando de interés social los bienes inmuebles y/o muebles destinados a actividades deportivas, sociales, recreativas y/o culturales, propiedad de asociaciones civiles"&amp;" sin fines de lucro, con el fin de garantizar el funcionamiento básico de estas entidades y asegurar la conservación de su patrimonio físico y su infraestructura deportiva.")</f>
        <v>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22" s="20" t="str">
        <f ca="1">IFERROR(__xludf.DUMMYFUNCTION("""COMPUTED_VALUE"""),"NO")</f>
        <v>NO</v>
      </c>
      <c r="O222" s="20" t="str">
        <f ca="1">IFERROR(__xludf.DUMMYFUNCTION("""COMPUTED_VALUE"""),"SI")</f>
        <v>SI</v>
      </c>
      <c r="P222" s="20">
        <f ca="1">IFERROR(__xludf.DUMMYFUNCTION("""COMPUTED_VALUE"""),10)</f>
        <v>10</v>
      </c>
      <c r="Q222" s="113" t="str">
        <f ca="1">IFERROR(__xludf.DUMMYFUNCTION("""COMPUTED_VALUE"""),"https://gld.legislaturacba.gob.ar/_cdd/api/Documento/descargar?guid=92359eb0-0123-49fc-aa0f-2441e0aed897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v>
      </c>
      <c r="R222" s="20" t="str">
        <f ca="1">IFERROR(__xludf.DUMMYFUNCTION("""COMPUTED_VALUE"""),"NA")</f>
        <v>NA</v>
      </c>
      <c r="S222" s="113" t="str">
        <f ca="1">IFERROR(__xludf.DUMMYFUNCTION("""COMPUTED_VALUE"""),"https://gld.legislaturacba.gob.ar/Publics/Actas.aspx?id=8YsuurtySHU=")</f>
        <v>https://gld.legislaturacba.gob.ar/Publics/Actas.aspx?id=8YsuurtySHU=</v>
      </c>
      <c r="T222" s="99">
        <f t="shared" ca="1" si="0"/>
        <v>0</v>
      </c>
    </row>
    <row r="223" spans="1:20">
      <c r="A223" s="20">
        <f ca="1">IFERROR(__xludf.DUMMYFUNCTION("""COMPUTED_VALUE"""),222)</f>
        <v>222</v>
      </c>
      <c r="B223" s="20">
        <f ca="1">IFERROR(__xludf.DUMMYFUNCTION("""COMPUTED_VALUE"""),2020)</f>
        <v>2020</v>
      </c>
      <c r="C223" s="20" t="str">
        <f ca="1">IFERROR(__xludf.DUMMYFUNCTION("""COMPUTED_VALUE"""),"VIRTUAL")</f>
        <v>VIRTUAL</v>
      </c>
      <c r="D223" s="96">
        <f ca="1">IFERROR(__xludf.DUMMYFUNCTION("""COMPUTED_VALUE"""),44180)</f>
        <v>44180</v>
      </c>
      <c r="E223" s="20" t="str">
        <f ca="1">IFERROR(__xludf.DUMMYFUNCTION("""COMPUTED_VALUE"""),"SI")</f>
        <v>SI</v>
      </c>
      <c r="F223" s="20" t="str">
        <f ca="1">IFERROR(__xludf.DUMMYFUNCTION("""COMPUTED_VALUE"""),"ASUNTOS CONSTITUCIONALES, JUSTICIA Y ACUERDOS;LEGISLACIÓN GENERAL")</f>
        <v>ASUNTOS CONSTITUCIONALES, JUSTICIA Y ACUERDOS;LEGISLACIÓN GENERAL</v>
      </c>
      <c r="G223" s="20">
        <f ca="1">IFERROR(__xludf.DUMMYFUNCTION("""COMPUTED_VALUE"""),2)</f>
        <v>2</v>
      </c>
      <c r="H223" s="20">
        <f ca="1">IFERROR(__xludf.DUMMYFUNCTION("""COMPUTED_VALUE"""),2)</f>
        <v>2</v>
      </c>
      <c r="I223" s="20">
        <f ca="1">IFERROR(__xludf.DUMMYFUNCTION("""COMPUTED_VALUE"""),1)</f>
        <v>1</v>
      </c>
      <c r="J223" s="20" t="str">
        <f ca="1">IFERROR(__xludf.DUMMYFUNCTION("""COMPUTED_VALUE"""),"Ley")</f>
        <v>Ley</v>
      </c>
      <c r="K223" s="20">
        <f ca="1">IFERROR(__xludf.DUMMYFUNCTION("""COMPUTED_VALUE"""),31911)</f>
        <v>31911</v>
      </c>
      <c r="L223" s="20" t="str">
        <f ca="1">IFERROR(__xludf.DUMMYFUNCTION("""COMPUTED_VALUE"""),"Poder Ejecutivo Provincial")</f>
        <v>Poder Ejecutivo Provincial</v>
      </c>
      <c r="M223"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23" s="20" t="str">
        <f ca="1">IFERROR(__xludf.DUMMYFUNCTION("""COMPUTED_VALUE"""),"NO")</f>
        <v>NO</v>
      </c>
      <c r="O223" s="20" t="str">
        <f ca="1">IFERROR(__xludf.DUMMYFUNCTION("""COMPUTED_VALUE"""),"NO")</f>
        <v>NO</v>
      </c>
      <c r="P223" s="20">
        <f ca="1">IFERROR(__xludf.DUMMYFUNCTION("""COMPUTED_VALUE"""),0)</f>
        <v>0</v>
      </c>
      <c r="Q223" s="113" t="str">
        <f ca="1">IFERROR(__xludf.DUMMYFUNCTION("""COMPUTED_VALUE"""),"https://gld.legislaturacba.gob.ar/_cdd/api/Documento/descargar?guid=1bc8b3db-03f6-4faa-b406-0e2bda7e9523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v>
      </c>
      <c r="R223" s="113" t="str">
        <f ca="1">IFERROR(__xludf.DUMMYFUNCTION("""COMPUTED_VALUE"""),"https://www.youtube.com/watch?v=fO8U7MeK3QA")</f>
        <v>https://www.youtube.com/watch?v=fO8U7MeK3QA</v>
      </c>
      <c r="S223" s="113" t="str">
        <f ca="1">IFERROR(__xludf.DUMMYFUNCTION("""COMPUTED_VALUE"""),"https://gld.legislaturacba.gob.ar/Publics/Actas.aspx?id=8PamxFMF7nk=;https://gld.legislaturacba.gob.ar/Publics/Actas.aspx?id=BS-_ilaBSwk=")</f>
        <v>https://gld.legislaturacba.gob.ar/Publics/Actas.aspx?id=8PamxFMF7nk=;https://gld.legislaturacba.gob.ar/Publics/Actas.aspx?id=BS-_ilaBSwk=</v>
      </c>
      <c r="T223" s="99">
        <f t="shared" ca="1" si="0"/>
        <v>0</v>
      </c>
    </row>
    <row r="224" spans="1:20">
      <c r="A224" s="20">
        <f ca="1">IFERROR(__xludf.DUMMYFUNCTION("""COMPUTED_VALUE"""),223)</f>
        <v>223</v>
      </c>
      <c r="B224" s="20">
        <f ca="1">IFERROR(__xludf.DUMMYFUNCTION("""COMPUTED_VALUE"""),2020)</f>
        <v>2020</v>
      </c>
      <c r="C224" s="20" t="str">
        <f ca="1">IFERROR(__xludf.DUMMYFUNCTION("""COMPUTED_VALUE"""),"VIRTUAL")</f>
        <v>VIRTUAL</v>
      </c>
      <c r="D224" s="96">
        <f ca="1">IFERROR(__xludf.DUMMYFUNCTION("""COMPUTED_VALUE"""),44181)</f>
        <v>44181</v>
      </c>
      <c r="E224" s="20" t="str">
        <f ca="1">IFERROR(__xludf.DUMMYFUNCTION("""COMPUTED_VALUE"""),"NO")</f>
        <v>NO</v>
      </c>
      <c r="F224" s="20" t="str">
        <f ca="1">IFERROR(__xludf.DUMMYFUNCTION("""COMPUTED_VALUE"""),"DERECHOS HUMANOS Y DESARROLLO SOCIAL")</f>
        <v>DERECHOS HUMANOS Y DESARROLLO SOCIAL</v>
      </c>
      <c r="G224" s="20">
        <f ca="1">IFERROR(__xludf.DUMMYFUNCTION("""COMPUTED_VALUE"""),1)</f>
        <v>1</v>
      </c>
      <c r="H224" s="20">
        <f ca="1">IFERROR(__xludf.DUMMYFUNCTION("""COMPUTED_VALUE"""),1)</f>
        <v>1</v>
      </c>
      <c r="I224" s="20">
        <f ca="1">IFERROR(__xludf.DUMMYFUNCTION("""COMPUTED_VALUE"""),1)</f>
        <v>1</v>
      </c>
      <c r="J224" s="20" t="str">
        <f ca="1">IFERROR(__xludf.DUMMYFUNCTION("""COMPUTED_VALUE"""),"Declaración")</f>
        <v>Declaración</v>
      </c>
      <c r="K224" s="20">
        <f ca="1">IFERROR(__xludf.DUMMYFUNCTION("""COMPUTED_VALUE"""),31968)</f>
        <v>31968</v>
      </c>
      <c r="L224" s="20" t="str">
        <f ca="1">IFERROR(__xludf.DUMMYFUNCTION("""COMPUTED_VALUE"""),"Poder Legislativo Provincial")</f>
        <v>Poder Legislativo Provincial</v>
      </c>
      <c r="M224" s="20" t="str">
        <f ca="1">IFERROR(__xludf.DUMMYFUNCTION("""COMPUTED_VALUE"""),"Proyecto de Declaración 31968/D/20, iniciado por los Legisladores Caffaratti, Paleo, Ronge, Jure y Recalde, reconociendo la labor realizada por Octavio Perez Gaudio en el Canal Mundo Especial XD, dedicado a difundir los derechos de las personas con discap"&amp;"acidad a través de la plataforma de YouTube.")</f>
        <v>Proyecto de Declaración 31968/D/20, iniciado por los Legisladores Caffaratti, Paleo, Ronge, Jure y Recalde, reconociendo la labor realizada por Octavio Perez Gaudio en el Canal Mundo Especial XD, dedicado a difundir los derechos de las personas con discapacidad a través de la plataforma de YouTube.</v>
      </c>
      <c r="N224" s="20" t="str">
        <f ca="1">IFERROR(__xludf.DUMMYFUNCTION("""COMPUTED_VALUE"""),"NO")</f>
        <v>NO</v>
      </c>
      <c r="O224" s="20" t="str">
        <f ca="1">IFERROR(__xludf.DUMMYFUNCTION("""COMPUTED_VALUE"""),"SI")</f>
        <v>SI</v>
      </c>
      <c r="P224" s="20">
        <f ca="1">IFERROR(__xludf.DUMMYFUNCTION("""COMPUTED_VALUE"""),1)</f>
        <v>1</v>
      </c>
      <c r="Q224" s="113" t="str">
        <f ca="1">IFERROR(__xludf.DUMMYFUNCTION("""COMPUTED_VALUE"""),"https://gld.legislaturacba.gob.ar/_cdd/api/Documento/descargar?guid=c0994801-158a-456c-ac01-dffa30936bd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v>
      </c>
      <c r="R224" s="20" t="str">
        <f ca="1">IFERROR(__xludf.DUMMYFUNCTION("""COMPUTED_VALUE"""),"NA")</f>
        <v>NA</v>
      </c>
      <c r="S224" s="113" t="str">
        <f ca="1">IFERROR(__xludf.DUMMYFUNCTION("""COMPUTED_VALUE"""),"https://gld.legislaturacba.gob.ar/Publics/Actas.aspx?id=fLn_jKDwbf8=")</f>
        <v>https://gld.legislaturacba.gob.ar/Publics/Actas.aspx?id=fLn_jKDwbf8=</v>
      </c>
      <c r="T224" s="99">
        <f t="shared" ca="1" si="0"/>
        <v>0</v>
      </c>
    </row>
    <row r="225" spans="1:20">
      <c r="A225" s="20">
        <f ca="1">IFERROR(__xludf.DUMMYFUNCTION("""COMPUTED_VALUE"""),224)</f>
        <v>224</v>
      </c>
      <c r="B225" s="20">
        <f ca="1">IFERROR(__xludf.DUMMYFUNCTION("""COMPUTED_VALUE"""),2020)</f>
        <v>2020</v>
      </c>
      <c r="C225" s="20" t="str">
        <f ca="1">IFERROR(__xludf.DUMMYFUNCTION("""COMPUTED_VALUE"""),"VIRTUAL")</f>
        <v>VIRTUAL</v>
      </c>
      <c r="D225" s="96">
        <f ca="1">IFERROR(__xludf.DUMMYFUNCTION("""COMPUTED_VALUE"""),44182)</f>
        <v>44182</v>
      </c>
      <c r="E225" s="20" t="str">
        <f ca="1">IFERROR(__xludf.DUMMYFUNCTION("""COMPUTED_VALUE"""),"NO")</f>
        <v>NO</v>
      </c>
      <c r="F225" s="20" t="str">
        <f ca="1">IFERROR(__xludf.DUMMYFUNCTION("""COMPUTED_VALUE"""),"ECONOMÍA, PRESUPUESTO, GESTIÓN PÚBLICA E INNOVACIÓN")</f>
        <v>ECONOMÍA, PRESUPUESTO, GESTIÓN PÚBLICA E INNOVACIÓN</v>
      </c>
      <c r="G225" s="20">
        <f ca="1">IFERROR(__xludf.DUMMYFUNCTION("""COMPUTED_VALUE"""),1)</f>
        <v>1</v>
      </c>
      <c r="H225" s="20">
        <f ca="1">IFERROR(__xludf.DUMMYFUNCTION("""COMPUTED_VALUE"""),1)</f>
        <v>1</v>
      </c>
      <c r="I225" s="20">
        <f ca="1">IFERROR(__xludf.DUMMYFUNCTION("""COMPUTED_VALUE"""),1)</f>
        <v>1</v>
      </c>
      <c r="J225" s="20" t="str">
        <f ca="1">IFERROR(__xludf.DUMMYFUNCTION("""COMPUTED_VALUE"""),"Ley")</f>
        <v>Ley</v>
      </c>
      <c r="K225" s="20">
        <f ca="1">IFERROR(__xludf.DUMMYFUNCTION("""COMPUTED_VALUE"""),31988)</f>
        <v>31988</v>
      </c>
      <c r="L225" s="20" t="str">
        <f ca="1">IFERROR(__xludf.DUMMYFUNCTION("""COMPUTED_VALUE"""),"Poder Ejecutivo Provincial")</f>
        <v>Poder Ejecutivo Provincial</v>
      </c>
      <c r="M225" s="20" t="str">
        <f ca="1">IFERROR(__xludf.DUMMYFUNCTION("""COMPUTED_VALUE"""),"Proyecto de Ley 31988/L/20, iniciado por el Poder Ejecutivo, aprobando el “Consenso Fiscal 2020”, suscripto entre el Estado Nacional y las Provincias, celebrado en esa ciudad el 4 de diciembre de 2020 y registrado en el Protocolo de Convenios y Tratados d"&amp;"e la Secretaría Legal y Técnica de Fiscalía de Estado con el Nº 19.")</f>
        <v>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v>
      </c>
      <c r="N225" s="20" t="str">
        <f ca="1">IFERROR(__xludf.DUMMYFUNCTION("""COMPUTED_VALUE"""),"NO")</f>
        <v>NO</v>
      </c>
      <c r="O225" s="20" t="str">
        <f ca="1">IFERROR(__xludf.DUMMYFUNCTION("""COMPUTED_VALUE"""),"NO")</f>
        <v>NO</v>
      </c>
      <c r="P225" s="20">
        <f ca="1">IFERROR(__xludf.DUMMYFUNCTION("""COMPUTED_VALUE"""),0)</f>
        <v>0</v>
      </c>
      <c r="Q225" s="113" t="str">
        <f ca="1">IFERROR(__xludf.DUMMYFUNCTION("""COMPUTED_VALUE"""),"https://gld.legislaturacba.gob.ar/_cdd/api/Documento/descargar?guid=4f62b302-c994-4ef3-a47e-d3576a50f5d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v>
      </c>
      <c r="R225" s="113" t="str">
        <f ca="1">IFERROR(__xludf.DUMMYFUNCTION("""COMPUTED_VALUE"""),"https://www.youtube.com/watch?v=8wlfcq65MiU")</f>
        <v>https://www.youtube.com/watch?v=8wlfcq65MiU</v>
      </c>
      <c r="S225" s="113" t="str">
        <f ca="1">IFERROR(__xludf.DUMMYFUNCTION("""COMPUTED_VALUE"""),"https://gld.legislaturacba.gob.ar/Publics/Actas.aspx?id=0v7PwP9-DOo=")</f>
        <v>https://gld.legislaturacba.gob.ar/Publics/Actas.aspx?id=0v7PwP9-DOo=</v>
      </c>
      <c r="T225" s="99">
        <f t="shared" ca="1" si="0"/>
        <v>0</v>
      </c>
    </row>
    <row r="226" spans="1:20">
      <c r="A226" s="20">
        <f ca="1">IFERROR(__xludf.DUMMYFUNCTION("""COMPUTED_VALUE"""),225)</f>
        <v>225</v>
      </c>
      <c r="B226" s="20">
        <f ca="1">IFERROR(__xludf.DUMMYFUNCTION("""COMPUTED_VALUE"""),2020)</f>
        <v>2020</v>
      </c>
      <c r="C226" s="20" t="str">
        <f ca="1">IFERROR(__xludf.DUMMYFUNCTION("""COMPUTED_VALUE"""),"VIRTUAL")</f>
        <v>VIRTUAL</v>
      </c>
      <c r="D226" s="96">
        <f ca="1">IFERROR(__xludf.DUMMYFUNCTION("""COMPUTED_VALUE"""),44182)</f>
        <v>44182</v>
      </c>
      <c r="E226" s="20" t="str">
        <f ca="1">IFERROR(__xludf.DUMMYFUNCTION("""COMPUTED_VALUE"""),"NO")</f>
        <v>NO</v>
      </c>
      <c r="F226" s="20" t="str">
        <f ca="1">IFERROR(__xludf.DUMMYFUNCTION("""COMPUTED_VALUE"""),"OBRAS PÚBLICAS, VIVIENDA Y COMUNICACIONES")</f>
        <v>OBRAS PÚBLICAS, VIVIENDA Y COMUNICACIONES</v>
      </c>
      <c r="G226" s="20">
        <f ca="1">IFERROR(__xludf.DUMMYFUNCTION("""COMPUTED_VALUE"""),1)</f>
        <v>1</v>
      </c>
      <c r="H226" s="20">
        <f ca="1">IFERROR(__xludf.DUMMYFUNCTION("""COMPUTED_VALUE"""),2)</f>
        <v>2</v>
      </c>
      <c r="I226" s="20">
        <f ca="1">IFERROR(__xludf.DUMMYFUNCTION("""COMPUTED_VALUE"""),1)</f>
        <v>1</v>
      </c>
      <c r="J226" s="20" t="str">
        <f ca="1">IFERROR(__xludf.DUMMYFUNCTION("""COMPUTED_VALUE"""),"Ley")</f>
        <v>Ley</v>
      </c>
      <c r="K226" s="20">
        <f ca="1">IFERROR(__xludf.DUMMYFUNCTION("""COMPUTED_VALUE"""),31990)</f>
        <v>31990</v>
      </c>
      <c r="L226" s="20" t="str">
        <f ca="1">IFERROR(__xludf.DUMMYFUNCTION("""COMPUTED_VALUE"""),"Poder Ejecutivo Provincial")</f>
        <v>Poder Ejecutivo Provincial</v>
      </c>
      <c r="M226" s="20" t="str">
        <f ca="1">IFERROR(__xludf.DUMMYFUNCTION("""COMPUTED_VALUE"""),"Proyecto de Ley 31990/L/20, iniciado por el Poder Ejecutivo, declarando de utilidad pública y sujeto a expropiación para la ejecución de las obras: “Ruta alternativa a Ruta Nacional Nº 38 - Tramo 1: Variante Costa Azul - La Cumbre en la sección comprendid"&amp;"a entre Variante Costa Azul (Pr. 0+000) y el Acceso a la localidad de Molinari (Pr. 21+500)”, los inmuebles necesarios para llevar a cabo la obra mencionada de acuerdo al Croquis de Ubicación.")</f>
        <v>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v>
      </c>
      <c r="N226" s="20" t="str">
        <f ca="1">IFERROR(__xludf.DUMMYFUNCTION("""COMPUTED_VALUE"""),"NO")</f>
        <v>NO</v>
      </c>
      <c r="O226" s="20" t="str">
        <f ca="1">IFERROR(__xludf.DUMMYFUNCTION("""COMPUTED_VALUE"""),"NO")</f>
        <v>NO</v>
      </c>
      <c r="P226" s="20">
        <f ca="1">IFERROR(__xludf.DUMMYFUNCTION("""COMPUTED_VALUE"""),0)</f>
        <v>0</v>
      </c>
      <c r="Q226" s="113" t="str">
        <f ca="1">IFERROR(__xludf.DUMMYFUNCTION("""COMPUTED_VALUE"""),"https://gld.legislaturacba.gob.ar/_cdd/api/Documento/descargar?guid=2ba73396-7652-4269-9844-698cc51abfc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v>
      </c>
      <c r="R226" s="20" t="str">
        <f ca="1">IFERROR(__xludf.DUMMYFUNCTION("""COMPUTED_VALUE"""),"NA")</f>
        <v>NA</v>
      </c>
      <c r="S226" s="113" t="str">
        <f ca="1">IFERROR(__xludf.DUMMYFUNCTION("""COMPUTED_VALUE"""),"https://gld.legislaturacba.gob.ar/Publics/Actas.aspx?id=EodNT5veUD0=")</f>
        <v>https://gld.legislaturacba.gob.ar/Publics/Actas.aspx?id=EodNT5veUD0=</v>
      </c>
      <c r="T226" s="99">
        <f t="shared" ca="1" si="0"/>
        <v>0</v>
      </c>
    </row>
    <row r="227" spans="1:20">
      <c r="A227" s="20">
        <f ca="1">IFERROR(__xludf.DUMMYFUNCTION("""COMPUTED_VALUE"""),226)</f>
        <v>226</v>
      </c>
      <c r="B227" s="20">
        <f ca="1">IFERROR(__xludf.DUMMYFUNCTION("""COMPUTED_VALUE"""),2020)</f>
        <v>2020</v>
      </c>
      <c r="C227" s="20" t="str">
        <f ca="1">IFERROR(__xludf.DUMMYFUNCTION("""COMPUTED_VALUE"""),"VIRTUAL")</f>
        <v>VIRTUAL</v>
      </c>
      <c r="D227" s="96">
        <f ca="1">IFERROR(__xludf.DUMMYFUNCTION("""COMPUTED_VALUE"""),44182)</f>
        <v>44182</v>
      </c>
      <c r="E227" s="20" t="str">
        <f ca="1">IFERROR(__xludf.DUMMYFUNCTION("""COMPUTED_VALUE"""),"SI")</f>
        <v>SI</v>
      </c>
      <c r="F227" s="20" t="str">
        <f ca="1">IFERROR(__xludf.DUMMYFUNCTION("""COMPUTED_VALUE"""),"ASUNTOS CONSTITUCIONALES, JUSTICIA Y ACUERDOS;LEGISLACIÓN GENERAL")</f>
        <v>ASUNTOS CONSTITUCIONALES, JUSTICIA Y ACUERDOS;LEGISLACIÓN GENERAL</v>
      </c>
      <c r="G227" s="20">
        <f ca="1">IFERROR(__xludf.DUMMYFUNCTION("""COMPUTED_VALUE"""),2)</f>
        <v>2</v>
      </c>
      <c r="H227" s="20">
        <f ca="1">IFERROR(__xludf.DUMMYFUNCTION("""COMPUTED_VALUE"""),2)</f>
        <v>2</v>
      </c>
      <c r="I227" s="20">
        <f ca="1">IFERROR(__xludf.DUMMYFUNCTION("""COMPUTED_VALUE"""),1)</f>
        <v>1</v>
      </c>
      <c r="J227" s="20" t="str">
        <f ca="1">IFERROR(__xludf.DUMMYFUNCTION("""COMPUTED_VALUE"""),"Ley")</f>
        <v>Ley</v>
      </c>
      <c r="K227" s="20">
        <f ca="1">IFERROR(__xludf.DUMMYFUNCTION("""COMPUTED_VALUE"""),31911)</f>
        <v>31911</v>
      </c>
      <c r="L227" s="20" t="str">
        <f ca="1">IFERROR(__xludf.DUMMYFUNCTION("""COMPUTED_VALUE"""),"Poder Ejecutivo Provincial")</f>
        <v>Poder Ejecutivo Provincial</v>
      </c>
      <c r="M227"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27" s="20" t="str">
        <f ca="1">IFERROR(__xludf.DUMMYFUNCTION("""COMPUTED_VALUE"""),"NO")</f>
        <v>NO</v>
      </c>
      <c r="O227" s="20" t="str">
        <f ca="1">IFERROR(__xludf.DUMMYFUNCTION("""COMPUTED_VALUE"""),"NO")</f>
        <v>NO</v>
      </c>
      <c r="P227" s="20">
        <f ca="1">IFERROR(__xludf.DUMMYFUNCTION("""COMPUTED_VALUE"""),0)</f>
        <v>0</v>
      </c>
      <c r="Q227" s="113" t="str">
        <f ca="1">IFERROR(__xludf.DUMMYFUNCTION("""COMPUTED_VALUE"""),"https://gld.legislaturacba.gob.ar/_cdd/api/Documento/descargar?guid=41f7b61a-c00e-47dd-b5f0-e254055a170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v>
      </c>
      <c r="R227" s="20" t="str">
        <f ca="1">IFERROR(__xludf.DUMMYFUNCTION("""COMPUTED_VALUE"""),"NA")</f>
        <v>NA</v>
      </c>
      <c r="S227" s="113" t="str">
        <f ca="1">IFERROR(__xludf.DUMMYFUNCTION("""COMPUTED_VALUE"""),"https://gld.legislaturacba.gob.ar/Publics/Actas.aspx?id=-ckAifYRhWI=;https://gld.legislaturacba.gob.ar/Publics/Actas.aspx?id=VkTCxJ5-Ru4=")</f>
        <v>https://gld.legislaturacba.gob.ar/Publics/Actas.aspx?id=-ckAifYRhWI=;https://gld.legislaturacba.gob.ar/Publics/Actas.aspx?id=VkTCxJ5-Ru4=</v>
      </c>
      <c r="T227" s="99">
        <f t="shared" ca="1" si="0"/>
        <v>0</v>
      </c>
    </row>
    <row r="228" spans="1:20">
      <c r="A228" s="20">
        <f ca="1">IFERROR(__xludf.DUMMYFUNCTION("""COMPUTED_VALUE"""),227)</f>
        <v>227</v>
      </c>
      <c r="B228" s="20">
        <f ca="1">IFERROR(__xludf.DUMMYFUNCTION("""COMPUTED_VALUE"""),2020)</f>
        <v>2020</v>
      </c>
      <c r="C228" s="20" t="str">
        <f ca="1">IFERROR(__xludf.DUMMYFUNCTION("""COMPUTED_VALUE"""),"VIRTUAL")</f>
        <v>VIRTUAL</v>
      </c>
      <c r="D228" s="96">
        <f ca="1">IFERROR(__xludf.DUMMYFUNCTION("""COMPUTED_VALUE"""),44182)</f>
        <v>44182</v>
      </c>
      <c r="E228" s="20" t="str">
        <f ca="1">IFERROR(__xludf.DUMMYFUNCTION("""COMPUTED_VALUE"""),"NO")</f>
        <v>NO</v>
      </c>
      <c r="F228" s="20" t="str">
        <f ca="1">IFERROR(__xludf.DUMMYFUNCTION("""COMPUTED_VALUE"""),"EQUIDAD Y LUCHA CONTRA LA VIOLENCIA DE GÉNERO")</f>
        <v>EQUIDAD Y LUCHA CONTRA LA VIOLENCIA DE GÉNERO</v>
      </c>
      <c r="G228" s="20">
        <f ca="1">IFERROR(__xludf.DUMMYFUNCTION("""COMPUTED_VALUE"""),1)</f>
        <v>1</v>
      </c>
      <c r="H228" s="20">
        <f ca="1">IFERROR(__xludf.DUMMYFUNCTION("""COMPUTED_VALUE"""),1)</f>
        <v>1</v>
      </c>
      <c r="I228" s="20">
        <f ca="1">IFERROR(__xludf.DUMMYFUNCTION("""COMPUTED_VALUE"""),1)</f>
        <v>1</v>
      </c>
      <c r="J228" s="20" t="str">
        <f ca="1">IFERROR(__xludf.DUMMYFUNCTION("""COMPUTED_VALUE"""),"NC")</f>
        <v>NC</v>
      </c>
      <c r="K228" s="20" t="str">
        <f ca="1">IFERROR(__xludf.DUMMYFUNCTION("""COMPUTED_VALUE"""),"NA")</f>
        <v>NA</v>
      </c>
      <c r="L228" s="20" t="str">
        <f ca="1">IFERROR(__xludf.DUMMYFUNCTION("""COMPUTED_VALUE"""),"NA")</f>
        <v>NA</v>
      </c>
      <c r="M228" s="20" t="str">
        <f ca="1">IFERROR(__xludf.DUMMYFUNCTION("""COMPUTED_VALUE"""),"WEBINARIO: Reflexiones sobre la violencia de género.")</f>
        <v>WEBINARIO: Reflexiones sobre la violencia de género.</v>
      </c>
      <c r="N228" s="20" t="str">
        <f ca="1">IFERROR(__xludf.DUMMYFUNCTION("""COMPUTED_VALUE"""),"NA")</f>
        <v>NA</v>
      </c>
      <c r="O228" s="20" t="str">
        <f ca="1">IFERROR(__xludf.DUMMYFUNCTION("""COMPUTED_VALUE"""),"SI")</f>
        <v>SI</v>
      </c>
      <c r="P228" s="20">
        <f ca="1">IFERROR(__xludf.DUMMYFUNCTION("""COMPUTED_VALUE"""),2)</f>
        <v>2</v>
      </c>
      <c r="Q228" s="20" t="str">
        <f ca="1">IFERROR(__xludf.DUMMYFUNCTION("""COMPUTED_VALUE"""),"NA")</f>
        <v>NA</v>
      </c>
      <c r="R228" s="20" t="str">
        <f ca="1">IFERROR(__xludf.DUMMYFUNCTION("""COMPUTED_VALUE"""),"NA")</f>
        <v>NA</v>
      </c>
      <c r="S228" s="113" t="str">
        <f ca="1">IFERROR(__xludf.DUMMYFUNCTION("""COMPUTED_VALUE"""),"https://gld.legislaturacba.gob.ar/Publics/Actas.aspx?id=MVwTfCIXhYc=")</f>
        <v>https://gld.legislaturacba.gob.ar/Publics/Actas.aspx?id=MVwTfCIXhYc=</v>
      </c>
      <c r="T228" s="99">
        <f t="shared" ca="1" si="0"/>
        <v>0</v>
      </c>
    </row>
    <row r="229" spans="1:20">
      <c r="A229" s="20">
        <f ca="1">IFERROR(__xludf.DUMMYFUNCTION("""COMPUTED_VALUE"""),228)</f>
        <v>228</v>
      </c>
      <c r="B229" s="20">
        <f ca="1">IFERROR(__xludf.DUMMYFUNCTION("""COMPUTED_VALUE"""),2020)</f>
        <v>2020</v>
      </c>
      <c r="C229" s="20" t="str">
        <f ca="1">IFERROR(__xludf.DUMMYFUNCTION("""COMPUTED_VALUE"""),"VIRTUAL")</f>
        <v>VIRTUAL</v>
      </c>
      <c r="D229" s="96">
        <f ca="1">IFERROR(__xludf.DUMMYFUNCTION("""COMPUTED_VALUE"""),44187)</f>
        <v>44187</v>
      </c>
      <c r="E229" s="20" t="str">
        <f ca="1">IFERROR(__xludf.DUMMYFUNCTION("""COMPUTED_VALUE"""),"SI")</f>
        <v>SI</v>
      </c>
      <c r="F229" s="20" t="str">
        <f ca="1">IFERROR(__xludf.DUMMYFUNCTION("""COMPUTED_VALUE"""),"OBRAS PÚBLICAS, VIVIENDA Y COMUNICACIONES;ECONOMÍA, PRESUPUESTO, GESTIÓN PÚBLICA E INNOVACIÓN")</f>
        <v>OBRAS PÚBLICAS, VIVIENDA Y COMUNICACIONES;ECONOMÍA, PRESUPUESTO, GESTIÓN PÚBLICA E INNOVACIÓN</v>
      </c>
      <c r="G229" s="20">
        <f ca="1">IFERROR(__xludf.DUMMYFUNCTION("""COMPUTED_VALUE"""),2)</f>
        <v>2</v>
      </c>
      <c r="H229" s="20">
        <f ca="1">IFERROR(__xludf.DUMMYFUNCTION("""COMPUTED_VALUE"""),2)</f>
        <v>2</v>
      </c>
      <c r="I229" s="20">
        <f ca="1">IFERROR(__xludf.DUMMYFUNCTION("""COMPUTED_VALUE"""),1)</f>
        <v>1</v>
      </c>
      <c r="J229" s="20" t="str">
        <f ca="1">IFERROR(__xludf.DUMMYFUNCTION("""COMPUTED_VALUE"""),"Ley")</f>
        <v>Ley</v>
      </c>
      <c r="K229" s="20">
        <f ca="1">IFERROR(__xludf.DUMMYFUNCTION("""COMPUTED_VALUE"""),31990)</f>
        <v>31990</v>
      </c>
      <c r="L229" s="20" t="str">
        <f ca="1">IFERROR(__xludf.DUMMYFUNCTION("""COMPUTED_VALUE"""),"Poder Ejecutivo Provincial")</f>
        <v>Poder Ejecutivo Provincial</v>
      </c>
      <c r="M229" s="20" t="str">
        <f ca="1">IFERROR(__xludf.DUMMYFUNCTION("""COMPUTED_VALUE"""),"Proyecto de Ley 31990/L/20, iniciado por el Poder Ejecutivo, declarando de utilidad pública y sujeto a expropiación para la ejecución de las obras: “Ruta alternativa a Ruta Nacional Nº 38 - Tramo 1: Variante Costa Azul - La Cumbre en la sección comprendid"&amp;"a entre Variante Costa Azul (Pr. 0+000) y el Acceso a la localidad de Molinari (Pr. 21+500)”, los inmuebles necesarios para llevar a cabo la obra mencionada de acuerdo al Croquis de Ubicación.")</f>
        <v>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v>
      </c>
      <c r="N229" s="20" t="str">
        <f ca="1">IFERROR(__xludf.DUMMYFUNCTION("""COMPUTED_VALUE"""),"SI")</f>
        <v>SI</v>
      </c>
      <c r="O229" s="20" t="str">
        <f ca="1">IFERROR(__xludf.DUMMYFUNCTION("""COMPUTED_VALUE"""),"NO")</f>
        <v>NO</v>
      </c>
      <c r="P229" s="20">
        <f ca="1">IFERROR(__xludf.DUMMYFUNCTION("""COMPUTED_VALUE"""),0)</f>
        <v>0</v>
      </c>
      <c r="Q229" s="20" t="str">
        <f ca="1">IFERROR(__xludf.DUMMYFUNCTION("""COMPUTED_VALUE"""),"NA")</f>
        <v>NA</v>
      </c>
      <c r="R229" s="113" t="str">
        <f ca="1">IFERROR(__xludf.DUMMYFUNCTION("""COMPUTED_VALUE"""),"https://www.youtube.com/watch?v=iGIZmmwUowg")</f>
        <v>https://www.youtube.com/watch?v=iGIZmmwUowg</v>
      </c>
      <c r="S229" s="113" t="str">
        <f ca="1">IFERROR(__xludf.DUMMYFUNCTION("""COMPUTED_VALUE"""),"https://gld.legislaturacba.gob.ar/Publics/Actas.aspx?id=20d95av1oMY=;https://gld.legislaturacba.gob.ar/Publics/Actas.aspx?id=UlSC81XjTOM=")</f>
        <v>https://gld.legislaturacba.gob.ar/Publics/Actas.aspx?id=20d95av1oMY=;https://gld.legislaturacba.gob.ar/Publics/Actas.aspx?id=UlSC81XjTOM=</v>
      </c>
      <c r="T229" s="99">
        <f t="shared" ca="1" si="0"/>
        <v>0</v>
      </c>
    </row>
    <row r="230" spans="1:20">
      <c r="A230" s="20">
        <f ca="1">IFERROR(__xludf.DUMMYFUNCTION("""COMPUTED_VALUE"""),229)</f>
        <v>229</v>
      </c>
      <c r="B230" s="20">
        <f ca="1">IFERROR(__xludf.DUMMYFUNCTION("""COMPUTED_VALUE"""),2020)</f>
        <v>2020</v>
      </c>
      <c r="C230" s="20" t="str">
        <f ca="1">IFERROR(__xludf.DUMMYFUNCTION("""COMPUTED_VALUE"""),"VIRTUAL")</f>
        <v>VIRTUAL</v>
      </c>
      <c r="D230" s="96">
        <f ca="1">IFERROR(__xludf.DUMMYFUNCTION("""COMPUTED_VALUE"""),44187)</f>
        <v>44187</v>
      </c>
      <c r="E230" s="20" t="str">
        <f ca="1">IFERROR(__xludf.DUMMYFUNCTION("""COMPUTED_VALUE"""),"SI")</f>
        <v>SI</v>
      </c>
      <c r="F230" s="20" t="str">
        <f ca="1">IFERROR(__xludf.DUMMYFUNCTION("""COMPUTED_VALUE"""),"OBRAS PÚBLICAS, VIVIENDA Y COMUNICACIONES;DERECHOS HUMANOS Y DESARROLLO SOCIAL;ECONOMÍA SOCIAL, COOPERATIVAS Y MUTUALES;LEGISLACIÓN GENERAL")</f>
        <v>OBRAS PÚBLICAS, VIVIENDA Y COMUNICACIONES;DERECHOS HUMANOS Y DESARROLLO SOCIAL;ECONOMÍA SOCIAL, COOPERATIVAS Y MUTUALES;LEGISLACIÓN GENERAL</v>
      </c>
      <c r="G230" s="20">
        <f ca="1">IFERROR(__xludf.DUMMYFUNCTION("""COMPUTED_VALUE"""),4)</f>
        <v>4</v>
      </c>
      <c r="H230" s="20">
        <f ca="1">IFERROR(__xludf.DUMMYFUNCTION("""COMPUTED_VALUE"""),1)</f>
        <v>1</v>
      </c>
      <c r="I230" s="20">
        <f ca="1">IFERROR(__xludf.DUMMYFUNCTION("""COMPUTED_VALUE"""),1)</f>
        <v>1</v>
      </c>
      <c r="J230" s="20" t="str">
        <f ca="1">IFERROR(__xludf.DUMMYFUNCTION("""COMPUTED_VALUE"""),"Ley")</f>
        <v>Ley</v>
      </c>
      <c r="K230" s="20">
        <f ca="1">IFERROR(__xludf.DUMMYFUNCTION("""COMPUTED_VALUE"""),31904)</f>
        <v>31904</v>
      </c>
      <c r="L230" s="20" t="str">
        <f ca="1">IFERROR(__xludf.DUMMYFUNCTION("""COMPUTED_VALUE"""),"Poder Ejecutivo Provincial")</f>
        <v>Poder Ejecutivo Provincial</v>
      </c>
      <c r="M230" s="20" t="str">
        <f ca="1">IFERROR(__xludf.DUMMYFUNCTION("""COMPUTED_VALUE"""),"Proyecto de Ley N31904/L/20, creando el “Programa de Urbanización y Regularización Dominial de Barrios Populares”, con el objetivo de lograr la integración socio-urbana, progresiva e integral, de las familias que habitan en los barrios populares anteriore"&amp;"s al 27 de septiembre de 2017.")</f>
        <v>Proyecto de Ley N31904/L/20, creando el “Programa de Urbanización y Regularización Dominial de Barrios Populares”, con el objetivo de lograr la integración socio-urbana, progresiva e integral, de las familias que habitan en los barrios populares anteriores al 27 de septiembre de 2017.</v>
      </c>
      <c r="N230" s="20" t="str">
        <f ca="1">IFERROR(__xludf.DUMMYFUNCTION("""COMPUTED_VALUE"""),"NO")</f>
        <v>NO</v>
      </c>
      <c r="O230" s="20" t="str">
        <f ca="1">IFERROR(__xludf.DUMMYFUNCTION("""COMPUTED_VALUE"""),"SI")</f>
        <v>SI</v>
      </c>
      <c r="P230" s="20">
        <f ca="1">IFERROR(__xludf.DUMMYFUNCTION("""COMPUTED_VALUE"""),1)</f>
        <v>1</v>
      </c>
      <c r="Q230" s="113" t="str">
        <f ca="1">IFERROR(__xludf.DUMMYFUNCTION("""COMPUTED_VALUE"""),"https://gld.legislaturacba.gob.ar/_cdd/api/Documento/descargar?guid=36649313-a72c-4342-96e6-159b6781842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v>
      </c>
      <c r="R230" s="113" t="str">
        <f ca="1">IFERROR(__xludf.DUMMYFUNCTION("""COMPUTED_VALUE"""),"https://www.youtube.com/watch?v=iGIZmmwUowg")</f>
        <v>https://www.youtube.com/watch?v=iGIZmmwUowg</v>
      </c>
      <c r="S230" s="113" t="str">
        <f ca="1">IFERROR(__xludf.DUMMYFUNCTION("""COMPUTED_VALUE"""),"https://gld.legislaturacba.gob.ar/Publics/Actas.aspx?id=WQtgUWeFlDY=;https://gld.legislaturacba.gob.ar/Publics/Actas.aspx?id=EPrDaV81Amo=;https://gld.legislaturacba.gob.ar/Publics/Actas.aspx?id=jSQNeDmPxaY=;https://gld.legislaturacba.gob.ar/Publics/Actas."&amp;"aspx?id=hcz69s82ueQ=")</f>
        <v>https://gld.legislaturacba.gob.ar/Publics/Actas.aspx?id=WQtgUWeFlDY=;https://gld.legislaturacba.gob.ar/Publics/Actas.aspx?id=EPrDaV81Amo=;https://gld.legislaturacba.gob.ar/Publics/Actas.aspx?id=jSQNeDmPxaY=;https://gld.legislaturacba.gob.ar/Publics/Actas.aspx?id=hcz69s82ueQ=</v>
      </c>
      <c r="T230" s="99">
        <f t="shared" ca="1" si="0"/>
        <v>0</v>
      </c>
    </row>
    <row r="231" spans="1:20">
      <c r="A231" s="20">
        <f ca="1">IFERROR(__xludf.DUMMYFUNCTION("""COMPUTED_VALUE"""),230)</f>
        <v>230</v>
      </c>
      <c r="B231" s="20">
        <f ca="1">IFERROR(__xludf.DUMMYFUNCTION("""COMPUTED_VALUE"""),2020)</f>
        <v>2020</v>
      </c>
      <c r="C231" s="20" t="str">
        <f ca="1">IFERROR(__xludf.DUMMYFUNCTION("""COMPUTED_VALUE"""),"VIRTUAL")</f>
        <v>VIRTUAL</v>
      </c>
      <c r="D231" s="96">
        <f ca="1">IFERROR(__xludf.DUMMYFUNCTION("""COMPUTED_VALUE"""),44187)</f>
        <v>44187</v>
      </c>
      <c r="E231" s="20" t="str">
        <f ca="1">IFERROR(__xludf.DUMMYFUNCTION("""COMPUTED_VALUE"""),"NO")</f>
        <v>NO</v>
      </c>
      <c r="F231" s="20" t="str">
        <f ca="1">IFERROR(__xludf.DUMMYFUNCTION("""COMPUTED_VALUE"""),"ECONOMÍA, PRESUPUESTO, GESTIÓN PÚBLICA E INNOVACIÓN")</f>
        <v>ECONOMÍA, PRESUPUESTO, GESTIÓN PÚBLICA E INNOVACIÓN</v>
      </c>
      <c r="G231" s="20">
        <f ca="1">IFERROR(__xludf.DUMMYFUNCTION("""COMPUTED_VALUE"""),1)</f>
        <v>1</v>
      </c>
      <c r="H231" s="20">
        <f ca="1">IFERROR(__xludf.DUMMYFUNCTION("""COMPUTED_VALUE"""),3)</f>
        <v>3</v>
      </c>
      <c r="I231" s="20">
        <f ca="1">IFERROR(__xludf.DUMMYFUNCTION("""COMPUTED_VALUE"""),1)</f>
        <v>1</v>
      </c>
      <c r="J231" s="20" t="str">
        <f ca="1">IFERROR(__xludf.DUMMYFUNCTION("""COMPUTED_VALUE"""),"Ley")</f>
        <v>Ley</v>
      </c>
      <c r="K231" s="20">
        <f ca="1">IFERROR(__xludf.DUMMYFUNCTION("""COMPUTED_VALUE"""),31988)</f>
        <v>31988</v>
      </c>
      <c r="L231" s="20" t="str">
        <f ca="1">IFERROR(__xludf.DUMMYFUNCTION("""COMPUTED_VALUE"""),"Poder Ejecutivo Provincial")</f>
        <v>Poder Ejecutivo Provincial</v>
      </c>
      <c r="M231" s="20" t="str">
        <f ca="1">IFERROR(__xludf.DUMMYFUNCTION("""COMPUTED_VALUE"""),"Proyecto de Ley 31988/L/20, iniciado por el Poder Ejecutivo, aprobando el “Consenso Fiscal 2020”, suscripto entre el Estado Nacional y las Provincias, celebrado en esa ciudad el 4 de diciembre de 2020 y registrado en el Protocolo de Convenios y Tratados d"&amp;"e la Secretaría Legal y Técnica de Fiscalía de Estado con el Nº 19.")</f>
        <v>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v>
      </c>
      <c r="N231" s="20" t="str">
        <f ca="1">IFERROR(__xludf.DUMMYFUNCTION("""COMPUTED_VALUE"""),"SI")</f>
        <v>SI</v>
      </c>
      <c r="O231" s="20" t="str">
        <f ca="1">IFERROR(__xludf.DUMMYFUNCTION("""COMPUTED_VALUE"""),"NO")</f>
        <v>NO</v>
      </c>
      <c r="P231" s="20">
        <f ca="1">IFERROR(__xludf.DUMMYFUNCTION("""COMPUTED_VALUE"""),0)</f>
        <v>0</v>
      </c>
      <c r="Q231" s="113" t="str">
        <f ca="1">IFERROR(__xludf.DUMMYFUNCTION("""COMPUTED_VALUE"""),"https://gld.legislaturacba.gob.ar/_cdd/api/Documento/descargar?guid=0e4f32dc-d26e-4ff0-8f49-c292a6806881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v>
      </c>
      <c r="R231" s="113" t="str">
        <f ca="1">IFERROR(__xludf.DUMMYFUNCTION("""COMPUTED_VALUE"""),"https://www.youtube.com/watch?v=nzFCULzmXXE")</f>
        <v>https://www.youtube.com/watch?v=nzFCULzmXXE</v>
      </c>
      <c r="S231" s="113" t="str">
        <f ca="1">IFERROR(__xludf.DUMMYFUNCTION("""COMPUTED_VALUE"""),"https://gld.legislaturacba.gob.ar/Publics/Actas.aspx?id=3T-10Ie_BlA=")</f>
        <v>https://gld.legislaturacba.gob.ar/Publics/Actas.aspx?id=3T-10Ie_BlA=</v>
      </c>
      <c r="T231" s="99">
        <f t="shared" ca="1" si="0"/>
        <v>0</v>
      </c>
    </row>
    <row r="232" spans="1:20">
      <c r="A232" s="20">
        <f ca="1">IFERROR(__xludf.DUMMYFUNCTION("""COMPUTED_VALUE"""),231)</f>
        <v>231</v>
      </c>
      <c r="B232" s="20">
        <f ca="1">IFERROR(__xludf.DUMMYFUNCTION("""COMPUTED_VALUE"""),2020)</f>
        <v>2020</v>
      </c>
      <c r="C232" s="20" t="str">
        <f ca="1">IFERROR(__xludf.DUMMYFUNCTION("""COMPUTED_VALUE"""),"VIRTUAL")</f>
        <v>VIRTUAL</v>
      </c>
      <c r="D232" s="96">
        <f ca="1">IFERROR(__xludf.DUMMYFUNCTION("""COMPUTED_VALUE"""),44187)</f>
        <v>44187</v>
      </c>
      <c r="E232" s="20" t="str">
        <f ca="1">IFERROR(__xludf.DUMMYFUNCTION("""COMPUTED_VALUE"""),"SI")</f>
        <v>SI</v>
      </c>
      <c r="F232" s="20" t="str">
        <f ca="1">IFERROR(__xludf.DUMMYFUNCTION("""COMPUTED_VALUE"""),"ASUNTOS CONSTITUCIONALES, JUSTICIA Y ACUERDOS;LEGISLACIÓN GENERAL")</f>
        <v>ASUNTOS CONSTITUCIONALES, JUSTICIA Y ACUERDOS;LEGISLACIÓN GENERAL</v>
      </c>
      <c r="G232" s="20">
        <f ca="1">IFERROR(__xludf.DUMMYFUNCTION("""COMPUTED_VALUE"""),2)</f>
        <v>2</v>
      </c>
      <c r="H232" s="20">
        <f ca="1">IFERROR(__xludf.DUMMYFUNCTION("""COMPUTED_VALUE"""),2)</f>
        <v>2</v>
      </c>
      <c r="I232" s="20">
        <f ca="1">IFERROR(__xludf.DUMMYFUNCTION("""COMPUTED_VALUE"""),1)</f>
        <v>1</v>
      </c>
      <c r="J232" s="20" t="str">
        <f ca="1">IFERROR(__xludf.DUMMYFUNCTION("""COMPUTED_VALUE"""),"Ley")</f>
        <v>Ley</v>
      </c>
      <c r="K232" s="20">
        <f ca="1">IFERROR(__xludf.DUMMYFUNCTION("""COMPUTED_VALUE"""),31911)</f>
        <v>31911</v>
      </c>
      <c r="L232" s="20" t="str">
        <f ca="1">IFERROR(__xludf.DUMMYFUNCTION("""COMPUTED_VALUE"""),"Poder Ejecutivo Provincial")</f>
        <v>Poder Ejecutivo Provincial</v>
      </c>
      <c r="M232" s="20" t="str">
        <f ca="1">IFERROR(__xludf.DUMMYFUNCTION("""COMPUTED_VALUE"""),"Proyecto de Ley 31911/L/20, iniciado por el Poder Ejecutivo, modificando la Ley Nº 9235 -de Seguridad Pública de la Provincia de Córdoba-.")</f>
        <v>Proyecto de Ley 31911/L/20, iniciado por el Poder Ejecutivo, modificando la Ley Nº 9235 -de Seguridad Pública de la Provincia de Córdoba-.</v>
      </c>
      <c r="N232" s="20" t="str">
        <f ca="1">IFERROR(__xludf.DUMMYFUNCTION("""COMPUTED_VALUE"""),"SI")</f>
        <v>SI</v>
      </c>
      <c r="O232" s="20" t="str">
        <f ca="1">IFERROR(__xludf.DUMMYFUNCTION("""COMPUTED_VALUE"""),"NO")</f>
        <v>NO</v>
      </c>
      <c r="P232" s="20">
        <f ca="1">IFERROR(__xludf.DUMMYFUNCTION("""COMPUTED_VALUE"""),0)</f>
        <v>0</v>
      </c>
      <c r="Q232" s="113" t="str">
        <f ca="1">IFERROR(__xludf.DUMMYFUNCTION("""COMPUTED_VALUE"""),"https://gld.legislaturacba.gob.ar/_cdd/api/Documento/descargar?guid=31b4fa42-0bf2-4113-9405-c8e03be0e5a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v>
      </c>
      <c r="R232" s="113" t="str">
        <f ca="1">IFERROR(__xludf.DUMMYFUNCTION("""COMPUTED_VALUE"""),"https://www.youtube.com/watch?v=GJaKQmfr3LE")</f>
        <v>https://www.youtube.com/watch?v=GJaKQmfr3LE</v>
      </c>
      <c r="S232" s="113" t="str">
        <f ca="1">IFERROR(__xludf.DUMMYFUNCTION("""COMPUTED_VALUE"""),"https://gld.legislaturacba.gob.ar/Publics/Actas.aspx?id=M4SK_ts8Y8o=;https://gld.legislaturacba.gob.ar/Publics/Actas.aspx?id=SuScFNyv4lM=")</f>
        <v>https://gld.legislaturacba.gob.ar/Publics/Actas.aspx?id=M4SK_ts8Y8o=;https://gld.legislaturacba.gob.ar/Publics/Actas.aspx?id=SuScFNyv4lM=</v>
      </c>
      <c r="T232" s="99">
        <f t="shared" ca="1" si="0"/>
        <v>0</v>
      </c>
    </row>
    <row r="233" spans="1:20">
      <c r="A233" s="20">
        <f ca="1">IFERROR(__xludf.DUMMYFUNCTION("""COMPUTED_VALUE"""),232)</f>
        <v>232</v>
      </c>
      <c r="B233" s="20">
        <f ca="1">IFERROR(__xludf.DUMMYFUNCTION("""COMPUTED_VALUE"""),2020)</f>
        <v>2020</v>
      </c>
      <c r="C233" s="20" t="str">
        <f ca="1">IFERROR(__xludf.DUMMYFUNCTION("""COMPUTED_VALUE"""),"VIRTUAL")</f>
        <v>VIRTUAL</v>
      </c>
      <c r="D233" s="96">
        <f ca="1">IFERROR(__xludf.DUMMYFUNCTION("""COMPUTED_VALUE"""),44188)</f>
        <v>44188</v>
      </c>
      <c r="E233" s="20" t="str">
        <f ca="1">IFERROR(__xludf.DUMMYFUNCTION("""COMPUTED_VALUE"""),"SI")</f>
        <v>SI</v>
      </c>
      <c r="F233" s="20" t="str">
        <f ca="1">IFERROR(__xludf.DUMMYFUNCTION("""COMPUTED_VALUE"""),"EDUCACIÓN, CULTURA, CIENCIA, TECNOLOGÍA E INFORMÁTICA;LEGISLACIÓN GENERAL")</f>
        <v>EDUCACIÓN, CULTURA, CIENCIA, TECNOLOGÍA E INFORMÁTICA;LEGISLACIÓN GENERAL</v>
      </c>
      <c r="G233" s="20">
        <f ca="1">IFERROR(__xludf.DUMMYFUNCTION("""COMPUTED_VALUE"""),2)</f>
        <v>2</v>
      </c>
      <c r="H233" s="20">
        <f ca="1">IFERROR(__xludf.DUMMYFUNCTION("""COMPUTED_VALUE"""),1)</f>
        <v>1</v>
      </c>
      <c r="I233" s="20">
        <f ca="1">IFERROR(__xludf.DUMMYFUNCTION("""COMPUTED_VALUE"""),1)</f>
        <v>1</v>
      </c>
      <c r="J233" s="20" t="str">
        <f ca="1">IFERROR(__xludf.DUMMYFUNCTION("""COMPUTED_VALUE"""),"Ley")</f>
        <v>Ley</v>
      </c>
      <c r="K233" s="20">
        <f ca="1">IFERROR(__xludf.DUMMYFUNCTION("""COMPUTED_VALUE"""),31936)</f>
        <v>31936</v>
      </c>
      <c r="L233" s="20" t="str">
        <f ca="1">IFERROR(__xludf.DUMMYFUNCTION("""COMPUTED_VALUE"""),"Poder Ejecutivo Provincial")</f>
        <v>Poder Ejecutivo Provincial</v>
      </c>
      <c r="M233" s="20" t="str">
        <f ca="1">IFERROR(__xludf.DUMMYFUNCTION("""COMPUTED_VALUE"""),"Proyecto de Ley 31936/L/20, creando la “Agencia Conectividad Córdoba (ACC) Sociedad del Estado” con el objeto de promover la inclusión digital de todos los habitantes de la Provincia de Córdoba.")</f>
        <v>Proyecto de Ley 31936/L/20, creando la “Agencia Conectividad Córdoba (ACC) Sociedad del Estado” con el objeto de promover la inclusión digital de todos los habitantes de la Provincia de Córdoba.</v>
      </c>
      <c r="N233" s="20" t="str">
        <f ca="1">IFERROR(__xludf.DUMMYFUNCTION("""COMPUTED_VALUE"""),"NO")</f>
        <v>NO</v>
      </c>
      <c r="O233" s="20" t="str">
        <f ca="1">IFERROR(__xludf.DUMMYFUNCTION("""COMPUTED_VALUE"""),"NO")</f>
        <v>NO</v>
      </c>
      <c r="P233" s="20">
        <f ca="1">IFERROR(__xludf.DUMMYFUNCTION("""COMPUTED_VALUE"""),0)</f>
        <v>0</v>
      </c>
      <c r="Q233" s="113" t="str">
        <f ca="1">IFERROR(__xludf.DUMMYFUNCTION("""COMPUTED_VALUE"""),"https://gld.legislaturacba.gob.ar/_cdd/api/Documento/descargar?guid=e15401c2-5b7f-480f-ab16-58f3b8693a14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v>
      </c>
      <c r="R233" s="113" t="str">
        <f ca="1">IFERROR(__xludf.DUMMYFUNCTION("""COMPUTED_VALUE"""),"https://www.youtube.com/watch?v=dMJCr7zlwBc")</f>
        <v>https://www.youtube.com/watch?v=dMJCr7zlwBc</v>
      </c>
      <c r="S233" s="113" t="str">
        <f ca="1">IFERROR(__xludf.DUMMYFUNCTION("""COMPUTED_VALUE"""),"https://gld.legislaturacba.gob.ar/Publics/Actas.aspx?id=t3KkWjTiIdA=;https://gld.legislaturacba.gob.ar/Publics/Actas.aspx?id=aAo1ZyUaIfw=")</f>
        <v>https://gld.legislaturacba.gob.ar/Publics/Actas.aspx?id=t3KkWjTiIdA=;https://gld.legislaturacba.gob.ar/Publics/Actas.aspx?id=aAo1ZyUaIfw=</v>
      </c>
      <c r="T233" s="99">
        <f t="shared" ca="1" si="0"/>
        <v>0</v>
      </c>
    </row>
    <row r="234" spans="1:20">
      <c r="A234" s="20">
        <f ca="1">IFERROR(__xludf.DUMMYFUNCTION("""COMPUTED_VALUE"""),233)</f>
        <v>233</v>
      </c>
      <c r="B234" s="20">
        <f ca="1">IFERROR(__xludf.DUMMYFUNCTION("""COMPUTED_VALUE"""),2020)</f>
        <v>2020</v>
      </c>
      <c r="C234" s="20" t="str">
        <f ca="1">IFERROR(__xludf.DUMMYFUNCTION("""COMPUTED_VALUE"""),"VIRTUAL")</f>
        <v>VIRTUAL</v>
      </c>
      <c r="D234" s="96">
        <f ca="1">IFERROR(__xludf.DUMMYFUNCTION("""COMPUTED_VALUE"""),44194)</f>
        <v>44194</v>
      </c>
      <c r="E234" s="20" t="str">
        <f ca="1">IFERROR(__xludf.DUMMYFUNCTION("""COMPUTED_VALUE"""),"SI")</f>
        <v>SI</v>
      </c>
      <c r="F234" s="20" t="str">
        <f ca="1">IFERROR(__xludf.DUMMYFUNCTION("""COMPUTED_VALUE"""),"SERVICIOS PÚBLICOS;ASUNTOS INSTITUCIONALES, MUNICIPALES Y COMUNALES")</f>
        <v>SERVICIOS PÚBLICOS;ASUNTOS INSTITUCIONALES, MUNICIPALES Y COMUNALES</v>
      </c>
      <c r="G234" s="20">
        <f ca="1">IFERROR(__xludf.DUMMYFUNCTION("""COMPUTED_VALUE"""),2)</f>
        <v>2</v>
      </c>
      <c r="H234" s="20">
        <f ca="1">IFERROR(__xludf.DUMMYFUNCTION("""COMPUTED_VALUE"""),1)</f>
        <v>1</v>
      </c>
      <c r="I234" s="20">
        <f ca="1">IFERROR(__xludf.DUMMYFUNCTION("""COMPUTED_VALUE"""),1)</f>
        <v>1</v>
      </c>
      <c r="J234" s="20" t="str">
        <f ca="1">IFERROR(__xludf.DUMMYFUNCTION("""COMPUTED_VALUE"""),"Ley")</f>
        <v>Ley</v>
      </c>
      <c r="K234" s="20">
        <f ca="1">IFERROR(__xludf.DUMMYFUNCTION("""COMPUTED_VALUE"""),31411)</f>
        <v>31411</v>
      </c>
      <c r="L234" s="20" t="str">
        <f ca="1">IFERROR(__xludf.DUMMYFUNCTION("""COMPUTED_VALUE"""),"Poder Legislativo Provincial")</f>
        <v>Poder Legislativo Provincial</v>
      </c>
      <c r="M234" s="20" t="str">
        <f ca="1">IFERROR(__xludf.DUMMYFUNCTION("""COMPUTED_VALUE"""),"Proyecto de Ley 31411/L/20, iniciado por los legisladores González e Iturria, modificando el artículo 1º de la Ley Nº 10.545, sobre las facturaciones que emitan los entes distribuidores o quienes fueran responsables de la facturación del cobro de prestaci"&amp;"ones de servicios públicos domiciliarios de energía eléctrica, agua y saneamiento.")</f>
        <v>Proyecto de Ley 31411/L/20, iniciado por los legisladores González e Iturria, modificando el artículo 1º de la Ley Nº 10.545, sobre las facturaciones que emitan los entes distribuidores o quienes fueran responsables de la facturación del cobro de prestaciones de servicios públicos domiciliarios de energía eléctrica, agua y saneamiento.</v>
      </c>
      <c r="N234" s="20" t="str">
        <f ca="1">IFERROR(__xludf.DUMMYFUNCTION("""COMPUTED_VALUE"""),"SI")</f>
        <v>SI</v>
      </c>
      <c r="O234" s="20" t="str">
        <f ca="1">IFERROR(__xludf.DUMMYFUNCTION("""COMPUTED_VALUE"""),"NO")</f>
        <v>NO</v>
      </c>
      <c r="P234" s="20">
        <f ca="1">IFERROR(__xludf.DUMMYFUNCTION("""COMPUTED_VALUE"""),0)</f>
        <v>0</v>
      </c>
      <c r="Q234" s="113" t="str">
        <f ca="1">IFERROR(__xludf.DUMMYFUNCTION("""COMPUTED_VALUE"""),"https://gld.legislaturacba.gob.ar/_cdd/api/Documento/descargar?guid=29680669-d254-47d7-a881-89238ed2c7e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v>
      </c>
      <c r="R234" s="113" t="str">
        <f ca="1">IFERROR(__xludf.DUMMYFUNCTION("""COMPUTED_VALUE"""),"https://www.youtube.com/watch?v=VlvuZlmJYYU")</f>
        <v>https://www.youtube.com/watch?v=VlvuZlmJYYU</v>
      </c>
      <c r="S234" s="113" t="str">
        <f ca="1">IFERROR(__xludf.DUMMYFUNCTION("""COMPUTED_VALUE"""),"https://gld.legislaturacba.gob.ar/Publics/Actas.aspx?id=R0m259BRlC8=;https://gld.legislaturacba.gob.ar/Publics/Actas.aspx?id=jBMZ0DQvBig=")</f>
        <v>https://gld.legislaturacba.gob.ar/Publics/Actas.aspx?id=R0m259BRlC8=;https://gld.legislaturacba.gob.ar/Publics/Actas.aspx?id=jBMZ0DQvBig=</v>
      </c>
      <c r="T234" s="99">
        <f t="shared" ca="1" si="0"/>
        <v>0</v>
      </c>
    </row>
    <row r="235" spans="1:20">
      <c r="A235" s="20">
        <f ca="1">IFERROR(__xludf.DUMMYFUNCTION("""COMPUTED_VALUE"""),234)</f>
        <v>234</v>
      </c>
      <c r="B235" s="20">
        <f ca="1">IFERROR(__xludf.DUMMYFUNCTION("""COMPUTED_VALUE"""),2020)</f>
        <v>2020</v>
      </c>
      <c r="C235" s="20" t="str">
        <f ca="1">IFERROR(__xludf.DUMMYFUNCTION("""COMPUTED_VALUE"""),"VIRTUAL")</f>
        <v>VIRTUAL</v>
      </c>
      <c r="D235" s="96">
        <f ca="1">IFERROR(__xludf.DUMMYFUNCTION("""COMPUTED_VALUE"""),44194)</f>
        <v>44194</v>
      </c>
      <c r="E235" s="20" t="str">
        <f ca="1">IFERROR(__xludf.DUMMYFUNCTION("""COMPUTED_VALUE"""),"SI")</f>
        <v>SI</v>
      </c>
      <c r="F235" s="20" t="str">
        <f ca="1">IFERROR(__xludf.DUMMYFUNCTION("""COMPUTED_VALUE"""),"EDUCACIÓN, CULTURA, CIENCIA, TECNOLOGÍA E INFORMÁTICA;LEGISLACIÓN GENERAL")</f>
        <v>EDUCACIÓN, CULTURA, CIENCIA, TECNOLOGÍA E INFORMÁTICA;LEGISLACIÓN GENERAL</v>
      </c>
      <c r="G235" s="20">
        <f ca="1">IFERROR(__xludf.DUMMYFUNCTION("""COMPUTED_VALUE"""),2)</f>
        <v>2</v>
      </c>
      <c r="H235" s="20">
        <f ca="1">IFERROR(__xludf.DUMMYFUNCTION("""COMPUTED_VALUE"""),1)</f>
        <v>1</v>
      </c>
      <c r="I235" s="20">
        <f ca="1">IFERROR(__xludf.DUMMYFUNCTION("""COMPUTED_VALUE"""),1)</f>
        <v>1</v>
      </c>
      <c r="J235" s="20" t="str">
        <f ca="1">IFERROR(__xludf.DUMMYFUNCTION("""COMPUTED_VALUE"""),"Ley")</f>
        <v>Ley</v>
      </c>
      <c r="K235" s="20">
        <f ca="1">IFERROR(__xludf.DUMMYFUNCTION("""COMPUTED_VALUE"""),31936)</f>
        <v>31936</v>
      </c>
      <c r="L235" s="20" t="str">
        <f ca="1">IFERROR(__xludf.DUMMYFUNCTION("""COMPUTED_VALUE"""),"Poder Ejecutivo Provincial")</f>
        <v>Poder Ejecutivo Provincial</v>
      </c>
      <c r="M235" s="20" t="str">
        <f ca="1">IFERROR(__xludf.DUMMYFUNCTION("""COMPUTED_VALUE"""),"Proyecto de Ley 31936/L/20, creando la “Agencia Conectividad Córdoba (ACC) Sociedad del Estado” con el objeto de promover la inclusión digital de todos los habitantes de la Provincia de Córdoba.")</f>
        <v>Proyecto de Ley 31936/L/20, creando la “Agencia Conectividad Córdoba (ACC) Sociedad del Estado” con el objeto de promover la inclusión digital de todos los habitantes de la Provincia de Córdoba.</v>
      </c>
      <c r="N235" s="20" t="str">
        <f ca="1">IFERROR(__xludf.DUMMYFUNCTION("""COMPUTED_VALUE"""),"SI")</f>
        <v>SI</v>
      </c>
      <c r="O235" s="20" t="str">
        <f ca="1">IFERROR(__xludf.DUMMYFUNCTION("""COMPUTED_VALUE"""),"NO")</f>
        <v>NO</v>
      </c>
      <c r="P235" s="20">
        <f ca="1">IFERROR(__xludf.DUMMYFUNCTION("""COMPUTED_VALUE"""),0)</f>
        <v>0</v>
      </c>
      <c r="Q235" s="113" t="str">
        <f ca="1">IFERROR(__xludf.DUMMYFUNCTION("""COMPUTED_VALUE"""),"https://gld.legislaturacba.gob.ar/_cdd/api/Documento/descargar?guid=fbdf8216-54ec-41aa-93da-d305ea3e3754&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v>
      </c>
      <c r="R235" s="113" t="str">
        <f ca="1">IFERROR(__xludf.DUMMYFUNCTION("""COMPUTED_VALUE"""),"https://www.youtube.com/watch?v=eJrqogUe7Us")</f>
        <v>https://www.youtube.com/watch?v=eJrqogUe7Us</v>
      </c>
      <c r="S235" s="113" t="str">
        <f ca="1">IFERROR(__xludf.DUMMYFUNCTION("""COMPUTED_VALUE"""),"https://gld.legislaturacba.gob.ar/Publics/Actas.aspx?id=paSF89WS83w=;https://gld.legislaturacba.gob.ar/Publics/Actas.aspx?id=cQdkeIwh2TA=")</f>
        <v>https://gld.legislaturacba.gob.ar/Publics/Actas.aspx?id=paSF89WS83w=;https://gld.legislaturacba.gob.ar/Publics/Actas.aspx?id=cQdkeIwh2TA=</v>
      </c>
      <c r="T235" s="99">
        <f t="shared" ca="1" si="0"/>
        <v>0</v>
      </c>
    </row>
    <row r="236" spans="1:20">
      <c r="A236" s="20">
        <f ca="1">IFERROR(__xludf.DUMMYFUNCTION("""COMPUTED_VALUE"""),235)</f>
        <v>235</v>
      </c>
      <c r="B236" s="20">
        <f ca="1">IFERROR(__xludf.DUMMYFUNCTION("""COMPUTED_VALUE"""),2020)</f>
        <v>2020</v>
      </c>
      <c r="C236" s="20" t="str">
        <f ca="1">IFERROR(__xludf.DUMMYFUNCTION("""COMPUTED_VALUE"""),"VIRTUAL")</f>
        <v>VIRTUAL</v>
      </c>
      <c r="D236" s="96">
        <f ca="1">IFERROR(__xludf.DUMMYFUNCTION("""COMPUTED_VALUE"""),44194)</f>
        <v>44194</v>
      </c>
      <c r="E236" s="20" t="str">
        <f ca="1">IFERROR(__xludf.DUMMYFUNCTION("""COMPUTED_VALUE"""),"NO")</f>
        <v>NO</v>
      </c>
      <c r="F236" s="20" t="str">
        <f ca="1">IFERROR(__xludf.DUMMYFUNCTION("""COMPUTED_VALUE"""),"DEPORTES Y RECREACIÓN")</f>
        <v>DEPORTES Y RECREACIÓN</v>
      </c>
      <c r="G236" s="20">
        <f ca="1">IFERROR(__xludf.DUMMYFUNCTION("""COMPUTED_VALUE"""),1)</f>
        <v>1</v>
      </c>
      <c r="H236" s="20">
        <f ca="1">IFERROR(__xludf.DUMMYFUNCTION("""COMPUTED_VALUE"""),2)</f>
        <v>2</v>
      </c>
      <c r="I236" s="20">
        <f ca="1">IFERROR(__xludf.DUMMYFUNCTION("""COMPUTED_VALUE"""),1)</f>
        <v>1</v>
      </c>
      <c r="J236" s="20" t="str">
        <f ca="1">IFERROR(__xludf.DUMMYFUNCTION("""COMPUTED_VALUE"""),"Ley")</f>
        <v>Ley</v>
      </c>
      <c r="K236" s="20">
        <f ca="1">IFERROR(__xludf.DUMMYFUNCTION("""COMPUTED_VALUE"""),31707)</f>
        <v>31707</v>
      </c>
      <c r="L236" s="20" t="str">
        <f ca="1">IFERROR(__xludf.DUMMYFUNCTION("""COMPUTED_VALUE"""),"Poder Legislativo Provincial")</f>
        <v>Poder Legislativo Provincial</v>
      </c>
      <c r="M236" s="20" t="str">
        <f ca="1">IFERROR(__xludf.DUMMYFUNCTION("""COMPUTED_VALUE"""),"Proyecto de Ley 31707/L/20, iniciado por los Legisladores Hak, Fernández y Zorrilla, declarando de interés social los bienes inmuebles y/o muebles destinados a actividades deportivas, sociales, recreativas y/o culturales, propiedad de asociaciones civiles"&amp;" sin fines de lucro, con el fin de garantizar el funcionamiento básico de estas entidades y asegurar la conservación de su patrimonio físico y su infraestructura deportiva.")</f>
        <v>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36" s="20" t="str">
        <f ca="1">IFERROR(__xludf.DUMMYFUNCTION("""COMPUTED_VALUE"""),"SI")</f>
        <v>SI</v>
      </c>
      <c r="O236" s="20" t="str">
        <f ca="1">IFERROR(__xludf.DUMMYFUNCTION("""COMPUTED_VALUE"""),"NO")</f>
        <v>NO</v>
      </c>
      <c r="P236" s="20">
        <f ca="1">IFERROR(__xludf.DUMMYFUNCTION("""COMPUTED_VALUE"""),0)</f>
        <v>0</v>
      </c>
      <c r="Q236" s="113" t="str">
        <f ca="1">IFERROR(__xludf.DUMMYFUNCTION("""COMPUTED_VALUE"""),"https://gld.legislaturacba.gob.ar/_cdd/api/Documento/descargar?guid=9443eff6-e4f7-4583-b38c-9a85534925e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v>
      </c>
      <c r="R236" s="20" t="str">
        <f ca="1">IFERROR(__xludf.DUMMYFUNCTION("""COMPUTED_VALUE"""),"NA")</f>
        <v>NA</v>
      </c>
      <c r="S236" s="113" t="str">
        <f ca="1">IFERROR(__xludf.DUMMYFUNCTION("""COMPUTED_VALUE"""),"https://gld.legislaturacba.gob.ar/Publics/Actas.aspx?id=OFQxzPyBYGE=")</f>
        <v>https://gld.legislaturacba.gob.ar/Publics/Actas.aspx?id=OFQxzPyBYGE=</v>
      </c>
      <c r="T236" s="99">
        <f t="shared" ca="1" si="0"/>
        <v>0</v>
      </c>
    </row>
    <row r="237" spans="1:20">
      <c r="A237" s="20">
        <f ca="1">IFERROR(__xludf.DUMMYFUNCTION("""COMPUTED_VALUE"""),236)</f>
        <v>236</v>
      </c>
      <c r="B237" s="20">
        <f ca="1">IFERROR(__xludf.DUMMYFUNCTION("""COMPUTED_VALUE"""),2020)</f>
        <v>2020</v>
      </c>
      <c r="C237" s="20" t="str">
        <f ca="1">IFERROR(__xludf.DUMMYFUNCTION("""COMPUTED_VALUE"""),"VIRTUAL")</f>
        <v>VIRTUAL</v>
      </c>
      <c r="D237" s="96">
        <f ca="1">IFERROR(__xludf.DUMMYFUNCTION("""COMPUTED_VALUE"""),44194)</f>
        <v>44194</v>
      </c>
      <c r="E237" s="20" t="str">
        <f ca="1">IFERROR(__xludf.DUMMYFUNCTION("""COMPUTED_VALUE"""),"SI")</f>
        <v>SI</v>
      </c>
      <c r="F237" s="20" t="str">
        <f ca="1">IFERROR(__xludf.DUMMYFUNCTION("""COMPUTED_VALUE"""),"OBRAS PÚBLICAS, VIVIENDA Y COMUNICACIONES;DERECHOS HUMANOS Y DESARROLLO SOCIAL;ECONOMÍA SOCIAL, COOPERATIVAS Y MUTUALES;LEGISLACIÓN GENERAL")</f>
        <v>OBRAS PÚBLICAS, VIVIENDA Y COMUNICACIONES;DERECHOS HUMANOS Y DESARROLLO SOCIAL;ECONOMÍA SOCIAL, COOPERATIVAS Y MUTUALES;LEGISLACIÓN GENERAL</v>
      </c>
      <c r="G237" s="20">
        <f ca="1">IFERROR(__xludf.DUMMYFUNCTION("""COMPUTED_VALUE"""),4)</f>
        <v>4</v>
      </c>
      <c r="H237" s="20">
        <f ca="1">IFERROR(__xludf.DUMMYFUNCTION("""COMPUTED_VALUE"""),1)</f>
        <v>1</v>
      </c>
      <c r="I237" s="20">
        <f ca="1">IFERROR(__xludf.DUMMYFUNCTION("""COMPUTED_VALUE"""),1)</f>
        <v>1</v>
      </c>
      <c r="J237" s="20" t="str">
        <f ca="1">IFERROR(__xludf.DUMMYFUNCTION("""COMPUTED_VALUE"""),"Ley")</f>
        <v>Ley</v>
      </c>
      <c r="K237" s="20">
        <f ca="1">IFERROR(__xludf.DUMMYFUNCTION("""COMPUTED_VALUE"""),31904)</f>
        <v>31904</v>
      </c>
      <c r="L237" s="20" t="str">
        <f ca="1">IFERROR(__xludf.DUMMYFUNCTION("""COMPUTED_VALUE"""),"Poder Ejecutivo Provincial")</f>
        <v>Poder Ejecutivo Provincial</v>
      </c>
      <c r="M237" s="20" t="str">
        <f ca="1">IFERROR(__xludf.DUMMYFUNCTION("""COMPUTED_VALUE"""),"Proyecto de Ley 31904/L/20, creando el “Programa de Urbanización y Regularización Dominial de Barrios Populares”, con el objetivo de lograr la integración socio-urbana, progresiva e integral, de las familias que habitan en los barrios populares anteriores"&amp;" al 27 de septiembre de 2017.")</f>
        <v>Proyecto de Ley 31904/L/20, creando el “Programa de Urbanización y Regularización Dominial de Barrios Populares”, con el objetivo de lograr la integración socio-urbana, progresiva e integral, de las familias que habitan en los barrios populares anteriores al 27 de septiembre de 2017.</v>
      </c>
      <c r="N237" s="20" t="str">
        <f ca="1">IFERROR(__xludf.DUMMYFUNCTION("""COMPUTED_VALUE"""),"SI")</f>
        <v>SI</v>
      </c>
      <c r="O237" s="20" t="str">
        <f ca="1">IFERROR(__xludf.DUMMYFUNCTION("""COMPUTED_VALUE"""),"NO")</f>
        <v>NO</v>
      </c>
      <c r="P237" s="20">
        <f ca="1">IFERROR(__xludf.DUMMYFUNCTION("""COMPUTED_VALUE"""),0)</f>
        <v>0</v>
      </c>
      <c r="Q237" s="113" t="str">
        <f ca="1">IFERROR(__xludf.DUMMYFUNCTION("""COMPUTED_VALUE"""),"https://gld.legislaturacba.gob.ar/_cdd/api/Documento/descargar?guid=1cc9131a-ecb0-4fb6-8d4f-9d1998d08f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v>
      </c>
      <c r="R237" s="20" t="str">
        <f ca="1">IFERROR(__xludf.DUMMYFUNCTION("""COMPUTED_VALUE"""),"NA")</f>
        <v>NA</v>
      </c>
      <c r="S237" s="113" t="str">
        <f ca="1">IFERROR(__xludf.DUMMYFUNCTION("""COMPUTED_VALUE"""),"https://gld.legislaturacba.gob.ar/Publics/Actas.aspx?id=repazwgpxkw=;https://gld.legislaturacba.gob.ar/Publics/Actas.aspx?id=g-hbzvZnFXc=;https://gld.legislaturacba.gob.ar/Publics/Actas.aspx?id=bAJp-jDC1Ds=;https://gld.legislaturacba.gob.ar/Publics/Actas."&amp;"aspx?id=HFd-6mXDVUo=")</f>
        <v>https://gld.legislaturacba.gob.ar/Publics/Actas.aspx?id=repazwgpxkw=;https://gld.legislaturacba.gob.ar/Publics/Actas.aspx?id=g-hbzvZnFXc=;https://gld.legislaturacba.gob.ar/Publics/Actas.aspx?id=bAJp-jDC1Ds=;https://gld.legislaturacba.gob.ar/Publics/Actas.aspx?id=HFd-6mXDVUo=</v>
      </c>
      <c r="T237" s="99">
        <f t="shared" ca="1" si="0"/>
        <v>0</v>
      </c>
    </row>
    <row r="238" spans="1:20">
      <c r="A238" s="20">
        <f ca="1">IFERROR(__xludf.DUMMYFUNCTION("""COMPUTED_VALUE"""),237)</f>
        <v>237</v>
      </c>
      <c r="B238" s="20">
        <f ca="1">IFERROR(__xludf.DUMMYFUNCTION("""COMPUTED_VALUE"""),2020)</f>
        <v>2020</v>
      </c>
      <c r="C238" s="20" t="str">
        <f ca="1">IFERROR(__xludf.DUMMYFUNCTION("""COMPUTED_VALUE"""),"VIRTUAL")</f>
        <v>VIRTUAL</v>
      </c>
      <c r="D238" s="96">
        <f ca="1">IFERROR(__xludf.DUMMYFUNCTION("""COMPUTED_VALUE"""),44195)</f>
        <v>44195</v>
      </c>
      <c r="E238" s="20" t="str">
        <f ca="1">IFERROR(__xludf.DUMMYFUNCTION("""COMPUTED_VALUE"""),"SI")</f>
        <v>SI</v>
      </c>
      <c r="F238" s="20" t="str">
        <f ca="1">IFERROR(__xludf.DUMMYFUNCTION("""COMPUTED_VALUE"""),"ECONOMÍA, PRESUPUESTO, GESTIÓN PÚBLICA E INNOVACIÓN;LEGISLACIÓN GENERAL")</f>
        <v>ECONOMÍA, PRESUPUESTO, GESTIÓN PÚBLICA E INNOVACIÓN;LEGISLACIÓN GENERAL</v>
      </c>
      <c r="G238" s="20">
        <f ca="1">IFERROR(__xludf.DUMMYFUNCTION("""COMPUTED_VALUE"""),2)</f>
        <v>2</v>
      </c>
      <c r="H238" s="20">
        <f ca="1">IFERROR(__xludf.DUMMYFUNCTION("""COMPUTED_VALUE"""),2)</f>
        <v>2</v>
      </c>
      <c r="I238" s="20">
        <f ca="1">IFERROR(__xludf.DUMMYFUNCTION("""COMPUTED_VALUE"""),1)</f>
        <v>1</v>
      </c>
      <c r="J238" s="20" t="str">
        <f ca="1">IFERROR(__xludf.DUMMYFUNCTION("""COMPUTED_VALUE"""),"Ley")</f>
        <v>Ley</v>
      </c>
      <c r="K238" s="20">
        <f ca="1">IFERROR(__xludf.DUMMYFUNCTION("""COMPUTED_VALUE"""),32034)</f>
        <v>32034</v>
      </c>
      <c r="L238" s="20" t="str">
        <f ca="1">IFERROR(__xludf.DUMMYFUNCTION("""COMPUTED_VALUE"""),"Poder Ejecutivo Provincial")</f>
        <v>Poder Ejecutivo Provincial</v>
      </c>
      <c r="M238" s="20" t="str">
        <f ca="1">IFERROR(__xludf.DUMMYFUNCTION("""COMPUTED_VALUE"""),"Proyecto de Ley 32034/L/20, iniciado por el Poder Ejecutivo, aprobando el Convenio Bilateral de Financiamiento suscripto entre la Administración Nacional de Seguridad Social (ANSeS) y la Provincia de Córdoba, celebrado el 28 de diciembre de 2020 y registr"&amp;"ado en dicha entidad nacional bajo el número CONVE-2020-90607419-ANSES-ANSES.")</f>
        <v>Proyecto de Ley 32034/L/20, iniciado por el Poder Ejecutivo, aprobando el Convenio Bilateral de Financiamiento suscripto entre la Administración Nacional de Seguridad Social (ANSeS) y la Provincia de Córdoba, celebrado el 28 de diciembre de 2020 y registrado en dicha entidad nacional bajo el número CONVE-2020-90607419-ANSES-ANSES.</v>
      </c>
      <c r="N238" s="20" t="str">
        <f ca="1">IFERROR(__xludf.DUMMYFUNCTION("""COMPUTED_VALUE"""),"NO")</f>
        <v>NO</v>
      </c>
      <c r="O238" s="20" t="str">
        <f ca="1">IFERROR(__xludf.DUMMYFUNCTION("""COMPUTED_VALUE"""),"NO")</f>
        <v>NO</v>
      </c>
      <c r="P238" s="20">
        <f ca="1">IFERROR(__xludf.DUMMYFUNCTION("""COMPUTED_VALUE"""),0)</f>
        <v>0</v>
      </c>
      <c r="Q238" s="113" t="str">
        <f ca="1">IFERROR(__xludf.DUMMYFUNCTION("""COMPUTED_VALUE"""),"https://gld.legislaturacba.gob.ar/_cdd/api/Documento/descargar?guid=c932d8bf-db96-4425-98c7-79765fd6894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v>
      </c>
      <c r="R238" s="113" t="str">
        <f ca="1">IFERROR(__xludf.DUMMYFUNCTION("""COMPUTED_VALUE"""),"https://www.youtube.com/watch?v=81ut3IZNHmc")</f>
        <v>https://www.youtube.com/watch?v=81ut3IZNHmc</v>
      </c>
      <c r="S238" s="113" t="str">
        <f ca="1">IFERROR(__xludf.DUMMYFUNCTION("""COMPUTED_VALUE"""),"https://gld.legislaturacba.gob.ar/Publics/Actas.aspx?id=2FcDyv_1594=;https://gld.legislaturacba.gob.ar/Publics/Actas.aspx?id=l0gF7Wqayvk=")</f>
        <v>https://gld.legislaturacba.gob.ar/Publics/Actas.aspx?id=2FcDyv_1594=;https://gld.legislaturacba.gob.ar/Publics/Actas.aspx?id=l0gF7Wqayvk=</v>
      </c>
      <c r="T238" s="99">
        <f t="shared" ca="1" si="0"/>
        <v>0</v>
      </c>
    </row>
    <row r="239" spans="1:20">
      <c r="A239" s="20">
        <f ca="1">IFERROR(__xludf.DUMMYFUNCTION("""COMPUTED_VALUE"""),1)</f>
        <v>1</v>
      </c>
      <c r="B239" s="20">
        <f ca="1">IFERROR(__xludf.DUMMYFUNCTION("""COMPUTED_VALUE"""),2021)</f>
        <v>2021</v>
      </c>
      <c r="C239" s="20" t="str">
        <f ca="1">IFERROR(__xludf.DUMMYFUNCTION("""COMPUTED_VALUE"""),"VIRTUAL")</f>
        <v>VIRTUAL</v>
      </c>
      <c r="D239" s="96">
        <f ca="1">IFERROR(__xludf.DUMMYFUNCTION("""COMPUTED_VALUE"""),44231)</f>
        <v>44231</v>
      </c>
      <c r="E239" s="20" t="str">
        <f ca="1">IFERROR(__xludf.DUMMYFUNCTION("""COMPUTED_VALUE"""),"NO")</f>
        <v>NO</v>
      </c>
      <c r="F239" s="20" t="str">
        <f ca="1">IFERROR(__xludf.DUMMYFUNCTION("""COMPUTED_VALUE"""),"LEGISLACIÓN GENERAL")</f>
        <v>LEGISLACIÓN GENERAL</v>
      </c>
      <c r="G239" s="20">
        <f ca="1">IFERROR(__xludf.DUMMYFUNCTION("""COMPUTED_VALUE"""),1)</f>
        <v>1</v>
      </c>
      <c r="H239" s="20">
        <f ca="1">IFERROR(__xludf.DUMMYFUNCTION("""COMPUTED_VALUE"""),2)</f>
        <v>2</v>
      </c>
      <c r="I239" s="20">
        <f ca="1">IFERROR(__xludf.DUMMYFUNCTION("""COMPUTED_VALUE"""),1)</f>
        <v>1</v>
      </c>
      <c r="J239" s="20" t="str">
        <f ca="1">IFERROR(__xludf.DUMMYFUNCTION("""COMPUTED_VALUE"""),"Ley")</f>
        <v>Ley</v>
      </c>
      <c r="K239" s="20">
        <f ca="1">IFERROR(__xludf.DUMMYFUNCTION("""COMPUTED_VALUE"""),31707)</f>
        <v>31707</v>
      </c>
      <c r="L239" s="20" t="str">
        <f ca="1">IFERROR(__xludf.DUMMYFUNCTION("""COMPUTED_VALUE"""),"Poder Legislativo Provincial")</f>
        <v>Poder Legislativo Provincial</v>
      </c>
      <c r="M239" s="20" t="str">
        <f ca="1">IFERROR(__xludf.DUMMYFUNCTION("""COMPUTED_VALUE"""),"Declarando de interés social los bienes inmuebles y/o muebles destinados a actividades deportivas, sociales, recreativas y/o culturales, propiedad de asociaciones civiles sin fines de lucro, con el fin de garantizar el funcionamiento básico de estas entid"&amp;"ades y asegurar la conservación de su patrimonio físico y su infraestructura deportiva")</f>
        <v>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39" s="20" t="str">
        <f ca="1">IFERROR(__xludf.DUMMYFUNCTION("""COMPUTED_VALUE"""),"NO")</f>
        <v>NO</v>
      </c>
      <c r="O239" s="20" t="str">
        <f ca="1">IFERROR(__xludf.DUMMYFUNCTION("""COMPUTED_VALUE"""),"NO")</f>
        <v>NO</v>
      </c>
      <c r="P239" s="20">
        <f ca="1">IFERROR(__xludf.DUMMYFUNCTION("""COMPUTED_VALUE"""),0)</f>
        <v>0</v>
      </c>
      <c r="Q239" s="20" t="str">
        <f ca="1">IFERROR(__xludf.DUMMYFUNCTION("""COMPUTED_VALUE"""),"NA")</f>
        <v>NA</v>
      </c>
      <c r="R239" s="113" t="str">
        <f ca="1">IFERROR(__xludf.DUMMYFUNCTION("""COMPUTED_VALUE"""),"https://www.youtube.com/watch?v=CESEC-eZuKM")</f>
        <v>https://www.youtube.com/watch?v=CESEC-eZuKM</v>
      </c>
      <c r="S239" s="113" t="str">
        <f ca="1">IFERROR(__xludf.DUMMYFUNCTION("""COMPUTED_VALUE"""),"https://gld.legislaturacba.gob.ar/Publics/Actas.aspx?id=8yT951U-4Po=")</f>
        <v>https://gld.legislaturacba.gob.ar/Publics/Actas.aspx?id=8yT951U-4Po=</v>
      </c>
      <c r="T239" s="99">
        <f t="shared" ca="1" si="0"/>
        <v>0</v>
      </c>
    </row>
    <row r="240" spans="1:20">
      <c r="A240" s="20">
        <f ca="1">IFERROR(__xludf.DUMMYFUNCTION("""COMPUTED_VALUE"""),2)</f>
        <v>2</v>
      </c>
      <c r="B240" s="20">
        <f ca="1">IFERROR(__xludf.DUMMYFUNCTION("""COMPUTED_VALUE"""),2021)</f>
        <v>2021</v>
      </c>
      <c r="C240" s="20" t="str">
        <f ca="1">IFERROR(__xludf.DUMMYFUNCTION("""COMPUTED_VALUE"""),"VIRTUAL")</f>
        <v>VIRTUAL</v>
      </c>
      <c r="D240" s="96">
        <f ca="1">IFERROR(__xludf.DUMMYFUNCTION("""COMPUTED_VALUE"""),44231)</f>
        <v>44231</v>
      </c>
      <c r="E240" s="20" t="str">
        <f ca="1">IFERROR(__xludf.DUMMYFUNCTION("""COMPUTED_VALUE"""),"NO")</f>
        <v>NO</v>
      </c>
      <c r="F240" s="20" t="str">
        <f ca="1">IFERROR(__xludf.DUMMYFUNCTION("""COMPUTED_VALUE"""),"ASUNTOS INSTITUCIONALES, MUNICIPALES Y COMUNALES")</f>
        <v>ASUNTOS INSTITUCIONALES, MUNICIPALES Y COMUNALES</v>
      </c>
      <c r="G240" s="20">
        <f ca="1">IFERROR(__xludf.DUMMYFUNCTION("""COMPUTED_VALUE"""),1)</f>
        <v>1</v>
      </c>
      <c r="H240" s="20">
        <f ca="1">IFERROR(__xludf.DUMMYFUNCTION("""COMPUTED_VALUE"""),1)</f>
        <v>1</v>
      </c>
      <c r="I240" s="20">
        <f ca="1">IFERROR(__xludf.DUMMYFUNCTION("""COMPUTED_VALUE"""),1)</f>
        <v>1</v>
      </c>
      <c r="J240" s="20" t="str">
        <f ca="1">IFERROR(__xludf.DUMMYFUNCTION("""COMPUTED_VALUE"""),"Ley")</f>
        <v>Ley</v>
      </c>
      <c r="K240" s="20">
        <f ca="1">IFERROR(__xludf.DUMMYFUNCTION("""COMPUTED_VALUE"""),31976)</f>
        <v>31976</v>
      </c>
      <c r="L240" s="20" t="str">
        <f ca="1">IFERROR(__xludf.DUMMYFUNCTION("""COMPUTED_VALUE"""),"Poder Ejecutivo Provincial")</f>
        <v>Poder Ejecutivo Provincial</v>
      </c>
      <c r="M240" s="20" t="str">
        <f ca="1">IFERROR(__xludf.DUMMYFUNCTION("""COMPUTED_VALUE"""),"Modificando el radio municipal de la localidad de Saturnino María Laspiur, ubicada en el departamento San Justo de la provincia de Córdoba, de conformidad a lo establecido por el artículo 4° de la Ley n° 8102, según el plano confeccionado por la municipal"&amp;"idad")</f>
        <v>Modificando el radio municipal de la localidad de Saturnino María Laspiur, ubicada en el departamento San Justo de la provincia de Córdoba, de conformidad a lo establecido por el artículo 4° de la Ley n° 8102, según el plano confeccionado por la municipalidad</v>
      </c>
      <c r="N240" s="20" t="str">
        <f ca="1">IFERROR(__xludf.DUMMYFUNCTION("""COMPUTED_VALUE"""),"SI")</f>
        <v>SI</v>
      </c>
      <c r="O240" s="20" t="str">
        <f ca="1">IFERROR(__xludf.DUMMYFUNCTION("""COMPUTED_VALUE"""),"NO")</f>
        <v>NO</v>
      </c>
      <c r="P240" s="20">
        <f ca="1">IFERROR(__xludf.DUMMYFUNCTION("""COMPUTED_VALUE"""),0)</f>
        <v>0</v>
      </c>
      <c r="Q240" s="113" t="str">
        <f ca="1">IFERROR(__xludf.DUMMYFUNCTION("""COMPUTED_VALUE"""),"https://gld.legislaturacba.gob.ar/_cdd/api/Documento/descargar?guid=22ba4c85-e7ff-4f43-9375-c6a42a99f5f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v>
      </c>
      <c r="R240" s="113" t="str">
        <f ca="1">IFERROR(__xludf.DUMMYFUNCTION("""COMPUTED_VALUE"""),"https://www.youtube.com/watch?v=yymQxblY6rk")</f>
        <v>https://www.youtube.com/watch?v=yymQxblY6rk</v>
      </c>
      <c r="S240" s="113" t="str">
        <f ca="1">IFERROR(__xludf.DUMMYFUNCTION("""COMPUTED_VALUE"""),"https://gld.legislaturacba.gob.ar/Publics/Actas.aspx?id=l0nIXI2-WmA=")</f>
        <v>https://gld.legislaturacba.gob.ar/Publics/Actas.aspx?id=l0nIXI2-WmA=</v>
      </c>
      <c r="T240" s="99">
        <f t="shared" ca="1" si="0"/>
        <v>0</v>
      </c>
    </row>
    <row r="241" spans="1:20">
      <c r="A241" s="20">
        <f ca="1">IFERROR(__xludf.DUMMYFUNCTION("""COMPUTED_VALUE"""),3)</f>
        <v>3</v>
      </c>
      <c r="B241" s="20">
        <f ca="1">IFERROR(__xludf.DUMMYFUNCTION("""COMPUTED_VALUE"""),2021)</f>
        <v>2021</v>
      </c>
      <c r="C241" s="20" t="str">
        <f ca="1">IFERROR(__xludf.DUMMYFUNCTION("""COMPUTED_VALUE"""),"VIRTUAL")</f>
        <v>VIRTUAL</v>
      </c>
      <c r="D241" s="96">
        <f ca="1">IFERROR(__xludf.DUMMYFUNCTION("""COMPUTED_VALUE"""),44236)</f>
        <v>44236</v>
      </c>
      <c r="E241" s="20" t="str">
        <f ca="1">IFERROR(__xludf.DUMMYFUNCTION("""COMPUTED_VALUE"""),"NO")</f>
        <v>NO</v>
      </c>
      <c r="F241" s="20" t="str">
        <f ca="1">IFERROR(__xludf.DUMMYFUNCTION("""COMPUTED_VALUE"""),"ASUNTOS CONSTITUCIONALES, JUSTICIA Y ACUERDOS")</f>
        <v>ASUNTOS CONSTITUCIONALES, JUSTICIA Y ACUERDOS</v>
      </c>
      <c r="G241" s="20">
        <f ca="1">IFERROR(__xludf.DUMMYFUNCTION("""COMPUTED_VALUE"""),1)</f>
        <v>1</v>
      </c>
      <c r="H241" s="20">
        <f ca="1">IFERROR(__xludf.DUMMYFUNCTION("""COMPUTED_VALUE"""),1)</f>
        <v>1</v>
      </c>
      <c r="I241" s="20">
        <f ca="1">IFERROR(__xludf.DUMMYFUNCTION("""COMPUTED_VALUE"""),1)</f>
        <v>1</v>
      </c>
      <c r="J241" s="20" t="str">
        <f ca="1">IFERROR(__xludf.DUMMYFUNCTION("""COMPUTED_VALUE"""),"Ley")</f>
        <v>Ley</v>
      </c>
      <c r="K241" s="20">
        <f ca="1">IFERROR(__xludf.DUMMYFUNCTION("""COMPUTED_VALUE"""),31707)</f>
        <v>31707</v>
      </c>
      <c r="L241" s="20" t="str">
        <f ca="1">IFERROR(__xludf.DUMMYFUNCTION("""COMPUTED_VALUE"""),"Poder Legislativo Provincial")</f>
        <v>Poder Legislativo Provincial</v>
      </c>
      <c r="M241" s="20" t="str">
        <f ca="1">IFERROR(__xludf.DUMMYFUNCTION("""COMPUTED_VALUE"""),"Declarando de interés social los bienes inmuebles y/o muebles destinados a actividades deportivas, sociales, recreativas y/o culturales, propiedad de asociaciones civiles sin fines de lucro, con el fin de garantizar el funcionamiento básico de estas entid"&amp;"ades y asegurar la conservación de su patrimonio físico y su infraestructura deportiva")</f>
        <v>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v>
      </c>
      <c r="N241" s="20" t="str">
        <f ca="1">IFERROR(__xludf.DUMMYFUNCTION("""COMPUTED_VALUE"""),"SI")</f>
        <v>SI</v>
      </c>
      <c r="O241" s="20" t="str">
        <f ca="1">IFERROR(__xludf.DUMMYFUNCTION("""COMPUTED_VALUE"""),"NO")</f>
        <v>NO</v>
      </c>
      <c r="P241" s="20">
        <f ca="1">IFERROR(__xludf.DUMMYFUNCTION("""COMPUTED_VALUE"""),0)</f>
        <v>0</v>
      </c>
      <c r="Q241" s="113" t="str">
        <f ca="1">IFERROR(__xludf.DUMMYFUNCTION("""COMPUTED_VALUE"""),"https://gld.legislaturacba.gob.ar/_cdd/api/Documento/descargar?guid=51a261c0-402d-4b0c-b2a6-d73419faacd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v>
      </c>
      <c r="R241" s="113" t="str">
        <f ca="1">IFERROR(__xludf.DUMMYFUNCTION("""COMPUTED_VALUE"""),"https://www.youtube.com/watch?v=x2CPOHSZDAs")</f>
        <v>https://www.youtube.com/watch?v=x2CPOHSZDAs</v>
      </c>
      <c r="S241" s="113" t="str">
        <f ca="1">IFERROR(__xludf.DUMMYFUNCTION("""COMPUTED_VALUE"""),"https://gld.legislaturacba.gob.ar/Publics/Actas.aspx?id=E2VMdAENyZg=")</f>
        <v>https://gld.legislaturacba.gob.ar/Publics/Actas.aspx?id=E2VMdAENyZg=</v>
      </c>
      <c r="T241" s="99">
        <f t="shared" ca="1" si="0"/>
        <v>0</v>
      </c>
    </row>
    <row r="242" spans="1:20">
      <c r="A242" s="20">
        <f ca="1">IFERROR(__xludf.DUMMYFUNCTION("""COMPUTED_VALUE"""),4)</f>
        <v>4</v>
      </c>
      <c r="B242" s="20">
        <f ca="1">IFERROR(__xludf.DUMMYFUNCTION("""COMPUTED_VALUE"""),2021)</f>
        <v>2021</v>
      </c>
      <c r="C242" s="20" t="str">
        <f ca="1">IFERROR(__xludf.DUMMYFUNCTION("""COMPUTED_VALUE"""),"VIRTUAL")</f>
        <v>VIRTUAL</v>
      </c>
      <c r="D242" s="96">
        <f ca="1">IFERROR(__xludf.DUMMYFUNCTION("""COMPUTED_VALUE"""),44236)</f>
        <v>44236</v>
      </c>
      <c r="E242" s="20" t="str">
        <f ca="1">IFERROR(__xludf.DUMMYFUNCTION("""COMPUTED_VALUE"""),"NO")</f>
        <v>NO</v>
      </c>
      <c r="F242" s="20" t="str">
        <f ca="1">IFERROR(__xludf.DUMMYFUNCTION("""COMPUTED_VALUE"""),"EQUIDAD Y LUCHA CONTRA LA VIOLENCIA DE GÉNERO")</f>
        <v>EQUIDAD Y LUCHA CONTRA LA VIOLENCIA DE GÉNERO</v>
      </c>
      <c r="G242" s="20">
        <f ca="1">IFERROR(__xludf.DUMMYFUNCTION("""COMPUTED_VALUE"""),1)</f>
        <v>1</v>
      </c>
      <c r="H242" s="20">
        <f ca="1">IFERROR(__xludf.DUMMYFUNCTION("""COMPUTED_VALUE"""),1)</f>
        <v>1</v>
      </c>
      <c r="I242" s="20">
        <f ca="1">IFERROR(__xludf.DUMMYFUNCTION("""COMPUTED_VALUE"""),1)</f>
        <v>1</v>
      </c>
      <c r="J242" s="20" t="str">
        <f ca="1">IFERROR(__xludf.DUMMYFUNCTION("""COMPUTED_VALUE"""),"Ley")</f>
        <v>Ley</v>
      </c>
      <c r="K242" s="20">
        <f ca="1">IFERROR(__xludf.DUMMYFUNCTION("""COMPUTED_VALUE"""),31937)</f>
        <v>31937</v>
      </c>
      <c r="L242" s="20" t="str">
        <f ca="1">IFERROR(__xludf.DUMMYFUNCTION("""COMPUTED_VALUE"""),"Poder Ejecutivo Provincial")</f>
        <v>Poder Ejecutivo Provincial</v>
      </c>
      <c r="M242" s="20" t="str">
        <f ca="1">IFERROR(__xludf.DUMMYFUNCTION("""COMPUTED_VALUE"""),"Ratificando el “Convenio Marco de Asistencia y Cooperación Recíproca”, celebrado entre el Ministerio de las Mujeres, Géneros y Diversidad de la Nación y la Provincia de Córdoba; para coordinar acciones, programas o proyectos en materia de políticas de gén"&amp;"ero, igualdad, diversidad y prevención, así como para la atención de situaciones de violencia por razones de género")</f>
        <v>Ratificando el “Convenio Marco de Asistencia y Cooperación Recíproca”, celebrado entre el Ministerio de las Mujeres, Géneros y Diversidad de la Nación y la Provincia de Córdoba; para coordinar acciones, programas o proyectos en materia de políticas de género, igualdad, diversidad y prevención, así como para la atención de situaciones de violencia por razones de género</v>
      </c>
      <c r="N242" s="20" t="str">
        <f ca="1">IFERROR(__xludf.DUMMYFUNCTION("""COMPUTED_VALUE"""),"SI")</f>
        <v>SI</v>
      </c>
      <c r="O242" s="20" t="str">
        <f ca="1">IFERROR(__xludf.DUMMYFUNCTION("""COMPUTED_VALUE"""),"NO")</f>
        <v>NO</v>
      </c>
      <c r="P242" s="20">
        <f ca="1">IFERROR(__xludf.DUMMYFUNCTION("""COMPUTED_VALUE"""),0)</f>
        <v>0</v>
      </c>
      <c r="Q242" s="113" t="str">
        <f ca="1">IFERROR(__xludf.DUMMYFUNCTION("""COMPUTED_VALUE"""),"https://gld.legislaturacba.gob.ar/_cdd/api/Documento/descargar?guid=66fbe6b5-4767-4438-bc37-4a2ecc0af8b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v>
      </c>
      <c r="R242" s="113" t="str">
        <f ca="1">IFERROR(__xludf.DUMMYFUNCTION("""COMPUTED_VALUE"""),"https://www.youtube.com/watch?v=vlkgI_1PBNM")</f>
        <v>https://www.youtube.com/watch?v=vlkgI_1PBNM</v>
      </c>
      <c r="S242" s="113" t="str">
        <f ca="1">IFERROR(__xludf.DUMMYFUNCTION("""COMPUTED_VALUE"""),"https://gld.legislaturacba.gob.ar/Publics/Actas.aspx?id=koxz2fG2Oo0=")</f>
        <v>https://gld.legislaturacba.gob.ar/Publics/Actas.aspx?id=koxz2fG2Oo0=</v>
      </c>
      <c r="T242" s="99">
        <f t="shared" ca="1" si="0"/>
        <v>0</v>
      </c>
    </row>
    <row r="243" spans="1:20">
      <c r="A243" s="20">
        <f ca="1">IFERROR(__xludf.DUMMYFUNCTION("""COMPUTED_VALUE"""),5)</f>
        <v>5</v>
      </c>
      <c r="B243" s="20">
        <f ca="1">IFERROR(__xludf.DUMMYFUNCTION("""COMPUTED_VALUE"""),2021)</f>
        <v>2021</v>
      </c>
      <c r="C243" s="20" t="str">
        <f ca="1">IFERROR(__xludf.DUMMYFUNCTION("""COMPUTED_VALUE"""),"VIRTUAL")</f>
        <v>VIRTUAL</v>
      </c>
      <c r="D243" s="96">
        <f ca="1">IFERROR(__xludf.DUMMYFUNCTION("""COMPUTED_VALUE"""),44238)</f>
        <v>44238</v>
      </c>
      <c r="E243" s="20" t="str">
        <f ca="1">IFERROR(__xludf.DUMMYFUNCTION("""COMPUTED_VALUE"""),"NO")</f>
        <v>NO</v>
      </c>
      <c r="F243" s="20" t="str">
        <f ca="1">IFERROR(__xludf.DUMMYFUNCTION("""COMPUTED_VALUE"""),"LEGISLACIÓN GENERAL")</f>
        <v>LEGISLACIÓN GENERAL</v>
      </c>
      <c r="G243" s="20">
        <f ca="1">IFERROR(__xludf.DUMMYFUNCTION("""COMPUTED_VALUE"""),1)</f>
        <v>1</v>
      </c>
      <c r="H243" s="20">
        <f ca="1">IFERROR(__xludf.DUMMYFUNCTION("""COMPUTED_VALUE"""),2)</f>
        <v>2</v>
      </c>
      <c r="I243" s="20">
        <f ca="1">IFERROR(__xludf.DUMMYFUNCTION("""COMPUTED_VALUE"""),1)</f>
        <v>1</v>
      </c>
      <c r="J243" s="20" t="str">
        <f ca="1">IFERROR(__xludf.DUMMYFUNCTION("""COMPUTED_VALUE"""),"Ley")</f>
        <v>Ley</v>
      </c>
      <c r="K243" s="20">
        <f ca="1">IFERROR(__xludf.DUMMYFUNCTION("""COMPUTED_VALUE"""),31976)</f>
        <v>31976</v>
      </c>
      <c r="L243" s="20" t="str">
        <f ca="1">IFERROR(__xludf.DUMMYFUNCTION("""COMPUTED_VALUE"""),"Poder Ejecutivo Provincial")</f>
        <v>Poder Ejecutivo Provincial</v>
      </c>
      <c r="M243" s="20" t="str">
        <f ca="1">IFERROR(__xludf.DUMMYFUNCTION("""COMPUTED_VALUE"""),"Modificando el radio municipal de la localidad de Saturnino María Laspiur, ubicada en el departamento San Justo de la provincia de Córdoba, de conformidad a lo establecido por el artículo 4° de la Ley n° 8102, según el plano confeccionado por la municipal"&amp;"idad")</f>
        <v>Modificando el radio municipal de la localidad de Saturnino María Laspiur, ubicada en el departamento San Justo de la provincia de Córdoba, de conformidad a lo establecido por el artículo 4° de la Ley n° 8102, según el plano confeccionado por la municipalidad</v>
      </c>
      <c r="N243" s="20" t="str">
        <f ca="1">IFERROR(__xludf.DUMMYFUNCTION("""COMPUTED_VALUE"""),"NO")</f>
        <v>NO</v>
      </c>
      <c r="O243" s="20" t="str">
        <f ca="1">IFERROR(__xludf.DUMMYFUNCTION("""COMPUTED_VALUE"""),"NO")</f>
        <v>NO</v>
      </c>
      <c r="P243" s="20">
        <f ca="1">IFERROR(__xludf.DUMMYFUNCTION("""COMPUTED_VALUE"""),0)</f>
        <v>0</v>
      </c>
      <c r="Q243" s="20" t="str">
        <f ca="1">IFERROR(__xludf.DUMMYFUNCTION("""COMPUTED_VALUE"""),"NA")</f>
        <v>NA</v>
      </c>
      <c r="R243" s="113" t="str">
        <f ca="1">IFERROR(__xludf.DUMMYFUNCTION("""COMPUTED_VALUE"""),"https://www.youtube.com/watch?v=VHDkL1nURbw")</f>
        <v>https://www.youtube.com/watch?v=VHDkL1nURbw</v>
      </c>
      <c r="S243" s="113" t="str">
        <f ca="1">IFERROR(__xludf.DUMMYFUNCTION("""COMPUTED_VALUE"""),"https://gld.legislaturacba.gob.ar/Publics/Actas.aspx?id=Ws1exwyoNkI=")</f>
        <v>https://gld.legislaturacba.gob.ar/Publics/Actas.aspx?id=Ws1exwyoNkI=</v>
      </c>
      <c r="T243" s="99">
        <f t="shared" ca="1" si="0"/>
        <v>0</v>
      </c>
    </row>
    <row r="244" spans="1:20">
      <c r="A244" s="20">
        <f ca="1">IFERROR(__xludf.DUMMYFUNCTION("""COMPUTED_VALUE"""),6)</f>
        <v>6</v>
      </c>
      <c r="B244" s="20">
        <f ca="1">IFERROR(__xludf.DUMMYFUNCTION("""COMPUTED_VALUE"""),2021)</f>
        <v>2021</v>
      </c>
      <c r="C244" s="20" t="str">
        <f ca="1">IFERROR(__xludf.DUMMYFUNCTION("""COMPUTED_VALUE"""),"VIRTUAL")</f>
        <v>VIRTUAL</v>
      </c>
      <c r="D244" s="96">
        <f ca="1">IFERROR(__xludf.DUMMYFUNCTION("""COMPUTED_VALUE"""),44238)</f>
        <v>44238</v>
      </c>
      <c r="E244" s="20" t="str">
        <f ca="1">IFERROR(__xludf.DUMMYFUNCTION("""COMPUTED_VALUE"""),"NO")</f>
        <v>NO</v>
      </c>
      <c r="F244" s="20" t="str">
        <f ca="1">IFERROR(__xludf.DUMMYFUNCTION("""COMPUTED_VALUE"""),"ASUNTOS INSTITUCIONALES, MUNICIPALES Y COMUNALES")</f>
        <v>ASUNTOS INSTITUCIONALES, MUNICIPALES Y COMUNALES</v>
      </c>
      <c r="G244" s="20">
        <f ca="1">IFERROR(__xludf.DUMMYFUNCTION("""COMPUTED_VALUE"""),1)</f>
        <v>1</v>
      </c>
      <c r="H244" s="20">
        <f ca="1">IFERROR(__xludf.DUMMYFUNCTION("""COMPUTED_VALUE"""),1)</f>
        <v>1</v>
      </c>
      <c r="I244" s="20">
        <f ca="1">IFERROR(__xludf.DUMMYFUNCTION("""COMPUTED_VALUE"""),1)</f>
        <v>1</v>
      </c>
      <c r="J244" s="20" t="str">
        <f ca="1">IFERROR(__xludf.DUMMYFUNCTION("""COMPUTED_VALUE"""),"Ley")</f>
        <v>Ley</v>
      </c>
      <c r="K244" s="20">
        <f ca="1">IFERROR(__xludf.DUMMYFUNCTION("""COMPUTED_VALUE"""),31973)</f>
        <v>31973</v>
      </c>
      <c r="L244" s="20" t="str">
        <f ca="1">IFERROR(__xludf.DUMMYFUNCTION("""COMPUTED_VALUE"""),"Poder Ejecutivo Provincial")</f>
        <v>Poder Ejecutivo Provincial</v>
      </c>
      <c r="M244" s="20" t="str">
        <f ca="1">IFERROR(__xludf.DUMMYFUNCTION("""COMPUTED_VALUE"""),"Modificando el radio municipal de la localidad de La Carlota, ubicada en el Departamento Juárez Celman, de conformidad a lo establecido por el artículo 4º de la Ley Nº 8102, según el plano confeccionado por la municipalidad")</f>
        <v>Modificando el radio municipal de la localidad de La Carlota, ubicada en el Departamento Juárez Celman, de conformidad a lo establecido por el artículo 4º de la Ley Nº 8102, según el plano confeccionado por la municipalidad</v>
      </c>
      <c r="N244" s="20" t="str">
        <f ca="1">IFERROR(__xludf.DUMMYFUNCTION("""COMPUTED_VALUE"""),"SI")</f>
        <v>SI</v>
      </c>
      <c r="O244" s="20" t="str">
        <f ca="1">IFERROR(__xludf.DUMMYFUNCTION("""COMPUTED_VALUE"""),"NO")</f>
        <v>NO</v>
      </c>
      <c r="P244" s="20">
        <f ca="1">IFERROR(__xludf.DUMMYFUNCTION("""COMPUTED_VALUE"""),0)</f>
        <v>0</v>
      </c>
      <c r="Q244" s="113" t="str">
        <f ca="1">IFERROR(__xludf.DUMMYFUNCTION("""COMPUTED_VALUE"""),"https://gld.legislaturacba.gob.ar/_cdd/api/Documento/descargar?guid=1f336210-0b16-4874-aad9-9b8a25b661d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v>
      </c>
      <c r="R244" s="113" t="str">
        <f ca="1">IFERROR(__xludf.DUMMYFUNCTION("""COMPUTED_VALUE"""),"https://www.youtube.com/watch?v=h74bcy7XpnY")</f>
        <v>https://www.youtube.com/watch?v=h74bcy7XpnY</v>
      </c>
      <c r="S244" s="113" t="str">
        <f ca="1">IFERROR(__xludf.DUMMYFUNCTION("""COMPUTED_VALUE"""),"https://gld.legislaturacba.gob.ar/Publics/Actas.aspx?id=MBANNCC_cms=")</f>
        <v>https://gld.legislaturacba.gob.ar/Publics/Actas.aspx?id=MBANNCC_cms=</v>
      </c>
      <c r="T244" s="99">
        <f t="shared" ca="1" si="0"/>
        <v>0</v>
      </c>
    </row>
    <row r="245" spans="1:20">
      <c r="A245" s="20">
        <f ca="1">IFERROR(__xludf.DUMMYFUNCTION("""COMPUTED_VALUE"""),7)</f>
        <v>7</v>
      </c>
      <c r="B245" s="20">
        <f ca="1">IFERROR(__xludf.DUMMYFUNCTION("""COMPUTED_VALUE"""),2021)</f>
        <v>2021</v>
      </c>
      <c r="C245" s="20" t="str">
        <f ca="1">IFERROR(__xludf.DUMMYFUNCTION("""COMPUTED_VALUE"""),"VIRTUAL")</f>
        <v>VIRTUAL</v>
      </c>
      <c r="D245" s="96">
        <f ca="1">IFERROR(__xludf.DUMMYFUNCTION("""COMPUTED_VALUE"""),44244)</f>
        <v>44244</v>
      </c>
      <c r="E245" s="20" t="str">
        <f ca="1">IFERROR(__xludf.DUMMYFUNCTION("""COMPUTED_VALUE"""),"NO")</f>
        <v>NO</v>
      </c>
      <c r="F245" s="20" t="str">
        <f ca="1">IFERROR(__xludf.DUMMYFUNCTION("""COMPUTED_VALUE"""),"LEGISLACIÓN GENERAL")</f>
        <v>LEGISLACIÓN GENERAL</v>
      </c>
      <c r="G245" s="20">
        <f ca="1">IFERROR(__xludf.DUMMYFUNCTION("""COMPUTED_VALUE"""),1)</f>
        <v>1</v>
      </c>
      <c r="H245" s="20">
        <f ca="1">IFERROR(__xludf.DUMMYFUNCTION("""COMPUTED_VALUE"""),1)</f>
        <v>1</v>
      </c>
      <c r="I245" s="20">
        <f ca="1">IFERROR(__xludf.DUMMYFUNCTION("""COMPUTED_VALUE"""),1)</f>
        <v>1</v>
      </c>
      <c r="J245" s="20" t="str">
        <f ca="1">IFERROR(__xludf.DUMMYFUNCTION("""COMPUTED_VALUE"""),"Ley")</f>
        <v>Ley</v>
      </c>
      <c r="K245" s="20">
        <f ca="1">IFERROR(__xludf.DUMMYFUNCTION("""COMPUTED_VALUE"""),31973)</f>
        <v>31973</v>
      </c>
      <c r="L245" s="20" t="str">
        <f ca="1">IFERROR(__xludf.DUMMYFUNCTION("""COMPUTED_VALUE"""),"Poder Ejecutivo Provincial")</f>
        <v>Poder Ejecutivo Provincial</v>
      </c>
      <c r="M245" s="20" t="str">
        <f ca="1">IFERROR(__xludf.DUMMYFUNCTION("""COMPUTED_VALUE"""),"Modificando el radio municipal de la localidad de La Carlota, ubicada en el Departamento Juárez Celman, de conformidad a lo establecido por el artículo 4º de la Ley Nº 8102, según el plano confeccionado por la municipalidad")</f>
        <v>Modificando el radio municipal de la localidad de La Carlota, ubicada en el Departamento Juárez Celman, de conformidad a lo establecido por el artículo 4º de la Ley Nº 8102, según el plano confeccionado por la municipalidad</v>
      </c>
      <c r="N245" s="20" t="str">
        <f ca="1">IFERROR(__xludf.DUMMYFUNCTION("""COMPUTED_VALUE"""),"NO")</f>
        <v>NO</v>
      </c>
      <c r="O245" s="20" t="str">
        <f ca="1">IFERROR(__xludf.DUMMYFUNCTION("""COMPUTED_VALUE"""),"NO")</f>
        <v>NO</v>
      </c>
      <c r="P245" s="20">
        <f ca="1">IFERROR(__xludf.DUMMYFUNCTION("""COMPUTED_VALUE"""),0)</f>
        <v>0</v>
      </c>
      <c r="Q245" s="20" t="str">
        <f ca="1">IFERROR(__xludf.DUMMYFUNCTION("""COMPUTED_VALUE"""),"NA")</f>
        <v>NA</v>
      </c>
      <c r="R245" s="20" t="str">
        <f ca="1">IFERROR(__xludf.DUMMYFUNCTION("""COMPUTED_VALUE"""),"NA")</f>
        <v>NA</v>
      </c>
      <c r="S245" s="113" t="str">
        <f ca="1">IFERROR(__xludf.DUMMYFUNCTION("""COMPUTED_VALUE"""),"https://gld.legislaturacba.gob.ar/Publics/Actas.aspx?id=0pxXrXiqsOU=")</f>
        <v>https://gld.legislaturacba.gob.ar/Publics/Actas.aspx?id=0pxXrXiqsOU=</v>
      </c>
      <c r="T245" s="99">
        <f t="shared" ca="1" si="0"/>
        <v>0</v>
      </c>
    </row>
    <row r="246" spans="1:20">
      <c r="A246" s="20">
        <f ca="1">IFERROR(__xludf.DUMMYFUNCTION("""COMPUTED_VALUE"""),8)</f>
        <v>8</v>
      </c>
      <c r="B246" s="20">
        <f ca="1">IFERROR(__xludf.DUMMYFUNCTION("""COMPUTED_VALUE"""),2021)</f>
        <v>2021</v>
      </c>
      <c r="C246" s="20" t="str">
        <f ca="1">IFERROR(__xludf.DUMMYFUNCTION("""COMPUTED_VALUE"""),"VIRTUAL")</f>
        <v>VIRTUAL</v>
      </c>
      <c r="D246" s="96">
        <f ca="1">IFERROR(__xludf.DUMMYFUNCTION("""COMPUTED_VALUE"""),44244)</f>
        <v>44244</v>
      </c>
      <c r="E246" s="20" t="str">
        <f ca="1">IFERROR(__xludf.DUMMYFUNCTION("""COMPUTED_VALUE"""),"NO")</f>
        <v>NO</v>
      </c>
      <c r="F246" s="20" t="str">
        <f ca="1">IFERROR(__xludf.DUMMYFUNCTION("""COMPUTED_VALUE"""),"EDUCACIÓN, CULTURA, CIENCIA, TECNOLOGÍA E INFORMÁTICA")</f>
        <v>EDUCACIÓN, CULTURA, CIENCIA, TECNOLOGÍA E INFORMÁTICA</v>
      </c>
      <c r="G246" s="20">
        <f ca="1">IFERROR(__xludf.DUMMYFUNCTION("""COMPUTED_VALUE"""),1)</f>
        <v>1</v>
      </c>
      <c r="H246" s="20">
        <f ca="1">IFERROR(__xludf.DUMMYFUNCTION("""COMPUTED_VALUE"""),1)</f>
        <v>1</v>
      </c>
      <c r="I246" s="20">
        <f ca="1">IFERROR(__xludf.DUMMYFUNCTION("""COMPUTED_VALUE"""),1)</f>
        <v>1</v>
      </c>
      <c r="J246" s="20" t="str">
        <f ca="1">IFERROR(__xludf.DUMMYFUNCTION("""COMPUTED_VALUE"""),"Resolución")</f>
        <v>Resolución</v>
      </c>
      <c r="K246" s="20">
        <f ca="1">IFERROR(__xludf.DUMMYFUNCTION("""COMPUTED_VALUE"""),32112)</f>
        <v>32112</v>
      </c>
      <c r="L246" s="20" t="str">
        <f ca="1">IFERROR(__xludf.DUMMYFUNCTION("""COMPUTED_VALUE"""),"Poder Legislativo Provincial")</f>
        <v>Poder Legislativo Provincial</v>
      </c>
      <c r="M246" s="20" t="str">
        <f ca="1">IFERROR(__xludf.DUMMYFUNCTION("""COMPUTED_VALUE"""),"Citando al Ministro de Educación (Art. 101 CP) a efectos de informar respecto de la planificación realizada para garantizar la educación en todos los niveles en el ciclo lectivo 2021")</f>
        <v>Citando al Ministro de Educación (Art. 101 CP) a efectos de informar respecto de la planificación realizada para garantizar la educación en todos los niveles en el ciclo lectivo 2021</v>
      </c>
      <c r="N246" s="20" t="str">
        <f ca="1">IFERROR(__xludf.DUMMYFUNCTION("""COMPUTED_VALUE"""),"NO")</f>
        <v>NO</v>
      </c>
      <c r="O246" s="20" t="str">
        <f ca="1">IFERROR(__xludf.DUMMYFUNCTION("""COMPUTED_VALUE"""),"SI")</f>
        <v>SI</v>
      </c>
      <c r="P246" s="20">
        <f ca="1">IFERROR(__xludf.DUMMYFUNCTION("""COMPUTED_VALUE"""),4)</f>
        <v>4</v>
      </c>
      <c r="Q246" s="20" t="str">
        <f ca="1">IFERROR(__xludf.DUMMYFUNCTION("""COMPUTED_VALUE"""),"NA")</f>
        <v>NA</v>
      </c>
      <c r="R246" s="113" t="str">
        <f ca="1">IFERROR(__xludf.DUMMYFUNCTION("""COMPUTED_VALUE"""),"https://www.youtube.com/watch?v=It7q9pQ-cvU")</f>
        <v>https://www.youtube.com/watch?v=It7q9pQ-cvU</v>
      </c>
      <c r="S246" s="113" t="str">
        <f ca="1">IFERROR(__xludf.DUMMYFUNCTION("""COMPUTED_VALUE"""),"https://gld.legislaturacba.gob.ar/Publics/Actas.aspx?id=IZkRouYWnXY=")</f>
        <v>https://gld.legislaturacba.gob.ar/Publics/Actas.aspx?id=IZkRouYWnXY=</v>
      </c>
      <c r="T246" s="99">
        <f t="shared" ca="1" si="0"/>
        <v>0</v>
      </c>
    </row>
    <row r="247" spans="1:20">
      <c r="A247" s="20">
        <f ca="1">IFERROR(__xludf.DUMMYFUNCTION("""COMPUTED_VALUE"""),9)</f>
        <v>9</v>
      </c>
      <c r="B247" s="20">
        <f ca="1">IFERROR(__xludf.DUMMYFUNCTION("""COMPUTED_VALUE"""),2021)</f>
        <v>2021</v>
      </c>
      <c r="C247" s="20" t="str">
        <f ca="1">IFERROR(__xludf.DUMMYFUNCTION("""COMPUTED_VALUE"""),"VIRTUAL")</f>
        <v>VIRTUAL</v>
      </c>
      <c r="D247" s="96">
        <f ca="1">IFERROR(__xludf.DUMMYFUNCTION("""COMPUTED_VALUE"""),44245)</f>
        <v>44245</v>
      </c>
      <c r="E247" s="20" t="str">
        <f ca="1">IFERROR(__xludf.DUMMYFUNCTION("""COMPUTED_VALUE"""),"NO")</f>
        <v>NO</v>
      </c>
      <c r="F247" s="20" t="str">
        <f ca="1">IFERROR(__xludf.DUMMYFUNCTION("""COMPUTED_VALUE"""),"ASUNTOS CONSTITUCIONALES, JUSTICIA Y ACUERDOS")</f>
        <v>ASUNTOS CONSTITUCIONALES, JUSTICIA Y ACUERDOS</v>
      </c>
      <c r="G247" s="20">
        <f ca="1">IFERROR(__xludf.DUMMYFUNCTION("""COMPUTED_VALUE"""),1)</f>
        <v>1</v>
      </c>
      <c r="H247" s="20">
        <f ca="1">IFERROR(__xludf.DUMMYFUNCTION("""COMPUTED_VALUE"""),3)</f>
        <v>3</v>
      </c>
      <c r="I247" s="20">
        <f ca="1">IFERROR(__xludf.DUMMYFUNCTION("""COMPUTED_VALUE"""),1)</f>
        <v>1</v>
      </c>
      <c r="J247" s="20" t="str">
        <f ca="1">IFERROR(__xludf.DUMMYFUNCTION("""COMPUTED_VALUE"""),"Pliego")</f>
        <v>Pliego</v>
      </c>
      <c r="K247" s="20">
        <f ca="1">IFERROR(__xludf.DUMMYFUNCTION("""COMPUTED_VALUE"""),32056)</f>
        <v>32056</v>
      </c>
      <c r="L247" s="20" t="str">
        <f ca="1">IFERROR(__xludf.DUMMYFUNCTION("""COMPUTED_VALUE"""),"Poder Ejecutivo Provincial")</f>
        <v>Poder Ejecutivo Provincial</v>
      </c>
      <c r="M247" s="20" t="str">
        <f ca="1">IFERROR(__xludf.DUMMYFUNCTION("""COMPUTED_VALUE"""),"Solicitando acuerdo para designar a la abogada Yessica Nadina Lincon Juez de Primera Instancia en lo Civil y Comercial de 12ª Nominación de la Primera Circunscripción Judicial con asiento en la ciudad de Córdoba")</f>
        <v>Solicitando acuerdo para designar a la abogada Yessica Nadina Lincon Juez de Primera Instancia en lo Civil y Comercial de 12ª Nominación de la Primera Circunscripción Judicial con asiento en la ciudad de Córdoba</v>
      </c>
      <c r="N247" s="20" t="str">
        <f ca="1">IFERROR(__xludf.DUMMYFUNCTION("""COMPUTED_VALUE"""),"SI")</f>
        <v>SI</v>
      </c>
      <c r="O247" s="20" t="str">
        <f ca="1">IFERROR(__xludf.DUMMYFUNCTION("""COMPUTED_VALUE"""),"NO")</f>
        <v>NO</v>
      </c>
      <c r="P247" s="20">
        <f ca="1">IFERROR(__xludf.DUMMYFUNCTION("""COMPUTED_VALUE"""),0)</f>
        <v>0</v>
      </c>
      <c r="Q247" s="113" t="str">
        <f ca="1">IFERROR(__xludf.DUMMYFUNCTION("""COMPUTED_VALUE"""),"https://gld.legislaturacba.gob.ar/_cdd/api/Documento/descargar?guid=f3c509aa-006f-4f0c-b8b7-f8122bb54334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v>
      </c>
      <c r="R247" s="113" t="str">
        <f ca="1">IFERROR(__xludf.DUMMYFUNCTION("""COMPUTED_VALUE"""),"https://www.youtube.com/watch?v=IQR_yOfYsPA")</f>
        <v>https://www.youtube.com/watch?v=IQR_yOfYsPA</v>
      </c>
      <c r="S247" s="113" t="str">
        <f ca="1">IFERROR(__xludf.DUMMYFUNCTION("""COMPUTED_VALUE"""),"https://gld.legislaturacba.gob.ar/Publics/Actas.aspx?id=z4GHTPXCiFc=")</f>
        <v>https://gld.legislaturacba.gob.ar/Publics/Actas.aspx?id=z4GHTPXCiFc=</v>
      </c>
      <c r="T247" s="99">
        <f t="shared" ca="1" si="0"/>
        <v>0</v>
      </c>
    </row>
    <row r="248" spans="1:20">
      <c r="A248" s="20">
        <f ca="1">IFERROR(__xludf.DUMMYFUNCTION("""COMPUTED_VALUE"""),10)</f>
        <v>10</v>
      </c>
      <c r="B248" s="20">
        <f ca="1">IFERROR(__xludf.DUMMYFUNCTION("""COMPUTED_VALUE"""),2021)</f>
        <v>2021</v>
      </c>
      <c r="C248" s="20" t="str">
        <f ca="1">IFERROR(__xludf.DUMMYFUNCTION("""COMPUTED_VALUE"""),"VIRTUAL")</f>
        <v>VIRTUAL</v>
      </c>
      <c r="D248" s="96">
        <f ca="1">IFERROR(__xludf.DUMMYFUNCTION("""COMPUTED_VALUE"""),44245)</f>
        <v>44245</v>
      </c>
      <c r="E248" s="20" t="str">
        <f ca="1">IFERROR(__xludf.DUMMYFUNCTION("""COMPUTED_VALUE"""),"NO")</f>
        <v>NO</v>
      </c>
      <c r="F248" s="20" t="str">
        <f ca="1">IFERROR(__xludf.DUMMYFUNCTION("""COMPUTED_VALUE"""),"RELACIONES INTERNACIONALES, MERCOSUR Y COMERCIO EXTERIOR")</f>
        <v>RELACIONES INTERNACIONALES, MERCOSUR Y COMERCIO EXTERIOR</v>
      </c>
      <c r="G248" s="20">
        <f ca="1">IFERROR(__xludf.DUMMYFUNCTION("""COMPUTED_VALUE"""),1)</f>
        <v>1</v>
      </c>
      <c r="H248" s="20">
        <f ca="1">IFERROR(__xludf.DUMMYFUNCTION("""COMPUTED_VALUE"""),1)</f>
        <v>1</v>
      </c>
      <c r="I248" s="20">
        <f ca="1">IFERROR(__xludf.DUMMYFUNCTION("""COMPUTED_VALUE"""),1)</f>
        <v>1</v>
      </c>
      <c r="J248" s="20" t="str">
        <f ca="1">IFERROR(__xludf.DUMMYFUNCTION("""COMPUTED_VALUE"""),"NA")</f>
        <v>NA</v>
      </c>
      <c r="K248" s="20" t="str">
        <f ca="1">IFERROR(__xludf.DUMMYFUNCTION("""COMPUTED_VALUE"""),"NA")</f>
        <v>NA</v>
      </c>
      <c r="L248" s="20" t="str">
        <f ca="1">IFERROR(__xludf.DUMMYFUNCTION("""COMPUTED_VALUE"""),"NA")</f>
        <v>NA</v>
      </c>
      <c r="M248" s="20" t="str">
        <f ca="1">IFERROR(__xludf.DUMMYFUNCTION("""COMPUTED_VALUE"""),"Acciones que realiza la Agencia ProCórdoba S.E.M. y resumen de la gestión 2020")</f>
        <v>Acciones que realiza la Agencia ProCórdoba S.E.M. y resumen de la gestión 2020</v>
      </c>
      <c r="N248" s="20" t="str">
        <f ca="1">IFERROR(__xludf.DUMMYFUNCTION("""COMPUTED_VALUE"""),"NA")</f>
        <v>NA</v>
      </c>
      <c r="O248" s="20" t="str">
        <f ca="1">IFERROR(__xludf.DUMMYFUNCTION("""COMPUTED_VALUE"""),"NO")</f>
        <v>NO</v>
      </c>
      <c r="P248" s="20">
        <f ca="1">IFERROR(__xludf.DUMMYFUNCTION("""COMPUTED_VALUE"""),0)</f>
        <v>0</v>
      </c>
      <c r="Q248" s="113" t="str">
        <f ca="1">IFERROR(__xludf.DUMMYFUNCTION("""COMPUTED_VALUE"""),"https://gld.legislaturacba.gob.ar/_cdd/api/Documento/descargar?guid=a9aba2ab-fe70-40be-8a51-8082ecd6a707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v>
      </c>
      <c r="R248" s="113" t="str">
        <f ca="1">IFERROR(__xludf.DUMMYFUNCTION("""COMPUTED_VALUE"""),"https://www.youtube.com/watch?v=7ad0nBIg_vQ")</f>
        <v>https://www.youtube.com/watch?v=7ad0nBIg_vQ</v>
      </c>
      <c r="S248" s="113" t="str">
        <f ca="1">IFERROR(__xludf.DUMMYFUNCTION("""COMPUTED_VALUE"""),"https://gld.legislaturacba.gob.ar/Publics/Actas.aspx?id=_07w-EJ80N0=")</f>
        <v>https://gld.legislaturacba.gob.ar/Publics/Actas.aspx?id=_07w-EJ80N0=</v>
      </c>
      <c r="T248" s="99">
        <f t="shared" ca="1" si="0"/>
        <v>0</v>
      </c>
    </row>
    <row r="249" spans="1:20">
      <c r="A249" s="20">
        <f ca="1">IFERROR(__xludf.DUMMYFUNCTION("""COMPUTED_VALUE"""),11)</f>
        <v>11</v>
      </c>
      <c r="B249" s="20">
        <f ca="1">IFERROR(__xludf.DUMMYFUNCTION("""COMPUTED_VALUE"""),2021)</f>
        <v>2021</v>
      </c>
      <c r="C249" s="20" t="str">
        <f ca="1">IFERROR(__xludf.DUMMYFUNCTION("""COMPUTED_VALUE"""),"VIRTUAL")</f>
        <v>VIRTUAL</v>
      </c>
      <c r="D249" s="96">
        <f ca="1">IFERROR(__xludf.DUMMYFUNCTION("""COMPUTED_VALUE"""),44245)</f>
        <v>44245</v>
      </c>
      <c r="E249" s="20" t="str">
        <f ca="1">IFERROR(__xludf.DUMMYFUNCTION("""COMPUTED_VALUE"""),"NO")</f>
        <v>NO</v>
      </c>
      <c r="F249" s="20" t="str">
        <f ca="1">IFERROR(__xludf.DUMMYFUNCTION("""COMPUTED_VALUE"""),"AMBIENTE")</f>
        <v>AMBIENTE</v>
      </c>
      <c r="G249" s="20">
        <f ca="1">IFERROR(__xludf.DUMMYFUNCTION("""COMPUTED_VALUE"""),1)</f>
        <v>1</v>
      </c>
      <c r="H249" s="20">
        <f ca="1">IFERROR(__xludf.DUMMYFUNCTION("""COMPUTED_VALUE"""),1)</f>
        <v>1</v>
      </c>
      <c r="I249" s="20">
        <f ca="1">IFERROR(__xludf.DUMMYFUNCTION("""COMPUTED_VALUE"""),1)</f>
        <v>1</v>
      </c>
      <c r="J249" s="20" t="str">
        <f ca="1">IFERROR(__xludf.DUMMYFUNCTION("""COMPUTED_VALUE"""),"NA")</f>
        <v>NA</v>
      </c>
      <c r="K249" s="20" t="str">
        <f ca="1">IFERROR(__xludf.DUMMYFUNCTION("""COMPUTED_VALUE"""),"NA")</f>
        <v>NA</v>
      </c>
      <c r="L249" s="20" t="str">
        <f ca="1">IFERROR(__xludf.DUMMYFUNCTION("""COMPUTED_VALUE"""),"NA")</f>
        <v>NA</v>
      </c>
      <c r="M249" s="20" t="str">
        <f ca="1">IFERROR(__xludf.DUMMYFUNCTION("""COMPUTED_VALUE"""),"Curso de aguas de las acequias Las Rosas y El Descanso, de la localidad de Villa La Bolsa")</f>
        <v>Curso de aguas de las acequias Las Rosas y El Descanso, de la localidad de Villa La Bolsa</v>
      </c>
      <c r="N249" s="20" t="str">
        <f ca="1">IFERROR(__xludf.DUMMYFUNCTION("""COMPUTED_VALUE"""),"NA")</f>
        <v>NA</v>
      </c>
      <c r="O249" s="20" t="str">
        <f ca="1">IFERROR(__xludf.DUMMYFUNCTION("""COMPUTED_VALUE"""),"SI")</f>
        <v>SI</v>
      </c>
      <c r="P249" s="20">
        <f ca="1">IFERROR(__xludf.DUMMYFUNCTION("""COMPUTED_VALUE"""),3)</f>
        <v>3</v>
      </c>
      <c r="Q249" s="113" t="str">
        <f ca="1">IFERROR(__xludf.DUMMYFUNCTION("""COMPUTED_VALUE"""),"https://gld.legislaturacba.gob.ar/_cdd/api/Documento/descargar?guid=0ac03b30-a94a-4624-97ba-f12088dcc2b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v>
      </c>
      <c r="R249" s="113" t="str">
        <f ca="1">IFERROR(__xludf.DUMMYFUNCTION("""COMPUTED_VALUE"""),"https://www.youtube.com/watch?v=uE95ezRY2FI")</f>
        <v>https://www.youtube.com/watch?v=uE95ezRY2FI</v>
      </c>
      <c r="S249" s="113" t="str">
        <f ca="1">IFERROR(__xludf.DUMMYFUNCTION("""COMPUTED_VALUE"""),"https://gld.legislaturacba.gob.ar/Publics/Actas.aspx?id=GJ1gd6M1VV8=")</f>
        <v>https://gld.legislaturacba.gob.ar/Publics/Actas.aspx?id=GJ1gd6M1VV8=</v>
      </c>
      <c r="T249" s="99">
        <f t="shared" ca="1" si="0"/>
        <v>0</v>
      </c>
    </row>
    <row r="250" spans="1:20">
      <c r="A250" s="20">
        <f ca="1">IFERROR(__xludf.DUMMYFUNCTION("""COMPUTED_VALUE"""),12)</f>
        <v>12</v>
      </c>
      <c r="B250" s="20">
        <f ca="1">IFERROR(__xludf.DUMMYFUNCTION("""COMPUTED_VALUE"""),2021)</f>
        <v>2021</v>
      </c>
      <c r="C250" s="20" t="str">
        <f ca="1">IFERROR(__xludf.DUMMYFUNCTION("""COMPUTED_VALUE"""),"VIRTUAL")</f>
        <v>VIRTUAL</v>
      </c>
      <c r="D250" s="96">
        <f ca="1">IFERROR(__xludf.DUMMYFUNCTION("""COMPUTED_VALUE"""),44245)</f>
        <v>44245</v>
      </c>
      <c r="E250" s="20" t="str">
        <f ca="1">IFERROR(__xludf.DUMMYFUNCTION("""COMPUTED_VALUE"""),"NO")</f>
        <v>NO</v>
      </c>
      <c r="F250" s="20" t="str">
        <f ca="1">IFERROR(__xludf.DUMMYFUNCTION("""COMPUTED_VALUE"""),"ASUNTOS INSTITUCIONALES, MUNICIPALES Y COMUNALES")</f>
        <v>ASUNTOS INSTITUCIONALES, MUNICIPALES Y COMUNALES</v>
      </c>
      <c r="G250" s="20">
        <f ca="1">IFERROR(__xludf.DUMMYFUNCTION("""COMPUTED_VALUE"""),1)</f>
        <v>1</v>
      </c>
      <c r="H250" s="20">
        <f ca="1">IFERROR(__xludf.DUMMYFUNCTION("""COMPUTED_VALUE"""),1)</f>
        <v>1</v>
      </c>
      <c r="I250" s="20">
        <f ca="1">IFERROR(__xludf.DUMMYFUNCTION("""COMPUTED_VALUE"""),1)</f>
        <v>1</v>
      </c>
      <c r="J250" s="20" t="str">
        <f ca="1">IFERROR(__xludf.DUMMYFUNCTION("""COMPUTED_VALUE"""),"Ley")</f>
        <v>Ley</v>
      </c>
      <c r="K250" s="20">
        <f ca="1">IFERROR(__xludf.DUMMYFUNCTION("""COMPUTED_VALUE"""),31975)</f>
        <v>31975</v>
      </c>
      <c r="L250" s="20" t="str">
        <f ca="1">IFERROR(__xludf.DUMMYFUNCTION("""COMPUTED_VALUE"""),"Poder Ejecutivo Provincial")</f>
        <v>Poder Ejecutivo Provincial</v>
      </c>
      <c r="M250" s="20" t="str">
        <f ca="1">IFERROR(__xludf.DUMMYFUNCTION("""COMPUTED_VALUE"""),"Modificando el radio comunal de la localidad de Arroyo de los Patos, ubicada en el Departamento San Alberto de la Provincia de Córdoba, de conformidad a lo establecido por el artículo 4º de la Ley Nº 8102, según el plano confeccionado por la comuna")</f>
        <v>Modificando el radio comunal de la localidad de Arroyo de los Patos, ubicada en el Departamento San Alberto de la Provincia de Córdoba, de conformidad a lo establecido por el artículo 4º de la Ley Nº 8102, según el plano confeccionado por la comuna</v>
      </c>
      <c r="N250" s="20" t="str">
        <f ca="1">IFERROR(__xludf.DUMMYFUNCTION("""COMPUTED_VALUE"""),"SI")</f>
        <v>SI</v>
      </c>
      <c r="O250" s="20" t="str">
        <f ca="1">IFERROR(__xludf.DUMMYFUNCTION("""COMPUTED_VALUE"""),"NO")</f>
        <v>NO</v>
      </c>
      <c r="P250" s="20">
        <f ca="1">IFERROR(__xludf.DUMMYFUNCTION("""COMPUTED_VALUE"""),0)</f>
        <v>0</v>
      </c>
      <c r="Q250" s="113" t="str">
        <f ca="1">IFERROR(__xludf.DUMMYFUNCTION("""COMPUTED_VALUE"""),"https://gld.legislaturacba.gob.ar/_cdd/api/Documento/descargar?guid=35ef5a53-f422-4b02-8400-409a160b5e7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v>
      </c>
      <c r="R250" s="113" t="str">
        <f ca="1">IFERROR(__xludf.DUMMYFUNCTION("""COMPUTED_VALUE"""),"https://www.youtube.com/watch?v=4D-gLaNHUHM")</f>
        <v>https://www.youtube.com/watch?v=4D-gLaNHUHM</v>
      </c>
      <c r="S250" s="113" t="str">
        <f ca="1">IFERROR(__xludf.DUMMYFUNCTION("""COMPUTED_VALUE"""),"https://gld.legislaturacba.gob.ar/Publics/Actas.aspx?id=curhkRNGj_E=")</f>
        <v>https://gld.legislaturacba.gob.ar/Publics/Actas.aspx?id=curhkRNGj_E=</v>
      </c>
      <c r="T250" s="99">
        <f t="shared" ca="1" si="0"/>
        <v>0</v>
      </c>
    </row>
    <row r="251" spans="1:20">
      <c r="A251" s="20">
        <f ca="1">IFERROR(__xludf.DUMMYFUNCTION("""COMPUTED_VALUE"""),13)</f>
        <v>13</v>
      </c>
      <c r="B251" s="20">
        <f ca="1">IFERROR(__xludf.DUMMYFUNCTION("""COMPUTED_VALUE"""),2021)</f>
        <v>2021</v>
      </c>
      <c r="C251" s="20" t="str">
        <f ca="1">IFERROR(__xludf.DUMMYFUNCTION("""COMPUTED_VALUE"""),"VIRTUAL")</f>
        <v>VIRTUAL</v>
      </c>
      <c r="D251" s="96">
        <f ca="1">IFERROR(__xludf.DUMMYFUNCTION("""COMPUTED_VALUE"""),44250)</f>
        <v>44250</v>
      </c>
      <c r="E251" s="20" t="str">
        <f ca="1">IFERROR(__xludf.DUMMYFUNCTION("""COMPUTED_VALUE"""),"NO")</f>
        <v>NO</v>
      </c>
      <c r="F251" s="20" t="str">
        <f ca="1">IFERROR(__xludf.DUMMYFUNCTION("""COMPUTED_VALUE"""),"LEGISLACIÓN DEL TRABAJO, PREVISIÓN Y SEGURIDAD SOCIAL")</f>
        <v>LEGISLACIÓN DEL TRABAJO, PREVISIÓN Y SEGURIDAD SOCIAL</v>
      </c>
      <c r="G251" s="20">
        <f ca="1">IFERROR(__xludf.DUMMYFUNCTION("""COMPUTED_VALUE"""),1)</f>
        <v>1</v>
      </c>
      <c r="H251" s="20">
        <f ca="1">IFERROR(__xludf.DUMMYFUNCTION("""COMPUTED_VALUE"""),1)</f>
        <v>1</v>
      </c>
      <c r="I251" s="20">
        <f ca="1">IFERROR(__xludf.DUMMYFUNCTION("""COMPUTED_VALUE"""),1)</f>
        <v>1</v>
      </c>
      <c r="J251" s="20" t="str">
        <f ca="1">IFERROR(__xludf.DUMMYFUNCTION("""COMPUTED_VALUE"""),"Ley")</f>
        <v>Ley</v>
      </c>
      <c r="K251" s="20">
        <f ca="1">IFERROR(__xludf.DUMMYFUNCTION("""COMPUTED_VALUE"""),32088)</f>
        <v>32088</v>
      </c>
      <c r="L251" s="20" t="str">
        <f ca="1">IFERROR(__xludf.DUMMYFUNCTION("""COMPUTED_VALUE"""),"Poder Legislativo Provincial")</f>
        <v>Poder Legislativo Provincial</v>
      </c>
      <c r="M251"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251" s="20" t="str">
        <f ca="1">IFERROR(__xludf.DUMMYFUNCTION("""COMPUTED_VALUE"""),"NO")</f>
        <v>NO</v>
      </c>
      <c r="O251" s="20" t="str">
        <f ca="1">IFERROR(__xludf.DUMMYFUNCTION("""COMPUTED_VALUE"""),"NO")</f>
        <v>NO</v>
      </c>
      <c r="P251" s="20">
        <f ca="1">IFERROR(__xludf.DUMMYFUNCTION("""COMPUTED_VALUE"""),0)</f>
        <v>0</v>
      </c>
      <c r="Q251" s="113" t="str">
        <f ca="1">IFERROR(__xludf.DUMMYFUNCTION("""COMPUTED_VALUE"""),"https://gld.legislaturacba.gob.ar/_cdd/api/Documento/descargar?guid=deef502d-ff6d-43ee-8143-a125a2b10878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v>
      </c>
      <c r="R251" s="113" t="str">
        <f ca="1">IFERROR(__xludf.DUMMYFUNCTION("""COMPUTED_VALUE"""),"https://www.youtube.com/watch?v=k0zVfDPHs2w")</f>
        <v>https://www.youtube.com/watch?v=k0zVfDPHs2w</v>
      </c>
      <c r="S251" s="113" t="str">
        <f ca="1">IFERROR(__xludf.DUMMYFUNCTION("""COMPUTED_VALUE"""),"https://gld.legislaturacba.gob.ar/Publics/Actas.aspx?id=MSvQq8WIofg=")</f>
        <v>https://gld.legislaturacba.gob.ar/Publics/Actas.aspx?id=MSvQq8WIofg=</v>
      </c>
      <c r="T251" s="99">
        <f t="shared" ca="1" si="0"/>
        <v>0</v>
      </c>
    </row>
    <row r="252" spans="1:20">
      <c r="A252" s="20">
        <f ca="1">IFERROR(__xludf.DUMMYFUNCTION("""COMPUTED_VALUE"""),14)</f>
        <v>14</v>
      </c>
      <c r="B252" s="20">
        <f ca="1">IFERROR(__xludf.DUMMYFUNCTION("""COMPUTED_VALUE"""),2021)</f>
        <v>2021</v>
      </c>
      <c r="C252" s="20" t="str">
        <f ca="1">IFERROR(__xludf.DUMMYFUNCTION("""COMPUTED_VALUE"""),"VIRTUAL")</f>
        <v>VIRTUAL</v>
      </c>
      <c r="D252" s="96">
        <f ca="1">IFERROR(__xludf.DUMMYFUNCTION("""COMPUTED_VALUE"""),44250)</f>
        <v>44250</v>
      </c>
      <c r="E252" s="20" t="str">
        <f ca="1">IFERROR(__xludf.DUMMYFUNCTION("""COMPUTED_VALUE"""),"NO")</f>
        <v>NO</v>
      </c>
      <c r="F252" s="20" t="str">
        <f ca="1">IFERROR(__xludf.DUMMYFUNCTION("""COMPUTED_VALUE"""),"OBRAS PÚBLICAS, VIVIENDA Y COMUNICACIONES")</f>
        <v>OBRAS PÚBLICAS, VIVIENDA Y COMUNICACIONES</v>
      </c>
      <c r="G252" s="20">
        <f ca="1">IFERROR(__xludf.DUMMYFUNCTION("""COMPUTED_VALUE"""),1)</f>
        <v>1</v>
      </c>
      <c r="H252" s="20">
        <f ca="1">IFERROR(__xludf.DUMMYFUNCTION("""COMPUTED_VALUE"""),1)</f>
        <v>1</v>
      </c>
      <c r="I252" s="20">
        <f ca="1">IFERROR(__xludf.DUMMYFUNCTION("""COMPUTED_VALUE"""),1)</f>
        <v>1</v>
      </c>
      <c r="J252" s="20" t="str">
        <f ca="1">IFERROR(__xludf.DUMMYFUNCTION("""COMPUTED_VALUE"""),"Ley")</f>
        <v>Ley</v>
      </c>
      <c r="K252" s="20">
        <f ca="1">IFERROR(__xludf.DUMMYFUNCTION("""COMPUTED_VALUE"""),32063)</f>
        <v>32063</v>
      </c>
      <c r="L252" s="20" t="str">
        <f ca="1">IFERROR(__xludf.DUMMYFUNCTION("""COMPUTED_VALUE"""),"Poder Ejecutivo Provincial")</f>
        <v>Poder Ejecutivo Provincial</v>
      </c>
      <c r="M252" s="20" t="str">
        <f ca="1">IFERROR(__xludf.DUMMYFUNCTION("""COMPUTED_VALUE"""),"Declarando de utilidad pública y sujeto a expropiación una fracción de terreno sita en Camino a Pajas Blancas, Barrio Alta Córdoba, Dpto. Capital, para la ejecución de la obra “Readecuación Ruta Provincial Nº E-53 - Tramo Avenida de Circunvalación-Estació"&amp;"n de Peaje”")</f>
        <v>Declarando de utilidad pública y sujeto a expropiación una fracción de terreno sita en Camino a Pajas Blancas, Barrio Alta Córdoba, Dpto. Capital, para la ejecución de la obra “Readecuación Ruta Provincial Nº E-53 - Tramo Avenida de Circunvalación-Estación de Peaje”</v>
      </c>
      <c r="N252" s="20" t="str">
        <f ca="1">IFERROR(__xludf.DUMMYFUNCTION("""COMPUTED_VALUE"""),"NO")</f>
        <v>NO</v>
      </c>
      <c r="O252" s="20" t="str">
        <f ca="1">IFERROR(__xludf.DUMMYFUNCTION("""COMPUTED_VALUE"""),"NO")</f>
        <v>NO</v>
      </c>
      <c r="P252" s="20">
        <f ca="1">IFERROR(__xludf.DUMMYFUNCTION("""COMPUTED_VALUE"""),0)</f>
        <v>0</v>
      </c>
      <c r="Q252" s="113" t="str">
        <f ca="1">IFERROR(__xludf.DUMMYFUNCTION("""COMPUTED_VALUE"""),"https://gld.legislaturacba.gob.ar/_cdd/api/Documento/descargar?guid=af8d5800-fec0-4d85-bd28-6d77ed711d0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v>
      </c>
      <c r="R252" s="113" t="str">
        <f ca="1">IFERROR(__xludf.DUMMYFUNCTION("""COMPUTED_VALUE"""),"https://www.youtube.com/watch?v=QdzTNEUrqFg")</f>
        <v>https://www.youtube.com/watch?v=QdzTNEUrqFg</v>
      </c>
      <c r="S252" s="113" t="str">
        <f ca="1">IFERROR(__xludf.DUMMYFUNCTION("""COMPUTED_VALUE"""),"https://gld.legislaturacba.gob.ar/Publics/Actas.aspx?id=EvlxxSp3QkY=")</f>
        <v>https://gld.legislaturacba.gob.ar/Publics/Actas.aspx?id=EvlxxSp3QkY=</v>
      </c>
      <c r="T252" s="99">
        <f t="shared" ca="1" si="0"/>
        <v>0</v>
      </c>
    </row>
    <row r="253" spans="1:20">
      <c r="A253" s="20">
        <f ca="1">IFERROR(__xludf.DUMMYFUNCTION("""COMPUTED_VALUE"""),15)</f>
        <v>15</v>
      </c>
      <c r="B253" s="20">
        <f ca="1">IFERROR(__xludf.DUMMYFUNCTION("""COMPUTED_VALUE"""),2021)</f>
        <v>2021</v>
      </c>
      <c r="C253" s="20" t="str">
        <f ca="1">IFERROR(__xludf.DUMMYFUNCTION("""COMPUTED_VALUE"""),"VIRTUAL")</f>
        <v>VIRTUAL</v>
      </c>
      <c r="D253" s="96">
        <f ca="1">IFERROR(__xludf.DUMMYFUNCTION("""COMPUTED_VALUE"""),44250)</f>
        <v>44250</v>
      </c>
      <c r="E253" s="20" t="str">
        <f ca="1">IFERROR(__xludf.DUMMYFUNCTION("""COMPUTED_VALUE"""),"SI")</f>
        <v>SI</v>
      </c>
      <c r="F253" s="20" t="str">
        <f ca="1">IFERROR(__xludf.DUMMYFUNCTION("""COMPUTED_VALUE"""),"AMBIENTE;OBRAS PÚBLICAS, VIVIENDA Y COMUNICACIONES;SERVICIOS PÚBLICOS")</f>
        <v>AMBIENTE;OBRAS PÚBLICAS, VIVIENDA Y COMUNICACIONES;SERVICIOS PÚBLICOS</v>
      </c>
      <c r="G253" s="20">
        <f ca="1">IFERROR(__xludf.DUMMYFUNCTION("""COMPUTED_VALUE"""),3)</f>
        <v>3</v>
      </c>
      <c r="H253" s="20">
        <f ca="1">IFERROR(__xludf.DUMMYFUNCTION("""COMPUTED_VALUE"""),1)</f>
        <v>1</v>
      </c>
      <c r="I253" s="20">
        <f ca="1">IFERROR(__xludf.DUMMYFUNCTION("""COMPUTED_VALUE"""),1)</f>
        <v>1</v>
      </c>
      <c r="J253" s="20" t="str">
        <f ca="1">IFERROR(__xludf.DUMMYFUNCTION("""COMPUTED_VALUE"""),"Resolución")</f>
        <v>Resolución</v>
      </c>
      <c r="K253" s="20">
        <f ca="1">IFERROR(__xludf.DUMMYFUNCTION("""COMPUTED_VALUE"""),31619)</f>
        <v>31619</v>
      </c>
      <c r="L253" s="20" t="str">
        <f ca="1">IFERROR(__xludf.DUMMYFUNCTION("""COMPUTED_VALUE"""),"Poder Legislativo Provincial")</f>
        <v>Poder Legislativo Provincial</v>
      </c>
      <c r="M253" s="20" t="str">
        <f ca="1">IFERROR(__xludf.DUMMYFUNCTION("""COMPUTED_VALUE"""),"Iniciado por la Legisladora Irazuzta, solicitando al poder ejecutivo informe (Art. 102 CP), a través de los Ministerios de Obras Públicas y Servicios Públicos, sobre algunos puntos relacionados a la obra del acueducto Santa fe - Córdoba")</f>
        <v>Iniciado por la Legisladora Irazuzta, solicitando al poder ejecutivo informe (Art. 102 CP), a través de los Ministerios de Obras Públicas y Servicios Públicos, sobre algunos puntos relacionados a la obra del acueducto Santa fe - Córdoba</v>
      </c>
      <c r="N253" s="20" t="str">
        <f ca="1">IFERROR(__xludf.DUMMYFUNCTION("""COMPUTED_VALUE"""),"NO")</f>
        <v>NO</v>
      </c>
      <c r="O253" s="20" t="str">
        <f ca="1">IFERROR(__xludf.DUMMYFUNCTION("""COMPUTED_VALUE"""),"SI")</f>
        <v>SI</v>
      </c>
      <c r="P253" s="20">
        <f ca="1">IFERROR(__xludf.DUMMYFUNCTION("""COMPUTED_VALUE"""),2)</f>
        <v>2</v>
      </c>
      <c r="Q253" s="113" t="str">
        <f ca="1">IFERROR(__xludf.DUMMYFUNCTION("""COMPUTED_VALUE"""),"https://gld.legislaturacba.gob.ar/_cdd/api/Documento/descargar?guid=a6565f91-b49d-43d8-a042-ff3bbcb6c9a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v>
      </c>
      <c r="R253" s="113" t="str">
        <f ca="1">IFERROR(__xludf.DUMMYFUNCTION("""COMPUTED_VALUE"""),"https://www.youtube.com/watch?v=7yFqQWm_lvw")</f>
        <v>https://www.youtube.com/watch?v=7yFqQWm_lvw</v>
      </c>
      <c r="S253" s="113" t="str">
        <f ca="1">IFERROR(__xludf.DUMMYFUNCTION("""COMPUTED_VALUE"""),"https://gld.legislaturacba.gob.ar/Publics/Actas.aspx?id=HvlzIJwn0B8=;https://gld.legislaturacba.gob.ar/Publics/Actas.aspx?id=MtV-LMjQE3Q=;https://gld.legislaturacba.gob.ar/Publics/Actas.aspx?id=Rbx75w7zhVo=")</f>
        <v>https://gld.legislaturacba.gob.ar/Publics/Actas.aspx?id=HvlzIJwn0B8=;https://gld.legislaturacba.gob.ar/Publics/Actas.aspx?id=MtV-LMjQE3Q=;https://gld.legislaturacba.gob.ar/Publics/Actas.aspx?id=Rbx75w7zhVo=</v>
      </c>
      <c r="T253" s="99">
        <f t="shared" ca="1" si="0"/>
        <v>0</v>
      </c>
    </row>
    <row r="254" spans="1:20">
      <c r="A254" s="20">
        <f ca="1">IFERROR(__xludf.DUMMYFUNCTION("""COMPUTED_VALUE"""),16)</f>
        <v>16</v>
      </c>
      <c r="B254" s="20">
        <f ca="1">IFERROR(__xludf.DUMMYFUNCTION("""COMPUTED_VALUE"""),2021)</f>
        <v>2021</v>
      </c>
      <c r="C254" s="20" t="str">
        <f ca="1">IFERROR(__xludf.DUMMYFUNCTION("""COMPUTED_VALUE"""),"VIRTUAL")</f>
        <v>VIRTUAL</v>
      </c>
      <c r="D254" s="96">
        <f ca="1">IFERROR(__xludf.DUMMYFUNCTION("""COMPUTED_VALUE"""),44251)</f>
        <v>44251</v>
      </c>
      <c r="E254" s="20" t="str">
        <f ca="1">IFERROR(__xludf.DUMMYFUNCTION("""COMPUTED_VALUE"""),"NO")</f>
        <v>NO</v>
      </c>
      <c r="F254" s="20" t="str">
        <f ca="1">IFERROR(__xludf.DUMMYFUNCTION("""COMPUTED_VALUE"""),"DEPORTES Y RECREACIÓN")</f>
        <v>DEPORTES Y RECREACIÓN</v>
      </c>
      <c r="G254" s="20">
        <f ca="1">IFERROR(__xludf.DUMMYFUNCTION("""COMPUTED_VALUE"""),1)</f>
        <v>1</v>
      </c>
      <c r="H254" s="20">
        <f ca="1">IFERROR(__xludf.DUMMYFUNCTION("""COMPUTED_VALUE"""),1)</f>
        <v>1</v>
      </c>
      <c r="I254" s="20">
        <f ca="1">IFERROR(__xludf.DUMMYFUNCTION("""COMPUTED_VALUE"""),1)</f>
        <v>1</v>
      </c>
      <c r="J254" s="20" t="str">
        <f ca="1">IFERROR(__xludf.DUMMYFUNCTION("""COMPUTED_VALUE"""),"NA")</f>
        <v>NA</v>
      </c>
      <c r="K254" s="20" t="str">
        <f ca="1">IFERROR(__xludf.DUMMYFUNCTION("""COMPUTED_VALUE"""),"NA")</f>
        <v>NA</v>
      </c>
      <c r="L254" s="20" t="str">
        <f ca="1">IFERROR(__xludf.DUMMYFUNCTION("""COMPUTED_VALUE"""),"NA")</f>
        <v>NA</v>
      </c>
      <c r="M254" s="20" t="str">
        <f ca="1">IFERROR(__xludf.DUMMYFUNCTION("""COMPUTED_VALUE"""),"Anteproyecto que prorroga la suspensión de ejecuciones dispuestas en proceso judicial que persigan la subasta de bienes inmuebles de asociaciones civiles, clubes o entidades sin fines de lucro")</f>
        <v>Anteproyecto que prorroga la suspensión de ejecuciones dispuestas en proceso judicial que persigan la subasta de bienes inmuebles de asociaciones civiles, clubes o entidades sin fines de lucro</v>
      </c>
      <c r="N254" s="20" t="str">
        <f ca="1">IFERROR(__xludf.DUMMYFUNCTION("""COMPUTED_VALUE"""),"NA")</f>
        <v>NA</v>
      </c>
      <c r="O254" s="20" t="str">
        <f ca="1">IFERROR(__xludf.DUMMYFUNCTION("""COMPUTED_VALUE"""),"NO")</f>
        <v>NO</v>
      </c>
      <c r="P254" s="20">
        <f ca="1">IFERROR(__xludf.DUMMYFUNCTION("""COMPUTED_VALUE"""),0)</f>
        <v>0</v>
      </c>
      <c r="Q254" s="113" t="str">
        <f ca="1">IFERROR(__xludf.DUMMYFUNCTION("""COMPUTED_VALUE"""),"https://gld.legislaturacba.gob.ar/_cdd/api/Documento/descargar?guid=494006d8-6ed1-4ba8-8ee3-6bff64a8b220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v>
      </c>
      <c r="R254" s="113" t="str">
        <f ca="1">IFERROR(__xludf.DUMMYFUNCTION("""COMPUTED_VALUE"""),"https://www.youtube.com/watch?v=eFcVj0dlImQ")</f>
        <v>https://www.youtube.com/watch?v=eFcVj0dlImQ</v>
      </c>
      <c r="S254" s="113" t="str">
        <f ca="1">IFERROR(__xludf.DUMMYFUNCTION("""COMPUTED_VALUE"""),"https://gld.legislaturacba.gob.ar/Publics/Actas.aspx?id=EzQBxvJVV9c=")</f>
        <v>https://gld.legislaturacba.gob.ar/Publics/Actas.aspx?id=EzQBxvJVV9c=</v>
      </c>
      <c r="T254" s="99">
        <f t="shared" ca="1" si="0"/>
        <v>0</v>
      </c>
    </row>
    <row r="255" spans="1:20">
      <c r="A255" s="20">
        <f ca="1">IFERROR(__xludf.DUMMYFUNCTION("""COMPUTED_VALUE"""),17)</f>
        <v>17</v>
      </c>
      <c r="B255" s="20">
        <f ca="1">IFERROR(__xludf.DUMMYFUNCTION("""COMPUTED_VALUE"""),2021)</f>
        <v>2021</v>
      </c>
      <c r="C255" s="20" t="str">
        <f ca="1">IFERROR(__xludf.DUMMYFUNCTION("""COMPUTED_VALUE"""),"VIRTUAL")</f>
        <v>VIRTUAL</v>
      </c>
      <c r="D255" s="96">
        <f ca="1">IFERROR(__xludf.DUMMYFUNCTION("""COMPUTED_VALUE"""),44252)</f>
        <v>44252</v>
      </c>
      <c r="E255" s="20" t="str">
        <f ca="1">IFERROR(__xludf.DUMMYFUNCTION("""COMPUTED_VALUE"""),"NO")</f>
        <v>NO</v>
      </c>
      <c r="F255" s="20" t="str">
        <f ca="1">IFERROR(__xludf.DUMMYFUNCTION("""COMPUTED_VALUE"""),"ASUNTOS CONSTITUCIONALES, JUSTICIA Y ACUERDOS")</f>
        <v>ASUNTOS CONSTITUCIONALES, JUSTICIA Y ACUERDOS</v>
      </c>
      <c r="G255" s="20">
        <f ca="1">IFERROR(__xludf.DUMMYFUNCTION("""COMPUTED_VALUE"""),1)</f>
        <v>1</v>
      </c>
      <c r="H255" s="20">
        <f ca="1">IFERROR(__xludf.DUMMYFUNCTION("""COMPUTED_VALUE"""),3)</f>
        <v>3</v>
      </c>
      <c r="I255" s="20">
        <f ca="1">IFERROR(__xludf.DUMMYFUNCTION("""COMPUTED_VALUE"""),1)</f>
        <v>1</v>
      </c>
      <c r="J255" s="20" t="str">
        <f ca="1">IFERROR(__xludf.DUMMYFUNCTION("""COMPUTED_VALUE"""),"Pliego")</f>
        <v>Pliego</v>
      </c>
      <c r="K255" s="20">
        <f ca="1">IFERROR(__xludf.DUMMYFUNCTION("""COMPUTED_VALUE"""),32058)</f>
        <v>32058</v>
      </c>
      <c r="L255" s="20" t="str">
        <f ca="1">IFERROR(__xludf.DUMMYFUNCTION("""COMPUTED_VALUE"""),"Poder Ejecutivo Provincial")</f>
        <v>Poder Ejecutivo Provincial</v>
      </c>
      <c r="M255" s="20" t="str">
        <f ca="1">IFERROR(__xludf.DUMMYFUNCTION("""COMPUTED_VALUE"""),"Solicitando acuerdo para designar al abogado Miguel Ángel Martínez Juez de Primera Instancia en lo Civil y Comercial de 1ª Nominación de la Primera Circunscripción Judicial con asiento en la ciudad de Córdoba")</f>
        <v>Solicitando acuerdo para designar al abogado Miguel Ángel Martínez Juez de Primera Instancia en lo Civil y Comercial de 1ª Nominación de la Primera Circunscripción Judicial con asiento en la ciudad de Córdoba</v>
      </c>
      <c r="N255" s="20" t="str">
        <f ca="1">IFERROR(__xludf.DUMMYFUNCTION("""COMPUTED_VALUE"""),"SI")</f>
        <v>SI</v>
      </c>
      <c r="O255" s="20" t="str">
        <f ca="1">IFERROR(__xludf.DUMMYFUNCTION("""COMPUTED_VALUE"""),"NO")</f>
        <v>NO</v>
      </c>
      <c r="P255" s="20">
        <f ca="1">IFERROR(__xludf.DUMMYFUNCTION("""COMPUTED_VALUE"""),0)</f>
        <v>0</v>
      </c>
      <c r="Q255" s="113" t="str">
        <f ca="1">IFERROR(__xludf.DUMMYFUNCTION("""COMPUTED_VALUE"""),"https://gld.legislaturacba.gob.ar/_cdd/api/Documento/descargar?guid=f8263d53-a807-4564-9dbb-713e98d5b575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v>
      </c>
      <c r="R255" s="113" t="str">
        <f ca="1">IFERROR(__xludf.DUMMYFUNCTION("""COMPUTED_VALUE"""),"https://www.youtube.com/watch?v=NNQZBII8_eE")</f>
        <v>https://www.youtube.com/watch?v=NNQZBII8_eE</v>
      </c>
      <c r="S255" s="113" t="str">
        <f ca="1">IFERROR(__xludf.DUMMYFUNCTION("""COMPUTED_VALUE"""),"https://gld.legislaturacba.gob.ar/Publics/Actas.aspx?id=y05J9ZCKxwU=")</f>
        <v>https://gld.legislaturacba.gob.ar/Publics/Actas.aspx?id=y05J9ZCKxwU=</v>
      </c>
      <c r="T255" s="99">
        <f t="shared" ca="1" si="0"/>
        <v>0</v>
      </c>
    </row>
    <row r="256" spans="1:20">
      <c r="A256" s="20">
        <f ca="1">IFERROR(__xludf.DUMMYFUNCTION("""COMPUTED_VALUE"""),18)</f>
        <v>18</v>
      </c>
      <c r="B256" s="20">
        <f ca="1">IFERROR(__xludf.DUMMYFUNCTION("""COMPUTED_VALUE"""),2021)</f>
        <v>2021</v>
      </c>
      <c r="C256" s="20" t="str">
        <f ca="1">IFERROR(__xludf.DUMMYFUNCTION("""COMPUTED_VALUE"""),"VIRTUAL")</f>
        <v>VIRTUAL</v>
      </c>
      <c r="D256" s="96">
        <f ca="1">IFERROR(__xludf.DUMMYFUNCTION("""COMPUTED_VALUE"""),44252)</f>
        <v>44252</v>
      </c>
      <c r="E256" s="20" t="str">
        <f ca="1">IFERROR(__xludf.DUMMYFUNCTION("""COMPUTED_VALUE"""),"NO")</f>
        <v>NO</v>
      </c>
      <c r="F256" s="20" t="str">
        <f ca="1">IFERROR(__xludf.DUMMYFUNCTION("""COMPUTED_VALUE"""),"ASUNTOS INSTITUCIONALES, MUNICIPALES Y COMUNALES")</f>
        <v>ASUNTOS INSTITUCIONALES, MUNICIPALES Y COMUNALES</v>
      </c>
      <c r="G256" s="20">
        <f ca="1">IFERROR(__xludf.DUMMYFUNCTION("""COMPUTED_VALUE"""),1)</f>
        <v>1</v>
      </c>
      <c r="H256" s="20">
        <f ca="1">IFERROR(__xludf.DUMMYFUNCTION("""COMPUTED_VALUE"""),1)</f>
        <v>1</v>
      </c>
      <c r="I256" s="20">
        <f ca="1">IFERROR(__xludf.DUMMYFUNCTION("""COMPUTED_VALUE"""),1)</f>
        <v>1</v>
      </c>
      <c r="J256" s="20" t="str">
        <f ca="1">IFERROR(__xludf.DUMMYFUNCTION("""COMPUTED_VALUE"""),"NA")</f>
        <v>NA</v>
      </c>
      <c r="K256" s="20" t="str">
        <f ca="1">IFERROR(__xludf.DUMMYFUNCTION("""COMPUTED_VALUE"""),"NA")</f>
        <v>NA</v>
      </c>
      <c r="L256" s="20" t="str">
        <f ca="1">IFERROR(__xludf.DUMMYFUNCTION("""COMPUTED_VALUE"""),"NA")</f>
        <v>NA</v>
      </c>
      <c r="M256" s="20" t="str">
        <f ca="1">IFERROR(__xludf.DUMMYFUNCTION("""COMPUTED_VALUE"""),"Smart Cities y modelos PAYT (Pagar sólo por lo que se desecha): Experiencias comparadas y prospectivas")</f>
        <v>Smart Cities y modelos PAYT (Pagar sólo por lo que se desecha): Experiencias comparadas y prospectivas</v>
      </c>
      <c r="N256" s="20" t="str">
        <f ca="1">IFERROR(__xludf.DUMMYFUNCTION("""COMPUTED_VALUE"""),"NA")</f>
        <v>NA</v>
      </c>
      <c r="O256" s="20" t="str">
        <f ca="1">IFERROR(__xludf.DUMMYFUNCTION("""COMPUTED_VALUE"""),"SI")</f>
        <v>SI</v>
      </c>
      <c r="P256" s="20">
        <f ca="1">IFERROR(__xludf.DUMMYFUNCTION("""COMPUTED_VALUE"""),1)</f>
        <v>1</v>
      </c>
      <c r="Q256" s="113" t="str">
        <f ca="1">IFERROR(__xludf.DUMMYFUNCTION("""COMPUTED_VALUE"""),"https://gld.legislaturacba.gob.ar/_cdd/api/Documento/descargar?guid=f0b0fd16-6e57-47d4-bbbf-19fd24195331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v>
      </c>
      <c r="R256" s="113" t="str">
        <f ca="1">IFERROR(__xludf.DUMMYFUNCTION("""COMPUTED_VALUE"""),"https://www.youtube.com/watch?v=PSBFKu3piew")</f>
        <v>https://www.youtube.com/watch?v=PSBFKu3piew</v>
      </c>
      <c r="S256" s="113" t="str">
        <f ca="1">IFERROR(__xludf.DUMMYFUNCTION("""COMPUTED_VALUE"""),"https://gld.legislaturacba.gob.ar/Publics/Actas.aspx?id=Lq9I7CY9r2s=")</f>
        <v>https://gld.legislaturacba.gob.ar/Publics/Actas.aspx?id=Lq9I7CY9r2s=</v>
      </c>
      <c r="T256" s="99">
        <f t="shared" ca="1" si="0"/>
        <v>0</v>
      </c>
    </row>
    <row r="257" spans="1:20">
      <c r="A257" s="20">
        <f ca="1">IFERROR(__xludf.DUMMYFUNCTION("""COMPUTED_VALUE"""),19)</f>
        <v>19</v>
      </c>
      <c r="B257" s="20">
        <f ca="1">IFERROR(__xludf.DUMMYFUNCTION("""COMPUTED_VALUE"""),2021)</f>
        <v>2021</v>
      </c>
      <c r="C257" s="20" t="str">
        <f ca="1">IFERROR(__xludf.DUMMYFUNCTION("""COMPUTED_VALUE"""),"VIRTUAL")</f>
        <v>VIRTUAL</v>
      </c>
      <c r="D257" s="96">
        <f ca="1">IFERROR(__xludf.DUMMYFUNCTION("""COMPUTED_VALUE"""),44252)</f>
        <v>44252</v>
      </c>
      <c r="E257" s="20" t="str">
        <f ca="1">IFERROR(__xludf.DUMMYFUNCTION("""COMPUTED_VALUE"""),"NO")</f>
        <v>NO</v>
      </c>
      <c r="F257" s="20" t="str">
        <f ca="1">IFERROR(__xludf.DUMMYFUNCTION("""COMPUTED_VALUE"""),"ECONOMÍA, PRESUPUESTO, GESTIÓN PÚBLICA E INNOVACIÓN")</f>
        <v>ECONOMÍA, PRESUPUESTO, GESTIÓN PÚBLICA E INNOVACIÓN</v>
      </c>
      <c r="G257" s="20">
        <f ca="1">IFERROR(__xludf.DUMMYFUNCTION("""COMPUTED_VALUE"""),1)</f>
        <v>1</v>
      </c>
      <c r="H257" s="20">
        <f ca="1">IFERROR(__xludf.DUMMYFUNCTION("""COMPUTED_VALUE"""),1)</f>
        <v>1</v>
      </c>
      <c r="I257" s="20">
        <f ca="1">IFERROR(__xludf.DUMMYFUNCTION("""COMPUTED_VALUE"""),1)</f>
        <v>1</v>
      </c>
      <c r="J257" s="20" t="str">
        <f ca="1">IFERROR(__xludf.DUMMYFUNCTION("""COMPUTED_VALUE"""),"Ley")</f>
        <v>Ley</v>
      </c>
      <c r="K257" s="20">
        <f ca="1">IFERROR(__xludf.DUMMYFUNCTION("""COMPUTED_VALUE"""),32063)</f>
        <v>32063</v>
      </c>
      <c r="L257" s="20" t="str">
        <f ca="1">IFERROR(__xludf.DUMMYFUNCTION("""COMPUTED_VALUE"""),"Poder Ejecutivo Provincial")</f>
        <v>Poder Ejecutivo Provincial</v>
      </c>
      <c r="M257" s="20" t="str">
        <f ca="1">IFERROR(__xludf.DUMMYFUNCTION("""COMPUTED_VALUE"""),"Declarando de utilidad pública y sujeto a expropiación una fracción de terreno sita en Camino a Pajas Blancas, Barrio Alta Córdoba, Dpto. Capital, para la ejecución de la obra “Readecuación Ruta Provincial Nº E-53 - Tramo Avenida de Circunvalación-Estació"&amp;"n de Peaje”")</f>
        <v>Declarando de utilidad pública y sujeto a expropiación una fracción de terreno sita en Camino a Pajas Blancas, Barrio Alta Córdoba, Dpto. Capital, para la ejecución de la obra “Readecuación Ruta Provincial Nº E-53 - Tramo Avenida de Circunvalación-Estación de Peaje”</v>
      </c>
      <c r="N257" s="20" t="str">
        <f ca="1">IFERROR(__xludf.DUMMYFUNCTION("""COMPUTED_VALUE"""),"NO")</f>
        <v>NO</v>
      </c>
      <c r="O257" s="20" t="str">
        <f ca="1">IFERROR(__xludf.DUMMYFUNCTION("""COMPUTED_VALUE"""),"NO")</f>
        <v>NO</v>
      </c>
      <c r="P257" s="20">
        <f ca="1">IFERROR(__xludf.DUMMYFUNCTION("""COMPUTED_VALUE"""),0)</f>
        <v>0</v>
      </c>
      <c r="Q257" s="113" t="str">
        <f ca="1">IFERROR(__xludf.DUMMYFUNCTION("""COMPUTED_VALUE"""),"https://gld.legislaturacba.gob.ar/_cdd/api/Documento/descargar?guid=a0336489-7698-4879-a0c3-54603ac1a359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v>
      </c>
      <c r="R257" s="113" t="str">
        <f ca="1">IFERROR(__xludf.DUMMYFUNCTION("""COMPUTED_VALUE"""),"https://www.youtube.com/watch?v=QwMY5H24VMg")</f>
        <v>https://www.youtube.com/watch?v=QwMY5H24VMg</v>
      </c>
      <c r="S257" s="113" t="str">
        <f ca="1">IFERROR(__xludf.DUMMYFUNCTION("""COMPUTED_VALUE"""),"https://gld.legislaturacba.gob.ar/Publics/Actas.aspx?id=QAGE3IJBB9g=")</f>
        <v>https://gld.legislaturacba.gob.ar/Publics/Actas.aspx?id=QAGE3IJBB9g=</v>
      </c>
      <c r="T257" s="99">
        <f t="shared" ca="1" si="0"/>
        <v>0</v>
      </c>
    </row>
    <row r="258" spans="1:20">
      <c r="A258" s="20">
        <f ca="1">IFERROR(__xludf.DUMMYFUNCTION("""COMPUTED_VALUE"""),20)</f>
        <v>20</v>
      </c>
      <c r="B258" s="20">
        <f ca="1">IFERROR(__xludf.DUMMYFUNCTION("""COMPUTED_VALUE"""),2021)</f>
        <v>2021</v>
      </c>
      <c r="C258" s="20" t="str">
        <f ca="1">IFERROR(__xludf.DUMMYFUNCTION("""COMPUTED_VALUE"""),"VIRTUAL")</f>
        <v>VIRTUAL</v>
      </c>
      <c r="D258" s="96">
        <f ca="1">IFERROR(__xludf.DUMMYFUNCTION("""COMPUTED_VALUE"""),44257)</f>
        <v>44257</v>
      </c>
      <c r="E258" s="20" t="str">
        <f ca="1">IFERROR(__xludf.DUMMYFUNCTION("""COMPUTED_VALUE"""),"NO")</f>
        <v>NO</v>
      </c>
      <c r="F258" s="20" t="str">
        <f ca="1">IFERROR(__xludf.DUMMYFUNCTION("""COMPUTED_VALUE"""),"LEGISLACIÓN DEL TRABAJO, PREVISIÓN Y SEGURIDAD SOCIAL")</f>
        <v>LEGISLACIÓN DEL TRABAJO, PREVISIÓN Y SEGURIDAD SOCIAL</v>
      </c>
      <c r="G258" s="20">
        <f ca="1">IFERROR(__xludf.DUMMYFUNCTION("""COMPUTED_VALUE"""),1)</f>
        <v>1</v>
      </c>
      <c r="H258" s="20">
        <f ca="1">IFERROR(__xludf.DUMMYFUNCTION("""COMPUTED_VALUE"""),1)</f>
        <v>1</v>
      </c>
      <c r="I258" s="20">
        <f ca="1">IFERROR(__xludf.DUMMYFUNCTION("""COMPUTED_VALUE"""),1)</f>
        <v>1</v>
      </c>
      <c r="J258" s="20" t="str">
        <f ca="1">IFERROR(__xludf.DUMMYFUNCTION("""COMPUTED_VALUE"""),"Ley")</f>
        <v>Ley</v>
      </c>
      <c r="K258" s="20">
        <f ca="1">IFERROR(__xludf.DUMMYFUNCTION("""COMPUTED_VALUE"""),32088)</f>
        <v>32088</v>
      </c>
      <c r="L258" s="20" t="str">
        <f ca="1">IFERROR(__xludf.DUMMYFUNCTION("""COMPUTED_VALUE"""),"Poder Legislativo Provincial")</f>
        <v>Poder Legislativo Provincial</v>
      </c>
      <c r="M258"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258" s="20" t="str">
        <f ca="1">IFERROR(__xludf.DUMMYFUNCTION("""COMPUTED_VALUE"""),"NO")</f>
        <v>NO</v>
      </c>
      <c r="O258" s="20" t="str">
        <f ca="1">IFERROR(__xludf.DUMMYFUNCTION("""COMPUTED_VALUE"""),"SI")</f>
        <v>SI</v>
      </c>
      <c r="P258" s="20">
        <f ca="1">IFERROR(__xludf.DUMMYFUNCTION("""COMPUTED_VALUE"""),10)</f>
        <v>10</v>
      </c>
      <c r="Q258" s="113" t="str">
        <f ca="1">IFERROR(__xludf.DUMMYFUNCTION("""COMPUTED_VALUE"""),"https://gld.legislaturacba.gob.ar/_cdd/api/Documento/descargar?guid=f4483b3b-73e8-4216-bc19-05751c16f488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v>
      </c>
      <c r="R258" s="113" t="str">
        <f ca="1">IFERROR(__xludf.DUMMYFUNCTION("""COMPUTED_VALUE"""),"https://www.youtube.com/watch?v=VvE2UhEXwfc")</f>
        <v>https://www.youtube.com/watch?v=VvE2UhEXwfc</v>
      </c>
      <c r="S258" s="113" t="str">
        <f ca="1">IFERROR(__xludf.DUMMYFUNCTION("""COMPUTED_VALUE"""),"https://gld.legislaturacba.gob.ar/Publics/Actas.aspx?id=S2UWuN0HG4A=")</f>
        <v>https://gld.legislaturacba.gob.ar/Publics/Actas.aspx?id=S2UWuN0HG4A=</v>
      </c>
      <c r="T258" s="99">
        <f t="shared" ca="1" si="0"/>
        <v>0</v>
      </c>
    </row>
    <row r="259" spans="1:20">
      <c r="A259" s="20">
        <f ca="1">IFERROR(__xludf.DUMMYFUNCTION("""COMPUTED_VALUE"""),21)</f>
        <v>21</v>
      </c>
      <c r="B259" s="20">
        <f ca="1">IFERROR(__xludf.DUMMYFUNCTION("""COMPUTED_VALUE"""),2021)</f>
        <v>2021</v>
      </c>
      <c r="C259" s="20" t="str">
        <f ca="1">IFERROR(__xludf.DUMMYFUNCTION("""COMPUTED_VALUE"""),"VIRTUAL")</f>
        <v>VIRTUAL</v>
      </c>
      <c r="D259" s="96">
        <f ca="1">IFERROR(__xludf.DUMMYFUNCTION("""COMPUTED_VALUE"""),44257)</f>
        <v>44257</v>
      </c>
      <c r="E259" s="20" t="str">
        <f ca="1">IFERROR(__xludf.DUMMYFUNCTION("""COMPUTED_VALUE"""),"NO")</f>
        <v>NO</v>
      </c>
      <c r="F259" s="20" t="str">
        <f ca="1">IFERROR(__xludf.DUMMYFUNCTION("""COMPUTED_VALUE"""),"SERVICIOS PÚBLICOS")</f>
        <v>SERVICIOS PÚBLICOS</v>
      </c>
      <c r="G259" s="20">
        <f ca="1">IFERROR(__xludf.DUMMYFUNCTION("""COMPUTED_VALUE"""),1)</f>
        <v>1</v>
      </c>
      <c r="H259" s="20">
        <f ca="1">IFERROR(__xludf.DUMMYFUNCTION("""COMPUTED_VALUE"""),1)</f>
        <v>1</v>
      </c>
      <c r="I259" s="20">
        <f ca="1">IFERROR(__xludf.DUMMYFUNCTION("""COMPUTED_VALUE"""),1)</f>
        <v>1</v>
      </c>
      <c r="J259" s="20" t="str">
        <f ca="1">IFERROR(__xludf.DUMMYFUNCTION("""COMPUTED_VALUE"""),"Resolución")</f>
        <v>Resolución</v>
      </c>
      <c r="K259" s="20">
        <f ca="1">IFERROR(__xludf.DUMMYFUNCTION("""COMPUTED_VALUE"""),32151)</f>
        <v>32151</v>
      </c>
      <c r="L259" s="20" t="str">
        <f ca="1">IFERROR(__xludf.DUMMYFUNCTION("""COMPUTED_VALUE"""),"Poder Legislativo Provincial")</f>
        <v>Poder Legislativo Provincial</v>
      </c>
      <c r="M259" s="20" t="str">
        <f ca="1">IFERROR(__xludf.DUMMYFUNCTION("""COMPUTED_VALUE"""),"Cita a Silvina Rivero situación servicio de transporte urbano e interurbano")</f>
        <v>Cita a Silvina Rivero situación servicio de transporte urbano e interurbano</v>
      </c>
      <c r="N259" s="20" t="str">
        <f ca="1">IFERROR(__xludf.DUMMYFUNCTION("""COMPUTED_VALUE"""),"NO")</f>
        <v>NO</v>
      </c>
      <c r="O259" s="20" t="str">
        <f ca="1">IFERROR(__xludf.DUMMYFUNCTION("""COMPUTED_VALUE"""),"SI")</f>
        <v>SI</v>
      </c>
      <c r="P259" s="20">
        <f ca="1">IFERROR(__xludf.DUMMYFUNCTION("""COMPUTED_VALUE"""),1)</f>
        <v>1</v>
      </c>
      <c r="Q259" s="113" t="str">
        <f ca="1">IFERROR(__xludf.DUMMYFUNCTION("""COMPUTED_VALUE"""),"https://gld.legislaturacba.gob.ar/_cdd/api/Documento/descargar?guid=56c8d2d4-09cd-421a-afca-09f570ec7c6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v>
      </c>
      <c r="R259" s="113" t="str">
        <f ca="1">IFERROR(__xludf.DUMMYFUNCTION("""COMPUTED_VALUE"""),"https://www.youtube.com/watch?v=GNyTHaTOV6A")</f>
        <v>https://www.youtube.com/watch?v=GNyTHaTOV6A</v>
      </c>
      <c r="S259" s="113" t="str">
        <f ca="1">IFERROR(__xludf.DUMMYFUNCTION("""COMPUTED_VALUE"""),"https://gld.legislaturacba.gob.ar/Publics/Actas.aspx?id=AXEtU6c8EK8=")</f>
        <v>https://gld.legislaturacba.gob.ar/Publics/Actas.aspx?id=AXEtU6c8EK8=</v>
      </c>
      <c r="T259" s="99">
        <f t="shared" ca="1" si="0"/>
        <v>0</v>
      </c>
    </row>
    <row r="260" spans="1:20">
      <c r="A260" s="20">
        <f ca="1">IFERROR(__xludf.DUMMYFUNCTION("""COMPUTED_VALUE"""),22)</f>
        <v>22</v>
      </c>
      <c r="B260" s="20">
        <f ca="1">IFERROR(__xludf.DUMMYFUNCTION("""COMPUTED_VALUE"""),2021)</f>
        <v>2021</v>
      </c>
      <c r="C260" s="20" t="str">
        <f ca="1">IFERROR(__xludf.DUMMYFUNCTION("""COMPUTED_VALUE"""),"VIRTUAL")</f>
        <v>VIRTUAL</v>
      </c>
      <c r="D260" s="96">
        <f ca="1">IFERROR(__xludf.DUMMYFUNCTION("""COMPUTED_VALUE"""),44257)</f>
        <v>44257</v>
      </c>
      <c r="E260" s="20" t="str">
        <f ca="1">IFERROR(__xludf.DUMMYFUNCTION("""COMPUTED_VALUE"""),"SI")</f>
        <v>SI</v>
      </c>
      <c r="F260" s="20" t="str">
        <f ca="1">IFERROR(__xludf.DUMMYFUNCTION("""COMPUTED_VALUE"""),"OBRAS PÚBLICAS, VIVIENDA Y COMUNICACIONES;SALUD HUMANA;SERVICIOS PÚBLICOS")</f>
        <v>OBRAS PÚBLICAS, VIVIENDA Y COMUNICACIONES;SALUD HUMANA;SERVICIOS PÚBLICOS</v>
      </c>
      <c r="G260" s="20">
        <f ca="1">IFERROR(__xludf.DUMMYFUNCTION("""COMPUTED_VALUE"""),3)</f>
        <v>3</v>
      </c>
      <c r="H260" s="20">
        <f ca="1">IFERROR(__xludf.DUMMYFUNCTION("""COMPUTED_VALUE"""),1)</f>
        <v>1</v>
      </c>
      <c r="I260" s="20">
        <f ca="1">IFERROR(__xludf.DUMMYFUNCTION("""COMPUTED_VALUE"""),1)</f>
        <v>1</v>
      </c>
      <c r="J260" s="20" t="str">
        <f ca="1">IFERROR(__xludf.DUMMYFUNCTION("""COMPUTED_VALUE"""),"Ley")</f>
        <v>Ley</v>
      </c>
      <c r="K260" s="20">
        <f ca="1">IFERROR(__xludf.DUMMYFUNCTION("""COMPUTED_VALUE"""),15563)</f>
        <v>15563</v>
      </c>
      <c r="L260" s="20" t="str">
        <f ca="1">IFERROR(__xludf.DUMMYFUNCTION("""COMPUTED_VALUE"""),"Poder Legislativo Provincial")</f>
        <v>Poder Legislativo Provincial</v>
      </c>
      <c r="M260" s="20" t="str">
        <f ca="1">IFERROR(__xludf.DUMMYFUNCTION("""COMPUTED_VALUE"""),"Instrumentando la ""Campaña Provincial de prevención contra la intoxicación por monóxido de carbono"", con el objeto de difundir la problemática")</f>
        <v>Instrumentando la "Campaña Provincial de prevención contra la intoxicación por monóxido de carbono", con el objeto de difundir la problemática</v>
      </c>
      <c r="N260" s="20" t="str">
        <f ca="1">IFERROR(__xludf.DUMMYFUNCTION("""COMPUTED_VALUE"""),"NO")</f>
        <v>NO</v>
      </c>
      <c r="O260" s="20" t="str">
        <f ca="1">IFERROR(__xludf.DUMMYFUNCTION("""COMPUTED_VALUE"""),"SI")</f>
        <v>SI</v>
      </c>
      <c r="P260" s="20">
        <f ca="1">IFERROR(__xludf.DUMMYFUNCTION("""COMPUTED_VALUE"""),1)</f>
        <v>1</v>
      </c>
      <c r="Q260" s="113" t="str">
        <f ca="1">IFERROR(__xludf.DUMMYFUNCTION("""COMPUTED_VALUE"""),"https://gld.legislaturacba.gob.ar/_cdd/api/Documento/descargar?guid=ffe5ebcc-0af8-4531-be65-0a154566a5e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v>
      </c>
      <c r="R260" s="113" t="str">
        <f ca="1">IFERROR(__xludf.DUMMYFUNCTION("""COMPUTED_VALUE"""),"https://www.youtube.com/watch?v=Z2ibNcVzFZ4")</f>
        <v>https://www.youtube.com/watch?v=Z2ibNcVzFZ4</v>
      </c>
      <c r="S260" s="113" t="str">
        <f ca="1">IFERROR(__xludf.DUMMYFUNCTION("""COMPUTED_VALUE"""),"https://gld.legislaturacba.gob.ar/Publics/Actas.aspx?id=F4zYpuQRl58=;https://gld.legislaturacba.gob.ar/Publics/Actas.aspx?id=brVZmKu3QNs=;https://gld.legislaturacba.gob.ar/Publics/Actas.aspx?id=es5tfMYKJz8=")</f>
        <v>https://gld.legislaturacba.gob.ar/Publics/Actas.aspx?id=F4zYpuQRl58=;https://gld.legislaturacba.gob.ar/Publics/Actas.aspx?id=brVZmKu3QNs=;https://gld.legislaturacba.gob.ar/Publics/Actas.aspx?id=es5tfMYKJz8=</v>
      </c>
      <c r="T260" s="99">
        <f t="shared" ca="1" si="0"/>
        <v>0</v>
      </c>
    </row>
    <row r="261" spans="1:20">
      <c r="A261" s="20">
        <f ca="1">IFERROR(__xludf.DUMMYFUNCTION("""COMPUTED_VALUE"""),23)</f>
        <v>23</v>
      </c>
      <c r="B261" s="20">
        <f ca="1">IFERROR(__xludf.DUMMYFUNCTION("""COMPUTED_VALUE"""),2021)</f>
        <v>2021</v>
      </c>
      <c r="C261" s="20" t="str">
        <f ca="1">IFERROR(__xludf.DUMMYFUNCTION("""COMPUTED_VALUE"""),"VIRTUAL")</f>
        <v>VIRTUAL</v>
      </c>
      <c r="D261" s="96">
        <f ca="1">IFERROR(__xludf.DUMMYFUNCTION("""COMPUTED_VALUE"""),44257)</f>
        <v>44257</v>
      </c>
      <c r="E261" s="20" t="str">
        <f ca="1">IFERROR(__xludf.DUMMYFUNCTION("""COMPUTED_VALUE"""),"NO")</f>
        <v>NO</v>
      </c>
      <c r="F261" s="20" t="str">
        <f ca="1">IFERROR(__xludf.DUMMYFUNCTION("""COMPUTED_VALUE"""),"ASUNTOS CONSTITUCIONALES, JUSTICIA Y ACUERDOS")</f>
        <v>ASUNTOS CONSTITUCIONALES, JUSTICIA Y ACUERDOS</v>
      </c>
      <c r="G261" s="20">
        <f ca="1">IFERROR(__xludf.DUMMYFUNCTION("""COMPUTED_VALUE"""),1)</f>
        <v>1</v>
      </c>
      <c r="H261" s="20">
        <f ca="1">IFERROR(__xludf.DUMMYFUNCTION("""COMPUTED_VALUE"""),2)</f>
        <v>2</v>
      </c>
      <c r="I261" s="20">
        <f ca="1">IFERROR(__xludf.DUMMYFUNCTION("""COMPUTED_VALUE"""),1)</f>
        <v>1</v>
      </c>
      <c r="J261" s="20" t="str">
        <f ca="1">IFERROR(__xludf.DUMMYFUNCTION("""COMPUTED_VALUE"""),"Pliego")</f>
        <v>Pliego</v>
      </c>
      <c r="K261" s="20">
        <f ca="1">IFERROR(__xludf.DUMMYFUNCTION("""COMPUTED_VALUE"""),32061)</f>
        <v>32061</v>
      </c>
      <c r="L261" s="20" t="str">
        <f ca="1">IFERROR(__xludf.DUMMYFUNCTION("""COMPUTED_VALUE"""),"Poder Ejecutivo Provincial")</f>
        <v>Poder Ejecutivo Provincial</v>
      </c>
      <c r="M261" s="20" t="str">
        <f ca="1">IFERROR(__xludf.DUMMYFUNCTION("""COMPUTED_VALUE"""),"Solicitando acuerdo para designar al abogado Aquiles Julio Villalba Juez de Primera Instancia en lo Civil y Comercial de 31º Nominación de la Primera Circunscripción Judicial con asiento en la ciudad de Córdoba")</f>
        <v>Solicitando acuerdo para designar al abogado Aquiles Julio Villalba Juez de Primera Instancia en lo Civil y Comercial de 31º Nominación de la Primera Circunscripción Judicial con asiento en la ciudad de Córdoba</v>
      </c>
      <c r="N261" s="20" t="str">
        <f ca="1">IFERROR(__xludf.DUMMYFUNCTION("""COMPUTED_VALUE"""),"SI")</f>
        <v>SI</v>
      </c>
      <c r="O261" s="20" t="str">
        <f ca="1">IFERROR(__xludf.DUMMYFUNCTION("""COMPUTED_VALUE"""),"NO")</f>
        <v>NO</v>
      </c>
      <c r="P261" s="20">
        <f ca="1">IFERROR(__xludf.DUMMYFUNCTION("""COMPUTED_VALUE"""),0)</f>
        <v>0</v>
      </c>
      <c r="Q261" s="113" t="str">
        <f ca="1">IFERROR(__xludf.DUMMYFUNCTION("""COMPUTED_VALUE"""),"https://gld.legislaturacba.gob.ar/_cdd/api/Documento/descargar?guid=b72ff212-2a04-47c3-a254-5a69cba84f73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v>
      </c>
      <c r="R261" s="113" t="str">
        <f ca="1">IFERROR(__xludf.DUMMYFUNCTION("""COMPUTED_VALUE"""),"https://www.youtube.com/watch?v=Mo_k2uBGWsc")</f>
        <v>https://www.youtube.com/watch?v=Mo_k2uBGWsc</v>
      </c>
      <c r="S261" s="113" t="str">
        <f ca="1">IFERROR(__xludf.DUMMYFUNCTION("""COMPUTED_VALUE"""),"https://gld.legislaturacba.gob.ar/Publics/Actas.aspx?id=FvpwbRU64Gg=")</f>
        <v>https://gld.legislaturacba.gob.ar/Publics/Actas.aspx?id=FvpwbRU64Gg=</v>
      </c>
      <c r="T261" s="99">
        <f t="shared" ca="1" si="0"/>
        <v>0</v>
      </c>
    </row>
    <row r="262" spans="1:20">
      <c r="A262" s="20">
        <f ca="1">IFERROR(__xludf.DUMMYFUNCTION("""COMPUTED_VALUE"""),24)</f>
        <v>24</v>
      </c>
      <c r="B262" s="20">
        <f ca="1">IFERROR(__xludf.DUMMYFUNCTION("""COMPUTED_VALUE"""),2021)</f>
        <v>2021</v>
      </c>
      <c r="C262" s="20" t="str">
        <f ca="1">IFERROR(__xludf.DUMMYFUNCTION("""COMPUTED_VALUE"""),"VIRTUAL")</f>
        <v>VIRTUAL</v>
      </c>
      <c r="D262" s="96">
        <f ca="1">IFERROR(__xludf.DUMMYFUNCTION("""COMPUTED_VALUE"""),44258)</f>
        <v>44258</v>
      </c>
      <c r="E262" s="20" t="str">
        <f ca="1">IFERROR(__xludf.DUMMYFUNCTION("""COMPUTED_VALUE"""),"NO")</f>
        <v>NO</v>
      </c>
      <c r="F262" s="20" t="str">
        <f ca="1">IFERROR(__xludf.DUMMYFUNCTION("""COMPUTED_VALUE"""),"LEGISLACIÓN GENERAL")</f>
        <v>LEGISLACIÓN GENERAL</v>
      </c>
      <c r="G262" s="20">
        <f ca="1">IFERROR(__xludf.DUMMYFUNCTION("""COMPUTED_VALUE"""),1)</f>
        <v>1</v>
      </c>
      <c r="H262" s="20">
        <f ca="1">IFERROR(__xludf.DUMMYFUNCTION("""COMPUTED_VALUE"""),1)</f>
        <v>1</v>
      </c>
      <c r="I262" s="20">
        <f ca="1">IFERROR(__xludf.DUMMYFUNCTION("""COMPUTED_VALUE"""),1)</f>
        <v>1</v>
      </c>
      <c r="J262" s="20" t="str">
        <f ca="1">IFERROR(__xludf.DUMMYFUNCTION("""COMPUTED_VALUE"""),"Ley")</f>
        <v>Ley</v>
      </c>
      <c r="K262" s="20">
        <f ca="1">IFERROR(__xludf.DUMMYFUNCTION("""COMPUTED_VALUE"""),31975)</f>
        <v>31975</v>
      </c>
      <c r="L262" s="20" t="str">
        <f ca="1">IFERROR(__xludf.DUMMYFUNCTION("""COMPUTED_VALUE"""),"Poder Ejecutivo Provincial")</f>
        <v>Poder Ejecutivo Provincial</v>
      </c>
      <c r="M262" s="20" t="str">
        <f ca="1">IFERROR(__xludf.DUMMYFUNCTION("""COMPUTED_VALUE"""),"Modificando el radio comunal de la localidad de Arroyo Los Patos, ubicada en el Departamento San Alberto de la provincia de Córdoba, de conformidad a lo establecido por el artículo 4º de la Ley Nº 8102, según el plano confeccionado por la Comuna")</f>
        <v>Modificando el radio comunal de la localidad de Arroyo Los Patos, ubicada en el Departamento San Alberto de la provincia de Córdoba, de conformidad a lo establecido por el artículo 4º de la Ley Nº 8102, según el plano confeccionado por la Comuna</v>
      </c>
      <c r="N262" s="20" t="str">
        <f ca="1">IFERROR(__xludf.DUMMYFUNCTION("""COMPUTED_VALUE"""),"NO")</f>
        <v>NO</v>
      </c>
      <c r="O262" s="20" t="str">
        <f ca="1">IFERROR(__xludf.DUMMYFUNCTION("""COMPUTED_VALUE"""),"NO")</f>
        <v>NO</v>
      </c>
      <c r="P262" s="20">
        <f ca="1">IFERROR(__xludf.DUMMYFUNCTION("""COMPUTED_VALUE"""),0)</f>
        <v>0</v>
      </c>
      <c r="Q262" s="20" t="str">
        <f ca="1">IFERROR(__xludf.DUMMYFUNCTION("""COMPUTED_VALUE"""),"NA")</f>
        <v>NA</v>
      </c>
      <c r="R262" s="113" t="str">
        <f ca="1">IFERROR(__xludf.DUMMYFUNCTION("""COMPUTED_VALUE"""),"https://www.youtube.com/watch?v=GliYZPPXFt8")</f>
        <v>https://www.youtube.com/watch?v=GliYZPPXFt8</v>
      </c>
      <c r="S262" s="113" t="str">
        <f ca="1">IFERROR(__xludf.DUMMYFUNCTION("""COMPUTED_VALUE"""),"https://gld.legislaturacba.gob.ar/Publics/Actas.aspx?id=LXj1jiBxSLQ=")</f>
        <v>https://gld.legislaturacba.gob.ar/Publics/Actas.aspx?id=LXj1jiBxSLQ=</v>
      </c>
      <c r="T262" s="99">
        <f t="shared" ca="1" si="0"/>
        <v>0</v>
      </c>
    </row>
    <row r="263" spans="1:20">
      <c r="A263" s="20">
        <f ca="1">IFERROR(__xludf.DUMMYFUNCTION("""COMPUTED_VALUE"""),25)</f>
        <v>25</v>
      </c>
      <c r="B263" s="20">
        <f ca="1">IFERROR(__xludf.DUMMYFUNCTION("""COMPUTED_VALUE"""),2021)</f>
        <v>2021</v>
      </c>
      <c r="C263" s="20" t="str">
        <f ca="1">IFERROR(__xludf.DUMMYFUNCTION("""COMPUTED_VALUE"""),"VIRTUAL")</f>
        <v>VIRTUAL</v>
      </c>
      <c r="D263" s="96">
        <f ca="1">IFERROR(__xludf.DUMMYFUNCTION("""COMPUTED_VALUE"""),44259)</f>
        <v>44259</v>
      </c>
      <c r="E263" s="20" t="str">
        <f ca="1">IFERROR(__xludf.DUMMYFUNCTION("""COMPUTED_VALUE"""),"NO")</f>
        <v>NO</v>
      </c>
      <c r="F263" s="20" t="str">
        <f ca="1">IFERROR(__xludf.DUMMYFUNCTION("""COMPUTED_VALUE"""),"EQUIDAD Y LUCHA CONTRA LA VIOLENCIA DE GÉNERO")</f>
        <v>EQUIDAD Y LUCHA CONTRA LA VIOLENCIA DE GÉNERO</v>
      </c>
      <c r="G263" s="20">
        <f ca="1">IFERROR(__xludf.DUMMYFUNCTION("""COMPUTED_VALUE"""),1)</f>
        <v>1</v>
      </c>
      <c r="H263" s="20">
        <f ca="1">IFERROR(__xludf.DUMMYFUNCTION("""COMPUTED_VALUE"""),1)</f>
        <v>1</v>
      </c>
      <c r="I263" s="20">
        <f ca="1">IFERROR(__xludf.DUMMYFUNCTION("""COMPUTED_VALUE"""),1)</f>
        <v>1</v>
      </c>
      <c r="J263" s="20" t="str">
        <f ca="1">IFERROR(__xludf.DUMMYFUNCTION("""COMPUTED_VALUE"""),"NA")</f>
        <v>NA</v>
      </c>
      <c r="K263" s="20" t="str">
        <f ca="1">IFERROR(__xludf.DUMMYFUNCTION("""COMPUTED_VALUE"""),"NA")</f>
        <v>NA</v>
      </c>
      <c r="L263" s="20" t="str">
        <f ca="1">IFERROR(__xludf.DUMMYFUNCTION("""COMPUTED_VALUE"""),"NA")</f>
        <v>NA</v>
      </c>
      <c r="M263" s="20" t="str">
        <f ca="1">IFERROR(__xludf.DUMMYFUNCTION("""COMPUTED_VALUE"""),"Protagonistas en pandemia y Lideres Comunitarias")</f>
        <v>Protagonistas en pandemia y Lideres Comunitarias</v>
      </c>
      <c r="N263" s="20" t="str">
        <f ca="1">IFERROR(__xludf.DUMMYFUNCTION("""COMPUTED_VALUE"""),"NA")</f>
        <v>NA</v>
      </c>
      <c r="O263" s="20" t="str">
        <f ca="1">IFERROR(__xludf.DUMMYFUNCTION("""COMPUTED_VALUE"""),"SI")</f>
        <v>SI</v>
      </c>
      <c r="P263" s="20">
        <f ca="1">IFERROR(__xludf.DUMMYFUNCTION("""COMPUTED_VALUE"""),17)</f>
        <v>17</v>
      </c>
      <c r="Q263" s="113" t="str">
        <f ca="1">IFERROR(__xludf.DUMMYFUNCTION("""COMPUTED_VALUE"""),"https://gld.legislaturacba.gob.ar/_cdd/api/Documento/descargar?guid=01b6d3c6-f1e7-46ac-86d7-77ec85814d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v>
      </c>
      <c r="R263" s="20" t="str">
        <f ca="1">IFERROR(__xludf.DUMMYFUNCTION("""COMPUTED_VALUE"""),"NA")</f>
        <v>NA</v>
      </c>
      <c r="S263" s="113" t="str">
        <f ca="1">IFERROR(__xludf.DUMMYFUNCTION("""COMPUTED_VALUE"""),"https://gld.legislaturacba.gob.ar/Publics/Actas.aspx?id=Jnoj4bytPrQ=")</f>
        <v>https://gld.legislaturacba.gob.ar/Publics/Actas.aspx?id=Jnoj4bytPrQ=</v>
      </c>
      <c r="T263" s="99">
        <f t="shared" ca="1" si="0"/>
        <v>0</v>
      </c>
    </row>
    <row r="264" spans="1:20">
      <c r="A264" s="20">
        <f ca="1">IFERROR(__xludf.DUMMYFUNCTION("""COMPUTED_VALUE"""),26)</f>
        <v>26</v>
      </c>
      <c r="B264" s="20">
        <f ca="1">IFERROR(__xludf.DUMMYFUNCTION("""COMPUTED_VALUE"""),2021)</f>
        <v>2021</v>
      </c>
      <c r="C264" s="20" t="str">
        <f ca="1">IFERROR(__xludf.DUMMYFUNCTION("""COMPUTED_VALUE"""),"VIRTUAL")</f>
        <v>VIRTUAL</v>
      </c>
      <c r="D264" s="96">
        <f ca="1">IFERROR(__xludf.DUMMYFUNCTION("""COMPUTED_VALUE"""),44259)</f>
        <v>44259</v>
      </c>
      <c r="E264" s="20" t="str">
        <f ca="1">IFERROR(__xludf.DUMMYFUNCTION("""COMPUTED_VALUE"""),"NO")</f>
        <v>NO</v>
      </c>
      <c r="F264" s="20" t="str">
        <f ca="1">IFERROR(__xludf.DUMMYFUNCTION("""COMPUTED_VALUE"""),"PROMOCIÓN Y DEFENSA DE LOS DERECHOS DE LA NIÑEZ, ADOLESCENCIA Y FAMILIA")</f>
        <v>PROMOCIÓN Y DEFENSA DE LOS DERECHOS DE LA NIÑEZ, ADOLESCENCIA Y FAMILIA</v>
      </c>
      <c r="G264" s="20">
        <f ca="1">IFERROR(__xludf.DUMMYFUNCTION("""COMPUTED_VALUE"""),1)</f>
        <v>1</v>
      </c>
      <c r="H264" s="20">
        <f ca="1">IFERROR(__xludf.DUMMYFUNCTION("""COMPUTED_VALUE"""),1)</f>
        <v>1</v>
      </c>
      <c r="I264" s="20">
        <f ca="1">IFERROR(__xludf.DUMMYFUNCTION("""COMPUTED_VALUE"""),1)</f>
        <v>1</v>
      </c>
      <c r="J264" s="20" t="str">
        <f ca="1">IFERROR(__xludf.DUMMYFUNCTION("""COMPUTED_VALUE"""),"NA")</f>
        <v>NA</v>
      </c>
      <c r="K264" s="20" t="str">
        <f ca="1">IFERROR(__xludf.DUMMYFUNCTION("""COMPUTED_VALUE"""),"NA")</f>
        <v>NA</v>
      </c>
      <c r="L264" s="20" t="str">
        <f ca="1">IFERROR(__xludf.DUMMYFUNCTION("""COMPUTED_VALUE"""),"NA")</f>
        <v>NA</v>
      </c>
      <c r="M264" s="20" t="str">
        <f ca="1">IFERROR(__xludf.DUMMYFUNCTION("""COMPUTED_VALUE"""),"Visita de Defensores de Niños, niñas y adolescentes de Nación y diferentes provincias, para exponer sobre la niñez en nuestro país")</f>
        <v>Visita de Defensores de Niños, niñas y adolescentes de Nación y diferentes provincias, para exponer sobre la niñez en nuestro país</v>
      </c>
      <c r="N264" s="20" t="str">
        <f ca="1">IFERROR(__xludf.DUMMYFUNCTION("""COMPUTED_VALUE"""),"NA")</f>
        <v>NA</v>
      </c>
      <c r="O264" s="20" t="str">
        <f ca="1">IFERROR(__xludf.DUMMYFUNCTION("""COMPUTED_VALUE"""),"SI")</f>
        <v>SI</v>
      </c>
      <c r="P264" s="20">
        <f ca="1">IFERROR(__xludf.DUMMYFUNCTION("""COMPUTED_VALUE"""),8)</f>
        <v>8</v>
      </c>
      <c r="Q264" s="113" t="str">
        <f ca="1">IFERROR(__xludf.DUMMYFUNCTION("""COMPUTED_VALUE"""),"https://gld.legislaturacba.gob.ar/_cdd/api/Documento/descargar?guid=1101198d-78f4-43ab-9e65-fd62b07ccae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v>
      </c>
      <c r="R264" s="113" t="str">
        <f ca="1">IFERROR(__xludf.DUMMYFUNCTION("""COMPUTED_VALUE"""),"https://www.youtube.com/watch?v=oyKsXPSxQ8U")</f>
        <v>https://www.youtube.com/watch?v=oyKsXPSxQ8U</v>
      </c>
      <c r="S264" s="113" t="str">
        <f ca="1">IFERROR(__xludf.DUMMYFUNCTION("""COMPUTED_VALUE"""),"https://gld.legislaturacba.gob.ar/Publics/Actas.aspx?id=gjGiUFxvvps=")</f>
        <v>https://gld.legislaturacba.gob.ar/Publics/Actas.aspx?id=gjGiUFxvvps=</v>
      </c>
      <c r="T264" s="99">
        <f t="shared" ca="1" si="0"/>
        <v>0</v>
      </c>
    </row>
    <row r="265" spans="1:20">
      <c r="A265" s="20">
        <f ca="1">IFERROR(__xludf.DUMMYFUNCTION("""COMPUTED_VALUE"""),27)</f>
        <v>27</v>
      </c>
      <c r="B265" s="20">
        <f ca="1">IFERROR(__xludf.DUMMYFUNCTION("""COMPUTED_VALUE"""),2021)</f>
        <v>2021</v>
      </c>
      <c r="C265" s="20" t="str">
        <f ca="1">IFERROR(__xludf.DUMMYFUNCTION("""COMPUTED_VALUE"""),"VIRTUAL")</f>
        <v>VIRTUAL</v>
      </c>
      <c r="D265" s="96">
        <f ca="1">IFERROR(__xludf.DUMMYFUNCTION("""COMPUTED_VALUE"""),44259)</f>
        <v>44259</v>
      </c>
      <c r="E265" s="20" t="str">
        <f ca="1">IFERROR(__xludf.DUMMYFUNCTION("""COMPUTED_VALUE"""),"NO")</f>
        <v>NO</v>
      </c>
      <c r="F265" s="20" t="str">
        <f ca="1">IFERROR(__xludf.DUMMYFUNCTION("""COMPUTED_VALUE"""),"TURISMO Y SU RELACIÓN CON EL DESARROLLO REGIONAL")</f>
        <v>TURISMO Y SU RELACIÓN CON EL DESARROLLO REGIONAL</v>
      </c>
      <c r="G265" s="20">
        <f ca="1">IFERROR(__xludf.DUMMYFUNCTION("""COMPUTED_VALUE"""),1)</f>
        <v>1</v>
      </c>
      <c r="H265" s="20">
        <f ca="1">IFERROR(__xludf.DUMMYFUNCTION("""COMPUTED_VALUE"""),1)</f>
        <v>1</v>
      </c>
      <c r="I265" s="20">
        <f ca="1">IFERROR(__xludf.DUMMYFUNCTION("""COMPUTED_VALUE"""),1)</f>
        <v>1</v>
      </c>
      <c r="J265" s="20" t="str">
        <f ca="1">IFERROR(__xludf.DUMMYFUNCTION("""COMPUTED_VALUE"""),"Ley")</f>
        <v>Ley</v>
      </c>
      <c r="K265" s="20">
        <f ca="1">IFERROR(__xludf.DUMMYFUNCTION("""COMPUTED_VALUE"""),31797)</f>
        <v>31797</v>
      </c>
      <c r="L265" s="20" t="str">
        <f ca="1">IFERROR(__xludf.DUMMYFUNCTION("""COMPUTED_VALUE"""),"Poder Legislativo Provincial")</f>
        <v>Poder Legislativo Provincial</v>
      </c>
      <c r="M265" s="20" t="str">
        <f ca="1">IFERROR(__xludf.DUMMYFUNCTION("""COMPUTED_VALUE"""),"Estableciendo el marco normativo para la regulación, control, promoción y fomento del Turismo Activo en la Provincia de Córdoba; y creando el Registro de Prestadores de Servicios de Turismo Activo y Operadores de Turismo Activo de la provincia")</f>
        <v>Estableciendo el marco normativo para la regulación, control, promoción y fomento del Turismo Activo en la Provincia de Córdoba; y creando el Registro de Prestadores de Servicios de Turismo Activo y Operadores de Turismo Activo de la provincia</v>
      </c>
      <c r="N265" s="20" t="str">
        <f ca="1">IFERROR(__xludf.DUMMYFUNCTION("""COMPUTED_VALUE"""),"NO")</f>
        <v>NO</v>
      </c>
      <c r="O265" s="20" t="str">
        <f ca="1">IFERROR(__xludf.DUMMYFUNCTION("""COMPUTED_VALUE"""),"NO")</f>
        <v>NO</v>
      </c>
      <c r="P265" s="20">
        <f ca="1">IFERROR(__xludf.DUMMYFUNCTION("""COMPUTED_VALUE"""),0)</f>
        <v>0</v>
      </c>
      <c r="Q265" s="113" t="str">
        <f ca="1">IFERROR(__xludf.DUMMYFUNCTION("""COMPUTED_VALUE"""),"https://gld.legislaturacba.gob.ar/_cdd/api/Documento/descargar?guid=59108e10-ec05-4156-b1fe-494884716195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v>
      </c>
      <c r="R265" s="113" t="str">
        <f ca="1">IFERROR(__xludf.DUMMYFUNCTION("""COMPUTED_VALUE"""),"https://www.youtube.com/watch?v=AfN5PKyw2r8")</f>
        <v>https://www.youtube.com/watch?v=AfN5PKyw2r8</v>
      </c>
      <c r="S265" s="113" t="str">
        <f ca="1">IFERROR(__xludf.DUMMYFUNCTION("""COMPUTED_VALUE"""),"https://gld.legislaturacba.gob.ar/Publics/Actas.aspx?id=1Fmj5So4iFk=")</f>
        <v>https://gld.legislaturacba.gob.ar/Publics/Actas.aspx?id=1Fmj5So4iFk=</v>
      </c>
      <c r="T265" s="99">
        <f t="shared" ca="1" si="0"/>
        <v>0</v>
      </c>
    </row>
    <row r="266" spans="1:20">
      <c r="A266" s="20">
        <f ca="1">IFERROR(__xludf.DUMMYFUNCTION("""COMPUTED_VALUE"""),28)</f>
        <v>28</v>
      </c>
      <c r="B266" s="20">
        <f ca="1">IFERROR(__xludf.DUMMYFUNCTION("""COMPUTED_VALUE"""),2021)</f>
        <v>2021</v>
      </c>
      <c r="C266" s="20" t="str">
        <f ca="1">IFERROR(__xludf.DUMMYFUNCTION("""COMPUTED_VALUE"""),"VIRTUAL")</f>
        <v>VIRTUAL</v>
      </c>
      <c r="D266" s="96">
        <f ca="1">IFERROR(__xludf.DUMMYFUNCTION("""COMPUTED_VALUE"""),44259)</f>
        <v>44259</v>
      </c>
      <c r="E266" s="20" t="str">
        <f ca="1">IFERROR(__xludf.DUMMYFUNCTION("""COMPUTED_VALUE"""),"NO")</f>
        <v>NO</v>
      </c>
      <c r="F266" s="20" t="str">
        <f ca="1">IFERROR(__xludf.DUMMYFUNCTION("""COMPUTED_VALUE"""),"RELACIONES INTERNACIONALES, MERCOSUR Y COMERCIO EXTERIOR")</f>
        <v>RELACIONES INTERNACIONALES, MERCOSUR Y COMERCIO EXTERIOR</v>
      </c>
      <c r="G266" s="20">
        <f ca="1">IFERROR(__xludf.DUMMYFUNCTION("""COMPUTED_VALUE"""),1)</f>
        <v>1</v>
      </c>
      <c r="H266" s="20">
        <f ca="1">IFERROR(__xludf.DUMMYFUNCTION("""COMPUTED_VALUE"""),1)</f>
        <v>1</v>
      </c>
      <c r="I266" s="20">
        <f ca="1">IFERROR(__xludf.DUMMYFUNCTION("""COMPUTED_VALUE"""),1)</f>
        <v>1</v>
      </c>
      <c r="J266" s="20" t="str">
        <f ca="1">IFERROR(__xludf.DUMMYFUNCTION("""COMPUTED_VALUE"""),"NA")</f>
        <v>NA</v>
      </c>
      <c r="K266" s="20" t="str">
        <f ca="1">IFERROR(__xludf.DUMMYFUNCTION("""COMPUTED_VALUE"""),"NA")</f>
        <v>NA</v>
      </c>
      <c r="L266" s="20" t="str">
        <f ca="1">IFERROR(__xludf.DUMMYFUNCTION("""COMPUTED_VALUE"""),"NA")</f>
        <v>NA</v>
      </c>
      <c r="M266" s="20" t="str">
        <f ca="1">IFERROR(__xludf.DUMMYFUNCTION("""COMPUTED_VALUE"""),"Anteproyecto de Declaración expresando reconocimiento por el bicentenario de la Revolución Griega")</f>
        <v>Anteproyecto de Declaración expresando reconocimiento por el bicentenario de la Revolución Griega</v>
      </c>
      <c r="N266" s="20" t="str">
        <f ca="1">IFERROR(__xludf.DUMMYFUNCTION("""COMPUTED_VALUE"""),"NA")</f>
        <v>NA</v>
      </c>
      <c r="O266" s="20" t="str">
        <f ca="1">IFERROR(__xludf.DUMMYFUNCTION("""COMPUTED_VALUE"""),"SI")</f>
        <v>SI</v>
      </c>
      <c r="P266" s="20">
        <f ca="1">IFERROR(__xludf.DUMMYFUNCTION("""COMPUTED_VALUE"""),6)</f>
        <v>6</v>
      </c>
      <c r="Q266" s="113" t="str">
        <f ca="1">IFERROR(__xludf.DUMMYFUNCTION("""COMPUTED_VALUE"""),"https://gld.legislaturacba.gob.ar/_cdd/api/Documento/descargar?guid=805dd76d-d1be-48fd-b44f-10c64d51695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v>
      </c>
      <c r="R266" s="113" t="str">
        <f ca="1">IFERROR(__xludf.DUMMYFUNCTION("""COMPUTED_VALUE"""),"https://www.youtube.com/watch?v=_sEbHgZIPnQ")</f>
        <v>https://www.youtube.com/watch?v=_sEbHgZIPnQ</v>
      </c>
      <c r="S266" s="113" t="str">
        <f ca="1">IFERROR(__xludf.DUMMYFUNCTION("""COMPUTED_VALUE"""),"https://gld.legislaturacba.gob.ar/Publics/Actas.aspx?id=q1QblYiKG4k=")</f>
        <v>https://gld.legislaturacba.gob.ar/Publics/Actas.aspx?id=q1QblYiKG4k=</v>
      </c>
      <c r="T266" s="99">
        <f t="shared" ca="1" si="0"/>
        <v>0</v>
      </c>
    </row>
    <row r="267" spans="1:20">
      <c r="A267" s="20">
        <f ca="1">IFERROR(__xludf.DUMMYFUNCTION("""COMPUTED_VALUE"""),29)</f>
        <v>29</v>
      </c>
      <c r="B267" s="20">
        <f ca="1">IFERROR(__xludf.DUMMYFUNCTION("""COMPUTED_VALUE"""),2021)</f>
        <v>2021</v>
      </c>
      <c r="C267" s="20" t="str">
        <f ca="1">IFERROR(__xludf.DUMMYFUNCTION("""COMPUTED_VALUE"""),"VIRTUAL")</f>
        <v>VIRTUAL</v>
      </c>
      <c r="D267" s="96">
        <f ca="1">IFERROR(__xludf.DUMMYFUNCTION("""COMPUTED_VALUE"""),44264)</f>
        <v>44264</v>
      </c>
      <c r="E267" s="20" t="str">
        <f ca="1">IFERROR(__xludf.DUMMYFUNCTION("""COMPUTED_VALUE"""),"SI")</f>
        <v>SI</v>
      </c>
      <c r="F267" s="20" t="str">
        <f ca="1">IFERROR(__xludf.DUMMYFUNCTION("""COMPUTED_VALUE"""),"DEPORTES Y RECREACIÓN;LEGISLACIÓN GENERAL")</f>
        <v>DEPORTES Y RECREACIÓN;LEGISLACIÓN GENERAL</v>
      </c>
      <c r="G267" s="20">
        <f ca="1">IFERROR(__xludf.DUMMYFUNCTION("""COMPUTED_VALUE"""),2)</f>
        <v>2</v>
      </c>
      <c r="H267" s="20">
        <f ca="1">IFERROR(__xludf.DUMMYFUNCTION("""COMPUTED_VALUE"""),1)</f>
        <v>1</v>
      </c>
      <c r="I267" s="20">
        <f ca="1">IFERROR(__xludf.DUMMYFUNCTION("""COMPUTED_VALUE"""),1)</f>
        <v>1</v>
      </c>
      <c r="J267" s="20" t="str">
        <f ca="1">IFERROR(__xludf.DUMMYFUNCTION("""COMPUTED_VALUE"""),"Ley")</f>
        <v>Ley</v>
      </c>
      <c r="K267" s="20">
        <f ca="1">IFERROR(__xludf.DUMMYFUNCTION("""COMPUTED_VALUE"""),32220)</f>
        <v>32220</v>
      </c>
      <c r="L267" s="20" t="str">
        <f ca="1">IFERROR(__xludf.DUMMYFUNCTION("""COMPUTED_VALUE"""),"Poder Legislativo Provincial")</f>
        <v>Poder Legislativo Provincial</v>
      </c>
      <c r="M267" s="20" t="str">
        <f ca="1">IFERROR(__xludf.DUMMYFUNCTION("""COMPUTED_VALUE"""),"Modificando el artículo 1 de la Ley 10003, suspendiendo hasta el 31 de marzo de 2022, las ejecuciones de bienes inmuebles propiedad de las asociaciones civiles, clubes o entidades sin fines de lucro cuyo objeto social sea la promoción, difusión o realizac"&amp;"ión de prácticas deportivas, recreativas o comunitarias")</f>
        <v>Modificando el artículo 1 de la Ley 10003, suspendiendo hasta el 31 de marzo de 2022, las ejecuciones de bienes inmuebles propiedad de las asociaciones civiles, clubes o entidades sin fines de lucro cuyo objeto social sea la promoción, difusión o realización de prácticas deportivas, recreativas o comunitarias</v>
      </c>
      <c r="N267" s="20" t="str">
        <f ca="1">IFERROR(__xludf.DUMMYFUNCTION("""COMPUTED_VALUE"""),"SI")</f>
        <v>SI</v>
      </c>
      <c r="O267" s="20" t="str">
        <f ca="1">IFERROR(__xludf.DUMMYFUNCTION("""COMPUTED_VALUE"""),"NO")</f>
        <v>NO</v>
      </c>
      <c r="P267" s="20">
        <f ca="1">IFERROR(__xludf.DUMMYFUNCTION("""COMPUTED_VALUE"""),0)</f>
        <v>0</v>
      </c>
      <c r="Q267" s="113" t="str">
        <f ca="1">IFERROR(__xludf.DUMMYFUNCTION("""COMPUTED_VALUE"""),"https://gld.legislaturacba.gob.ar/_cdd/api/Documento/descargar?guid=d27bf08a-a314-4446-a0b4-e0d2d13dc3f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v>
      </c>
      <c r="R267" s="113" t="str">
        <f ca="1">IFERROR(__xludf.DUMMYFUNCTION("""COMPUTED_VALUE"""),"https://www.youtube.com/watch?v=Omfec_-J5cg")</f>
        <v>https://www.youtube.com/watch?v=Omfec_-J5cg</v>
      </c>
      <c r="S267" s="113" t="str">
        <f ca="1">IFERROR(__xludf.DUMMYFUNCTION("""COMPUTED_VALUE"""),"https://gld.legislaturacba.gob.ar/Publics/Actas.aspx?id=BzZI96BfMyI=;https://gld.legislaturacba.gob.ar/Publics/Actas.aspx?id=pOFaQVpXI8E=")</f>
        <v>https://gld.legislaturacba.gob.ar/Publics/Actas.aspx?id=BzZI96BfMyI=;https://gld.legislaturacba.gob.ar/Publics/Actas.aspx?id=pOFaQVpXI8E=</v>
      </c>
      <c r="T267" s="99">
        <f t="shared" ca="1" si="0"/>
        <v>0</v>
      </c>
    </row>
    <row r="268" spans="1:20">
      <c r="A268" s="20">
        <f ca="1">IFERROR(__xludf.DUMMYFUNCTION("""COMPUTED_VALUE"""),30)</f>
        <v>30</v>
      </c>
      <c r="B268" s="20">
        <f ca="1">IFERROR(__xludf.DUMMYFUNCTION("""COMPUTED_VALUE"""),2021)</f>
        <v>2021</v>
      </c>
      <c r="C268" s="20" t="str">
        <f ca="1">IFERROR(__xludf.DUMMYFUNCTION("""COMPUTED_VALUE"""),"VIRTUAL")</f>
        <v>VIRTUAL</v>
      </c>
      <c r="D268" s="96">
        <f ca="1">IFERROR(__xludf.DUMMYFUNCTION("""COMPUTED_VALUE"""),44264)</f>
        <v>44264</v>
      </c>
      <c r="E268" s="20" t="str">
        <f ca="1">IFERROR(__xludf.DUMMYFUNCTION("""COMPUTED_VALUE"""),"SI")</f>
        <v>SI</v>
      </c>
      <c r="F268" s="20" t="str">
        <f ca="1">IFERROR(__xludf.DUMMYFUNCTION("""COMPUTED_VALUE"""),"ECONOMÍA, PRESUPUESTO, GESTIÓN PÚBLICA E INNOVACIÓN;OBRAS PÚBLICAS, VIVIENDA Y COMUNICACIONES")</f>
        <v>ECONOMÍA, PRESUPUESTO, GESTIÓN PÚBLICA E INNOVACIÓN;OBRAS PÚBLICAS, VIVIENDA Y COMUNICACIONES</v>
      </c>
      <c r="G268" s="20">
        <f ca="1">IFERROR(__xludf.DUMMYFUNCTION("""COMPUTED_VALUE"""),2)</f>
        <v>2</v>
      </c>
      <c r="H268" s="20">
        <f ca="1">IFERROR(__xludf.DUMMYFUNCTION("""COMPUTED_VALUE"""),2)</f>
        <v>2</v>
      </c>
      <c r="I268" s="20">
        <f ca="1">IFERROR(__xludf.DUMMYFUNCTION("""COMPUTED_VALUE"""),1)</f>
        <v>1</v>
      </c>
      <c r="J268" s="20" t="str">
        <f ca="1">IFERROR(__xludf.DUMMYFUNCTION("""COMPUTED_VALUE"""),"Ley")</f>
        <v>Ley</v>
      </c>
      <c r="K268" s="20">
        <f ca="1">IFERROR(__xludf.DUMMYFUNCTION("""COMPUTED_VALUE"""),32063)</f>
        <v>32063</v>
      </c>
      <c r="L268" s="20" t="str">
        <f ca="1">IFERROR(__xludf.DUMMYFUNCTION("""COMPUTED_VALUE"""),"Poder Ejecutivo Provincial")</f>
        <v>Poder Ejecutivo Provincial</v>
      </c>
      <c r="M268" s="20" t="str">
        <f ca="1">IFERROR(__xludf.DUMMYFUNCTION("""COMPUTED_VALUE"""),"Declarando de utilidad pública y sujeto a expropiación una fracción de terreno sita en Camino a Pajas Blancas, Barrio Alta Córdoba, Dpto. Capital, para la ejecución de la obra “Readecuación Ruta Provincial Nº E-53 - Tramo Avenida de Circunvalación-Estació"&amp;"n de Peaje”")</f>
        <v>Declarando de utilidad pública y sujeto a expropiación una fracción de terreno sita en Camino a Pajas Blancas, Barrio Alta Córdoba, Dpto. Capital, para la ejecución de la obra “Readecuación Ruta Provincial Nº E-53 - Tramo Avenida de Circunvalación-Estación de Peaje”</v>
      </c>
      <c r="N268" s="20" t="str">
        <f ca="1">IFERROR(__xludf.DUMMYFUNCTION("""COMPUTED_VALUE"""),"NO")</f>
        <v>NO</v>
      </c>
      <c r="O268" s="20" t="str">
        <f ca="1">IFERROR(__xludf.DUMMYFUNCTION("""COMPUTED_VALUE"""),"SI")</f>
        <v>SI</v>
      </c>
      <c r="P268" s="20">
        <f ca="1">IFERROR(__xludf.DUMMYFUNCTION("""COMPUTED_VALUE"""),1)</f>
        <v>1</v>
      </c>
      <c r="Q268" s="113" t="str">
        <f ca="1">IFERROR(__xludf.DUMMYFUNCTION("""COMPUTED_VALUE"""),"https://gld.legislaturacba.gob.ar/_cdd/api/Documento/descargar?guid=3f1e8840-badd-400a-ad0d-fc0a657c89e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v>
      </c>
      <c r="R268" s="113" t="str">
        <f ca="1">IFERROR(__xludf.DUMMYFUNCTION("""COMPUTED_VALUE"""),"https://www.youtube.com/watch?v=bphiDXt8kbk")</f>
        <v>https://www.youtube.com/watch?v=bphiDXt8kbk</v>
      </c>
      <c r="S268" s="113" t="str">
        <f ca="1">IFERROR(__xludf.DUMMYFUNCTION("""COMPUTED_VALUE"""),"https://gld.legislaturacba.gob.ar/Publics/Actas.aspx?id=D3t1T2H1GDY=;https://gld.legislaturacba.gob.ar/Publics/Actas.aspx?id=V7Og8IUIWJg=")</f>
        <v>https://gld.legislaturacba.gob.ar/Publics/Actas.aspx?id=D3t1T2H1GDY=;https://gld.legislaturacba.gob.ar/Publics/Actas.aspx?id=V7Og8IUIWJg=</v>
      </c>
      <c r="T268" s="99">
        <f t="shared" ca="1" si="0"/>
        <v>0</v>
      </c>
    </row>
    <row r="269" spans="1:20">
      <c r="A269" s="20">
        <f ca="1">IFERROR(__xludf.DUMMYFUNCTION("""COMPUTED_VALUE"""),31)</f>
        <v>31</v>
      </c>
      <c r="B269" s="20">
        <f ca="1">IFERROR(__xludf.DUMMYFUNCTION("""COMPUTED_VALUE"""),2021)</f>
        <v>2021</v>
      </c>
      <c r="C269" s="20" t="str">
        <f ca="1">IFERROR(__xludf.DUMMYFUNCTION("""COMPUTED_VALUE"""),"VIRTUAL")</f>
        <v>VIRTUAL</v>
      </c>
      <c r="D269" s="96">
        <f ca="1">IFERROR(__xludf.DUMMYFUNCTION("""COMPUTED_VALUE"""),44264)</f>
        <v>44264</v>
      </c>
      <c r="E269" s="20" t="str">
        <f ca="1">IFERROR(__xludf.DUMMYFUNCTION("""COMPUTED_VALUE"""),"NO")</f>
        <v>NO</v>
      </c>
      <c r="F269" s="20" t="str">
        <f ca="1">IFERROR(__xludf.DUMMYFUNCTION("""COMPUTED_VALUE"""),"ECONOMÍA, PRESUPUESTO, GESTIÓN PÚBLICA E INNOVACIÓN")</f>
        <v>ECONOMÍA, PRESUPUESTO, GESTIÓN PÚBLICA E INNOVACIÓN</v>
      </c>
      <c r="G269" s="20">
        <f ca="1">IFERROR(__xludf.DUMMYFUNCTION("""COMPUTED_VALUE"""),1)</f>
        <v>1</v>
      </c>
      <c r="H269" s="20">
        <f ca="1">IFERROR(__xludf.DUMMYFUNCTION("""COMPUTED_VALUE"""),2)</f>
        <v>2</v>
      </c>
      <c r="I269" s="20">
        <f ca="1">IFERROR(__xludf.DUMMYFUNCTION("""COMPUTED_VALUE"""),1)</f>
        <v>1</v>
      </c>
      <c r="J269" s="20" t="str">
        <f ca="1">IFERROR(__xludf.DUMMYFUNCTION("""COMPUTED_VALUE"""),"Resolución")</f>
        <v>Resolución</v>
      </c>
      <c r="K269" s="20">
        <f ca="1">IFERROR(__xludf.DUMMYFUNCTION("""COMPUTED_VALUE"""),32014)</f>
        <v>32014</v>
      </c>
      <c r="L269" s="20" t="str">
        <f ca="1">IFERROR(__xludf.DUMMYFUNCTION("""COMPUTED_VALUE"""),"Poder Legislativo Provincial")</f>
        <v>Poder Legislativo Provincial</v>
      </c>
      <c r="M269" s="20" t="str">
        <f ca="1">IFERROR(__xludf.DUMMYFUNCTION("""COMPUTED_VALUE"""),"Solicitando al Poder Ejecutivo informe (art. 102 CP), a través del Ministerio de Finanzas y la Agencia Córdoba de Inversión y Financiamiento, sobre diferentes aspectos relacionados al contrato de préstamo que suscribirá el gobierno de la Provincia de Córd"&amp;"oba con la Corporación Andina de Fomento")</f>
        <v>Solicitando al Poder Ejecutivo informe (art. 102 CP), a través del Ministerio de Finanzas y la Agencia Córdoba de Inversión y Financiamiento, sobre diferentes aspectos relacionados al contrato de préstamo que suscribirá el gobierno de la Provincia de Córdoba con la Corporación Andina de Fomento</v>
      </c>
      <c r="N269" s="20" t="str">
        <f ca="1">IFERROR(__xludf.DUMMYFUNCTION("""COMPUTED_VALUE"""),"NO")</f>
        <v>NO</v>
      </c>
      <c r="O269" s="20" t="str">
        <f ca="1">IFERROR(__xludf.DUMMYFUNCTION("""COMPUTED_VALUE"""),"SI")</f>
        <v>SI</v>
      </c>
      <c r="P269" s="20">
        <f ca="1">IFERROR(__xludf.DUMMYFUNCTION("""COMPUTED_VALUE"""),1)</f>
        <v>1</v>
      </c>
      <c r="Q269" s="113" t="str">
        <f ca="1">IFERROR(__xludf.DUMMYFUNCTION("""COMPUTED_VALUE"""),"https://gld.legislaturacba.gob.ar/_cdd/api/Documento/descargar?guid=26ded4de-cfdb-47f5-87a8-9257844638b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v>
      </c>
      <c r="R269" s="113" t="str">
        <f ca="1">IFERROR(__xludf.DUMMYFUNCTION("""COMPUTED_VALUE"""),"https://www.youtube.com/watch?v=bphiDXt8kbk")</f>
        <v>https://www.youtube.com/watch?v=bphiDXt8kbk</v>
      </c>
      <c r="S269" s="113" t="str">
        <f ca="1">IFERROR(__xludf.DUMMYFUNCTION("""COMPUTED_VALUE"""),"https://gld.legislaturacba.gob.ar/Publics/Actas.aspx?id=xkU_iHuN7sU=")</f>
        <v>https://gld.legislaturacba.gob.ar/Publics/Actas.aspx?id=xkU_iHuN7sU=</v>
      </c>
      <c r="T269" s="99">
        <f t="shared" ca="1" si="0"/>
        <v>0</v>
      </c>
    </row>
    <row r="270" spans="1:20">
      <c r="A270" s="20">
        <f ca="1">IFERROR(__xludf.DUMMYFUNCTION("""COMPUTED_VALUE"""),32)</f>
        <v>32</v>
      </c>
      <c r="B270" s="20">
        <f ca="1">IFERROR(__xludf.DUMMYFUNCTION("""COMPUTED_VALUE"""),2021)</f>
        <v>2021</v>
      </c>
      <c r="C270" s="20" t="str">
        <f ca="1">IFERROR(__xludf.DUMMYFUNCTION("""COMPUTED_VALUE"""),"VIRTUAL")</f>
        <v>VIRTUAL</v>
      </c>
      <c r="D270" s="96">
        <f ca="1">IFERROR(__xludf.DUMMYFUNCTION("""COMPUTED_VALUE"""),44264)</f>
        <v>44264</v>
      </c>
      <c r="E270" s="20" t="str">
        <f ca="1">IFERROR(__xludf.DUMMYFUNCTION("""COMPUTED_VALUE"""),"NO")</f>
        <v>NO</v>
      </c>
      <c r="F270" s="20" t="str">
        <f ca="1">IFERROR(__xludf.DUMMYFUNCTION("""COMPUTED_VALUE"""),"ASUNTOS CONSTITUCIONALES, JUSTICIA Y ACUERDOS")</f>
        <v>ASUNTOS CONSTITUCIONALES, JUSTICIA Y ACUERDOS</v>
      </c>
      <c r="G270" s="20">
        <f ca="1">IFERROR(__xludf.DUMMYFUNCTION("""COMPUTED_VALUE"""),1)</f>
        <v>1</v>
      </c>
      <c r="H270" s="20">
        <f ca="1">IFERROR(__xludf.DUMMYFUNCTION("""COMPUTED_VALUE"""),2)</f>
        <v>2</v>
      </c>
      <c r="I270" s="20">
        <f ca="1">IFERROR(__xludf.DUMMYFUNCTION("""COMPUTED_VALUE"""),1)</f>
        <v>1</v>
      </c>
      <c r="J270" s="20" t="str">
        <f ca="1">IFERROR(__xludf.DUMMYFUNCTION("""COMPUTED_VALUE"""),"Ley")</f>
        <v>Ley</v>
      </c>
      <c r="K270" s="20">
        <f ca="1">IFERROR(__xludf.DUMMYFUNCTION("""COMPUTED_VALUE"""),32045)</f>
        <v>32045</v>
      </c>
      <c r="L270" s="20" t="str">
        <f ca="1">IFERROR(__xludf.DUMMYFUNCTION("""COMPUTED_VALUE"""),"Poder Ejecutivo Provincial")</f>
        <v>Poder Ejecutivo Provincial</v>
      </c>
      <c r="M270" s="20" t="str">
        <f ca="1">IFERROR(__xludf.DUMMYFUNCTION("""COMPUTED_VALUE"""),"Modificando los artículos 468 y 474 de la Ley Nº 8123 (Código Procesal Penal de la provincia de Córdoba) con el objetivo de garantizar el derecho de recurrir el fallo condenatorio ante el juez o tribunal superior")</f>
        <v>Modificando los artículos 468 y 474 de la Ley Nº 8123 (Código Procesal Penal de la provincia de Córdoba) con el objetivo de garantizar el derecho de recurrir el fallo condenatorio ante el juez o tribunal superior</v>
      </c>
      <c r="N270" s="20" t="str">
        <f ca="1">IFERROR(__xludf.DUMMYFUNCTION("""COMPUTED_VALUE"""),"NO")</f>
        <v>NO</v>
      </c>
      <c r="O270" s="20" t="str">
        <f ca="1">IFERROR(__xludf.DUMMYFUNCTION("""COMPUTED_VALUE"""),"NO")</f>
        <v>NO</v>
      </c>
      <c r="P270" s="20">
        <f ca="1">IFERROR(__xludf.DUMMYFUNCTION("""COMPUTED_VALUE"""),0)</f>
        <v>0</v>
      </c>
      <c r="Q270" s="113" t="str">
        <f ca="1">IFERROR(__xludf.DUMMYFUNCTION("""COMPUTED_VALUE"""),"https://gld.legislaturacba.gob.ar/_cdd/api/Documento/descargar?guid=9fda72d6-a6a3-412b-80c8-8493f99856f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v>
      </c>
      <c r="R270" s="113" t="str">
        <f ca="1">IFERROR(__xludf.DUMMYFUNCTION("""COMPUTED_VALUE"""),"https://www.youtube.com/watch?v=k7LXVlMZ9Bs")</f>
        <v>https://www.youtube.com/watch?v=k7LXVlMZ9Bs</v>
      </c>
      <c r="S270" s="113" t="str">
        <f ca="1">IFERROR(__xludf.DUMMYFUNCTION("""COMPUTED_VALUE"""),"https://gld.legislaturacba.gob.ar/Publics/Actas.aspx?id=_6YoKEm83xA=")</f>
        <v>https://gld.legislaturacba.gob.ar/Publics/Actas.aspx?id=_6YoKEm83xA=</v>
      </c>
      <c r="T270" s="99">
        <f t="shared" ca="1" si="0"/>
        <v>0</v>
      </c>
    </row>
    <row r="271" spans="1:20">
      <c r="A271" s="20">
        <f ca="1">IFERROR(__xludf.DUMMYFUNCTION("""COMPUTED_VALUE"""),33)</f>
        <v>33</v>
      </c>
      <c r="B271" s="20">
        <f ca="1">IFERROR(__xludf.DUMMYFUNCTION("""COMPUTED_VALUE"""),2021)</f>
        <v>2021</v>
      </c>
      <c r="C271" s="20" t="str">
        <f ca="1">IFERROR(__xludf.DUMMYFUNCTION("""COMPUTED_VALUE"""),"VIRTUAL")</f>
        <v>VIRTUAL</v>
      </c>
      <c r="D271" s="96">
        <f ca="1">IFERROR(__xludf.DUMMYFUNCTION("""COMPUTED_VALUE"""),44266)</f>
        <v>44266</v>
      </c>
      <c r="E271" s="20" t="str">
        <f ca="1">IFERROR(__xludf.DUMMYFUNCTION("""COMPUTED_VALUE"""),"NO")</f>
        <v>NO</v>
      </c>
      <c r="F271" s="20" t="str">
        <f ca="1">IFERROR(__xludf.DUMMYFUNCTION("""COMPUTED_VALUE"""),"PROMOCIÓN Y DESARROLLO DE ECONOMÍAS REGIONALES Y PYMES")</f>
        <v>PROMOCIÓN Y DESARROLLO DE ECONOMÍAS REGIONALES Y PYMES</v>
      </c>
      <c r="G271" s="20">
        <f ca="1">IFERROR(__xludf.DUMMYFUNCTION("""COMPUTED_VALUE"""),1)</f>
        <v>1</v>
      </c>
      <c r="H271" s="20">
        <f ca="1">IFERROR(__xludf.DUMMYFUNCTION("""COMPUTED_VALUE"""),1)</f>
        <v>1</v>
      </c>
      <c r="I271" s="20">
        <f ca="1">IFERROR(__xludf.DUMMYFUNCTION("""COMPUTED_VALUE"""),1)</f>
        <v>1</v>
      </c>
      <c r="J271" s="20" t="str">
        <f ca="1">IFERROR(__xludf.DUMMYFUNCTION("""COMPUTED_VALUE"""),"NA")</f>
        <v>NA</v>
      </c>
      <c r="K271" s="20" t="str">
        <f ca="1">IFERROR(__xludf.DUMMYFUNCTION("""COMPUTED_VALUE"""),"NA")</f>
        <v>NA</v>
      </c>
      <c r="L271" s="20" t="str">
        <f ca="1">IFERROR(__xludf.DUMMYFUNCTION("""COMPUTED_VALUE"""),"NA")</f>
        <v>NA</v>
      </c>
      <c r="M271" s="20" t="str">
        <f ca="1">IFERROR(__xludf.DUMMYFUNCTION("""COMPUTED_VALUE"""),"Informe sobre la primera reunion del Consejo Consultivo Pyme")</f>
        <v>Informe sobre la primera reunion del Consejo Consultivo Pyme</v>
      </c>
      <c r="N271" s="20" t="str">
        <f ca="1">IFERROR(__xludf.DUMMYFUNCTION("""COMPUTED_VALUE"""),"NA")</f>
        <v>NA</v>
      </c>
      <c r="O271" s="20" t="str">
        <f ca="1">IFERROR(__xludf.DUMMYFUNCTION("""COMPUTED_VALUE"""),"NO")</f>
        <v>NO</v>
      </c>
      <c r="P271" s="20">
        <f ca="1">IFERROR(__xludf.DUMMYFUNCTION("""COMPUTED_VALUE"""),0)</f>
        <v>0</v>
      </c>
      <c r="Q271" s="113" t="str">
        <f ca="1">IFERROR(__xludf.DUMMYFUNCTION("""COMPUTED_VALUE"""),"https://gld.legislaturacba.gob.ar/_cdd/api/Documento/descargar?guid=9e043ae2-e910-44f8-ace8-9134e14cb87f&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v>
      </c>
      <c r="R271" s="113" t="str">
        <f ca="1">IFERROR(__xludf.DUMMYFUNCTION("""COMPUTED_VALUE"""),"https://www.youtube.com/watch?v=XcMWuIIJoSY")</f>
        <v>https://www.youtube.com/watch?v=XcMWuIIJoSY</v>
      </c>
      <c r="S271" s="113" t="str">
        <f ca="1">IFERROR(__xludf.DUMMYFUNCTION("""COMPUTED_VALUE"""),"https://gld.legislaturacba.gob.ar/Publics/Actas.aspx?id=r0JHAId7A7Q=")</f>
        <v>https://gld.legislaturacba.gob.ar/Publics/Actas.aspx?id=r0JHAId7A7Q=</v>
      </c>
      <c r="T271" s="99">
        <f t="shared" ca="1" si="0"/>
        <v>0</v>
      </c>
    </row>
    <row r="272" spans="1:20">
      <c r="A272" s="20">
        <f ca="1">IFERROR(__xludf.DUMMYFUNCTION("""COMPUTED_VALUE"""),34)</f>
        <v>34</v>
      </c>
      <c r="B272" s="20">
        <f ca="1">IFERROR(__xludf.DUMMYFUNCTION("""COMPUTED_VALUE"""),2021)</f>
        <v>2021</v>
      </c>
      <c r="C272" s="20" t="str">
        <f ca="1">IFERROR(__xludf.DUMMYFUNCTION("""COMPUTED_VALUE"""),"VIRTUAL")</f>
        <v>VIRTUAL</v>
      </c>
      <c r="D272" s="96">
        <f ca="1">IFERROR(__xludf.DUMMYFUNCTION("""COMPUTED_VALUE"""),44266)</f>
        <v>44266</v>
      </c>
      <c r="E272" s="20" t="str">
        <f ca="1">IFERROR(__xludf.DUMMYFUNCTION("""COMPUTED_VALUE"""),"SI")</f>
        <v>SI</v>
      </c>
      <c r="F272" s="20" t="str">
        <f ca="1">IFERROR(__xludf.DUMMYFUNCTION("""COMPUTED_VALUE"""),"DERECHOS HUMANOS Y DESARROLLO SOCIAL;EDUCACIÓN, CULTURA, CIENCIA, TECNOLOGÍA E INFORMÁTICA")</f>
        <v>DERECHOS HUMANOS Y DESARROLLO SOCIAL;EDUCACIÓN, CULTURA, CIENCIA, TECNOLOGÍA E INFORMÁTICA</v>
      </c>
      <c r="G272" s="20">
        <f ca="1">IFERROR(__xludf.DUMMYFUNCTION("""COMPUTED_VALUE"""),2)</f>
        <v>2</v>
      </c>
      <c r="H272" s="20">
        <f ca="1">IFERROR(__xludf.DUMMYFUNCTION("""COMPUTED_VALUE"""),1)</f>
        <v>1</v>
      </c>
      <c r="I272" s="20">
        <f ca="1">IFERROR(__xludf.DUMMYFUNCTION("""COMPUTED_VALUE"""),1)</f>
        <v>1</v>
      </c>
      <c r="J272" s="20" t="str">
        <f ca="1">IFERROR(__xludf.DUMMYFUNCTION("""COMPUTED_VALUE"""),"Ley")</f>
        <v>Ley</v>
      </c>
      <c r="K272" s="20">
        <f ca="1">IFERROR(__xludf.DUMMYFUNCTION("""COMPUTED_VALUE"""),32236)</f>
        <v>32236</v>
      </c>
      <c r="L272" s="20" t="str">
        <f ca="1">IFERROR(__xludf.DUMMYFUNCTION("""COMPUTED_VALUE"""),"Poder Legislativo Provincial")</f>
        <v>Poder Legislativo Provincial</v>
      </c>
      <c r="M272" s="20" t="str">
        <f ca="1">IFERROR(__xludf.DUMMYFUNCTION("""COMPUTED_VALUE"""),"Declarando a las actas de sentencia, expedientes y materiales fílmicos de las audiencias de los procesos judiciales de Memoria, Verdad y Justicia, como parte integrante del Patrimonio Histórico y Cultural de la Provincia de Córdoba")</f>
        <v>Declarando a las actas de sentencia, expedientes y materiales fílmicos de las audiencias de los procesos judiciales de Memoria, Verdad y Justicia, como parte integrante del Patrimonio Histórico y Cultural de la Provincia de Córdoba</v>
      </c>
      <c r="N272" s="20" t="str">
        <f ca="1">IFERROR(__xludf.DUMMYFUNCTION("""COMPUTED_VALUE"""),"NO")</f>
        <v>NO</v>
      </c>
      <c r="O272" s="20" t="str">
        <f ca="1">IFERROR(__xludf.DUMMYFUNCTION("""COMPUTED_VALUE"""),"SI")</f>
        <v>SI</v>
      </c>
      <c r="P272" s="20">
        <f ca="1">IFERROR(__xludf.DUMMYFUNCTION("""COMPUTED_VALUE"""),4)</f>
        <v>4</v>
      </c>
      <c r="Q272" s="113" t="str">
        <f ca="1">IFERROR(__xludf.DUMMYFUNCTION("""COMPUTED_VALUE"""),"https://gld.legislaturacba.gob.ar/_cdd/api/Documento/descargar?guid=afbc4d65-7533-4be5-8024-49da097031d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v>
      </c>
      <c r="R272" s="113" t="str">
        <f ca="1">IFERROR(__xludf.DUMMYFUNCTION("""COMPUTED_VALUE"""),"https://www.youtube.com/watch?v=GPnhWmRsFls")</f>
        <v>https://www.youtube.com/watch?v=GPnhWmRsFls</v>
      </c>
      <c r="S272" s="113" t="str">
        <f ca="1">IFERROR(__xludf.DUMMYFUNCTION("""COMPUTED_VALUE"""),"https://gld.legislaturacba.gob.ar/Publics/Actas.aspx?id=IsnheIm9Vmk=;https://gld.legislaturacba.gob.ar/Publics/Actas.aspx?id=IpArXdThrGQ=")</f>
        <v>https://gld.legislaturacba.gob.ar/Publics/Actas.aspx?id=IsnheIm9Vmk=;https://gld.legislaturacba.gob.ar/Publics/Actas.aspx?id=IpArXdThrGQ=</v>
      </c>
      <c r="T272" s="99">
        <f t="shared" ca="1" si="0"/>
        <v>0</v>
      </c>
    </row>
    <row r="273" spans="1:20">
      <c r="A273" s="20">
        <f ca="1">IFERROR(__xludf.DUMMYFUNCTION("""COMPUTED_VALUE"""),35)</f>
        <v>35</v>
      </c>
      <c r="B273" s="20">
        <f ca="1">IFERROR(__xludf.DUMMYFUNCTION("""COMPUTED_VALUE"""),2021)</f>
        <v>2021</v>
      </c>
      <c r="C273" s="20" t="str">
        <f ca="1">IFERROR(__xludf.DUMMYFUNCTION("""COMPUTED_VALUE"""),"VIRTUAL")</f>
        <v>VIRTUAL</v>
      </c>
      <c r="D273" s="96">
        <f ca="1">IFERROR(__xludf.DUMMYFUNCTION("""COMPUTED_VALUE"""),44266)</f>
        <v>44266</v>
      </c>
      <c r="E273" s="20" t="str">
        <f ca="1">IFERROR(__xludf.DUMMYFUNCTION("""COMPUTED_VALUE"""),"NO")</f>
        <v>NO</v>
      </c>
      <c r="F273" s="20" t="str">
        <f ca="1">IFERROR(__xludf.DUMMYFUNCTION("""COMPUTED_VALUE"""),"AMBIENTE")</f>
        <v>AMBIENTE</v>
      </c>
      <c r="G273" s="20">
        <f ca="1">IFERROR(__xludf.DUMMYFUNCTION("""COMPUTED_VALUE"""),1)</f>
        <v>1</v>
      </c>
      <c r="H273" s="20">
        <f ca="1">IFERROR(__xludf.DUMMYFUNCTION("""COMPUTED_VALUE"""),1)</f>
        <v>1</v>
      </c>
      <c r="I273" s="20">
        <f ca="1">IFERROR(__xludf.DUMMYFUNCTION("""COMPUTED_VALUE"""),1)</f>
        <v>1</v>
      </c>
      <c r="J273" s="20" t="str">
        <f ca="1">IFERROR(__xludf.DUMMYFUNCTION("""COMPUTED_VALUE"""),"NA")</f>
        <v>NA</v>
      </c>
      <c r="K273" s="20" t="str">
        <f ca="1">IFERROR(__xludf.DUMMYFUNCTION("""COMPUTED_VALUE"""),"NA")</f>
        <v>NA</v>
      </c>
      <c r="L273" s="20" t="str">
        <f ca="1">IFERROR(__xludf.DUMMYFUNCTION("""COMPUTED_VALUE"""),"NA")</f>
        <v>NA</v>
      </c>
      <c r="M273" s="20" t="str">
        <f ca="1">IFERROR(__xludf.DUMMYFUNCTION("""COMPUTED_VALUE"""),"Presentación de Informe y Diagnostico Ambiental de la provincia de Córdoba")</f>
        <v>Presentación de Informe y Diagnostico Ambiental de la provincia de Córdoba</v>
      </c>
      <c r="N273" s="20" t="str">
        <f ca="1">IFERROR(__xludf.DUMMYFUNCTION("""COMPUTED_VALUE"""),"NA")</f>
        <v>NA</v>
      </c>
      <c r="O273" s="20" t="str">
        <f ca="1">IFERROR(__xludf.DUMMYFUNCTION("""COMPUTED_VALUE"""),"SI")</f>
        <v>SI</v>
      </c>
      <c r="P273" s="20">
        <f ca="1">IFERROR(__xludf.DUMMYFUNCTION("""COMPUTED_VALUE"""),1)</f>
        <v>1</v>
      </c>
      <c r="Q273" s="113" t="str">
        <f ca="1">IFERROR(__xludf.DUMMYFUNCTION("""COMPUTED_VALUE"""),"https://gld.legislaturacba.gob.ar/_cdd/api/Documento/descargar?guid=df266c95-09ee-4a65-9cc1-642af33d4ca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v>
      </c>
      <c r="R273" s="20" t="str">
        <f ca="1">IFERROR(__xludf.DUMMYFUNCTION("""COMPUTED_VALUE"""),"NA")</f>
        <v>NA</v>
      </c>
      <c r="S273" s="113" t="str">
        <f ca="1">IFERROR(__xludf.DUMMYFUNCTION("""COMPUTED_VALUE"""),"https://gld.legislaturacba.gob.ar/Publics/Actas.aspx?id=yKYIKW8GehA=")</f>
        <v>https://gld.legislaturacba.gob.ar/Publics/Actas.aspx?id=yKYIKW8GehA=</v>
      </c>
      <c r="T273" s="99">
        <f t="shared" ca="1" si="0"/>
        <v>0</v>
      </c>
    </row>
    <row r="274" spans="1:20">
      <c r="A274" s="20">
        <f ca="1">IFERROR(__xludf.DUMMYFUNCTION("""COMPUTED_VALUE"""),36)</f>
        <v>36</v>
      </c>
      <c r="B274" s="20">
        <f ca="1">IFERROR(__xludf.DUMMYFUNCTION("""COMPUTED_VALUE"""),2021)</f>
        <v>2021</v>
      </c>
      <c r="C274" s="20" t="str">
        <f ca="1">IFERROR(__xludf.DUMMYFUNCTION("""COMPUTED_VALUE"""),"VIRTUAL")</f>
        <v>VIRTUAL</v>
      </c>
      <c r="D274" s="96">
        <f ca="1">IFERROR(__xludf.DUMMYFUNCTION("""COMPUTED_VALUE"""),44271)</f>
        <v>44271</v>
      </c>
      <c r="E274" s="20" t="str">
        <f ca="1">IFERROR(__xludf.DUMMYFUNCTION("""COMPUTED_VALUE"""),"NO")</f>
        <v>NO</v>
      </c>
      <c r="F274" s="20" t="str">
        <f ca="1">IFERROR(__xludf.DUMMYFUNCTION("""COMPUTED_VALUE"""),"ASUNTOS CONSTITUCIONALES, JUSTICIA Y ACUERDOS")</f>
        <v>ASUNTOS CONSTITUCIONALES, JUSTICIA Y ACUERDOS</v>
      </c>
      <c r="G274" s="20">
        <f ca="1">IFERROR(__xludf.DUMMYFUNCTION("""COMPUTED_VALUE"""),1)</f>
        <v>1</v>
      </c>
      <c r="H274" s="20">
        <f ca="1">IFERROR(__xludf.DUMMYFUNCTION("""COMPUTED_VALUE"""),1)</f>
        <v>1</v>
      </c>
      <c r="I274" s="20">
        <f ca="1">IFERROR(__xludf.DUMMYFUNCTION("""COMPUTED_VALUE"""),1)</f>
        <v>1</v>
      </c>
      <c r="J274" s="20" t="str">
        <f ca="1">IFERROR(__xludf.DUMMYFUNCTION("""COMPUTED_VALUE"""),"Pliego")</f>
        <v>Pliego</v>
      </c>
      <c r="K274" s="20">
        <f ca="1">IFERROR(__xludf.DUMMYFUNCTION("""COMPUTED_VALUE"""),32245)</f>
        <v>32245</v>
      </c>
      <c r="L274" s="20" t="str">
        <f ca="1">IFERROR(__xludf.DUMMYFUNCTION("""COMPUTED_VALUE"""),"Poder Ejecutivo Provincial")</f>
        <v>Poder Ejecutivo Provincial</v>
      </c>
      <c r="M274" s="20" t="str">
        <f ca="1">IFERROR(__xludf.DUMMYFUNCTION("""COMPUTED_VALUE"""),"Solicitando acuerdo para designar al abogado Juan Manuel Delgado Fiscal General de la Provincia")</f>
        <v>Solicitando acuerdo para designar al abogado Juan Manuel Delgado Fiscal General de la Provincia</v>
      </c>
      <c r="N274" s="20" t="str">
        <f ca="1">IFERROR(__xludf.DUMMYFUNCTION("""COMPUTED_VALUE"""),"SI")</f>
        <v>SI</v>
      </c>
      <c r="O274" s="20" t="str">
        <f ca="1">IFERROR(__xludf.DUMMYFUNCTION("""COMPUTED_VALUE"""),"NO")</f>
        <v>NO</v>
      </c>
      <c r="P274" s="20">
        <f ca="1">IFERROR(__xludf.DUMMYFUNCTION("""COMPUTED_VALUE"""),0)</f>
        <v>0</v>
      </c>
      <c r="Q274" s="113" t="str">
        <f ca="1">IFERROR(__xludf.DUMMYFUNCTION("""COMPUTED_VALUE"""),"https://gld.legislaturacba.gob.ar/_cdd/api/Documento/descargar?guid=fafc476c-62d6-4bdc-ba25-35352759f694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v>
      </c>
      <c r="R274" s="113" t="str">
        <f ca="1">IFERROR(__xludf.DUMMYFUNCTION("""COMPUTED_VALUE"""),"https://www.youtube.com/watch?v=aySeCFRHCZQ")</f>
        <v>https://www.youtube.com/watch?v=aySeCFRHCZQ</v>
      </c>
      <c r="S274" s="113" t="str">
        <f ca="1">IFERROR(__xludf.DUMMYFUNCTION("""COMPUTED_VALUE"""),"https://gld.legislaturacba.gob.ar/Publics/Actas.aspx?id=JfxjNFcWuhg=")</f>
        <v>https://gld.legislaturacba.gob.ar/Publics/Actas.aspx?id=JfxjNFcWuhg=</v>
      </c>
      <c r="T274" s="99">
        <f t="shared" ca="1" si="0"/>
        <v>0</v>
      </c>
    </row>
    <row r="275" spans="1:20">
      <c r="A275" s="20">
        <f ca="1">IFERROR(__xludf.DUMMYFUNCTION("""COMPUTED_VALUE"""),37)</f>
        <v>37</v>
      </c>
      <c r="B275" s="20">
        <f ca="1">IFERROR(__xludf.DUMMYFUNCTION("""COMPUTED_VALUE"""),2021)</f>
        <v>2021</v>
      </c>
      <c r="C275" s="20" t="str">
        <f ca="1">IFERROR(__xludf.DUMMYFUNCTION("""COMPUTED_VALUE"""),"VIRTUAL")</f>
        <v>VIRTUAL</v>
      </c>
      <c r="D275" s="96">
        <f ca="1">IFERROR(__xludf.DUMMYFUNCTION("""COMPUTED_VALUE"""),44271)</f>
        <v>44271</v>
      </c>
      <c r="E275" s="20" t="str">
        <f ca="1">IFERROR(__xludf.DUMMYFUNCTION("""COMPUTED_VALUE"""),"NO")</f>
        <v>NO</v>
      </c>
      <c r="F275" s="20" t="str">
        <f ca="1">IFERROR(__xludf.DUMMYFUNCTION("""COMPUTED_VALUE"""),"SALUD HUMANA")</f>
        <v>SALUD HUMANA</v>
      </c>
      <c r="G275" s="20">
        <f ca="1">IFERROR(__xludf.DUMMYFUNCTION("""COMPUTED_VALUE"""),1)</f>
        <v>1</v>
      </c>
      <c r="H275" s="20">
        <f ca="1">IFERROR(__xludf.DUMMYFUNCTION("""COMPUTED_VALUE"""),2)</f>
        <v>2</v>
      </c>
      <c r="I275" s="20">
        <f ca="1">IFERROR(__xludf.DUMMYFUNCTION("""COMPUTED_VALUE"""),1)</f>
        <v>1</v>
      </c>
      <c r="J275" s="20" t="str">
        <f ca="1">IFERROR(__xludf.DUMMYFUNCTION("""COMPUTED_VALUE"""),"Resolución")</f>
        <v>Resolución</v>
      </c>
      <c r="K275" s="20">
        <f ca="1">IFERROR(__xludf.DUMMYFUNCTION("""COMPUTED_VALUE"""),32081)</f>
        <v>32081</v>
      </c>
      <c r="L275" s="20" t="str">
        <f ca="1">IFERROR(__xludf.DUMMYFUNCTION("""COMPUTED_VALUE"""),"Poder Legislativo Provincial")</f>
        <v>Poder Legislativo Provincial</v>
      </c>
      <c r="M275" s="20" t="str">
        <f ca="1">IFERROR(__xludf.DUMMYFUNCTION("""COMPUTED_VALUE"""),"Solicitando al Poder Ejecutivo informe (Art. 102 CP) sobre la vigencia y aplicación de la Ley Nacional N° 27610, de Acceso a la Interrupción Voluntaria del Embarazo (IVE)")</f>
        <v>Solicitando al Poder Ejecutivo informe (Art. 102 CP) sobre la vigencia y aplicación de la Ley Nacional N° 27610, de Acceso a la Interrupción Voluntaria del Embarazo (IVE)</v>
      </c>
      <c r="N275" s="20" t="str">
        <f ca="1">IFERROR(__xludf.DUMMYFUNCTION("""COMPUTED_VALUE"""),"NO")</f>
        <v>NO</v>
      </c>
      <c r="O275" s="20" t="str">
        <f ca="1">IFERROR(__xludf.DUMMYFUNCTION("""COMPUTED_VALUE"""),"SI")</f>
        <v>SI</v>
      </c>
      <c r="P275" s="20">
        <f ca="1">IFERROR(__xludf.DUMMYFUNCTION("""COMPUTED_VALUE"""),3)</f>
        <v>3</v>
      </c>
      <c r="Q275" s="113" t="str">
        <f ca="1">IFERROR(__xludf.DUMMYFUNCTION("""COMPUTED_VALUE"""),"https://gld.legislaturacba.gob.ar/_cdd/api/Documento/descargar?guid=105ae9f4-0303-4875-a242-a660672e5b50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v>
      </c>
      <c r="R275" s="113" t="str">
        <f ca="1">IFERROR(__xludf.DUMMYFUNCTION("""COMPUTED_VALUE"""),"https://www.youtube.com/watch?v=6aY3LHC_5yQ")</f>
        <v>https://www.youtube.com/watch?v=6aY3LHC_5yQ</v>
      </c>
      <c r="S275" s="113" t="str">
        <f ca="1">IFERROR(__xludf.DUMMYFUNCTION("""COMPUTED_VALUE"""),"https://gld.legislaturacba.gob.ar/Publics/Actas.aspx?id=d8mym5rBvwI=")</f>
        <v>https://gld.legislaturacba.gob.ar/Publics/Actas.aspx?id=d8mym5rBvwI=</v>
      </c>
      <c r="T275" s="99">
        <f t="shared" ca="1" si="0"/>
        <v>0</v>
      </c>
    </row>
    <row r="276" spans="1:20">
      <c r="A276" s="20">
        <f ca="1">IFERROR(__xludf.DUMMYFUNCTION("""COMPUTED_VALUE"""),38)</f>
        <v>38</v>
      </c>
      <c r="B276" s="20">
        <f ca="1">IFERROR(__xludf.DUMMYFUNCTION("""COMPUTED_VALUE"""),2021)</f>
        <v>2021</v>
      </c>
      <c r="C276" s="20" t="str">
        <f ca="1">IFERROR(__xludf.DUMMYFUNCTION("""COMPUTED_VALUE"""),"VIRTUAL")</f>
        <v>VIRTUAL</v>
      </c>
      <c r="D276" s="96">
        <f ca="1">IFERROR(__xludf.DUMMYFUNCTION("""COMPUTED_VALUE"""),44271)</f>
        <v>44271</v>
      </c>
      <c r="E276" s="20" t="str">
        <f ca="1">IFERROR(__xludf.DUMMYFUNCTION("""COMPUTED_VALUE"""),"NO")</f>
        <v>NO</v>
      </c>
      <c r="F276" s="20" t="str">
        <f ca="1">IFERROR(__xludf.DUMMYFUNCTION("""COMPUTED_VALUE"""),"SERVICIOS PÚBLICOS")</f>
        <v>SERVICIOS PÚBLICOS</v>
      </c>
      <c r="G276" s="20">
        <f ca="1">IFERROR(__xludf.DUMMYFUNCTION("""COMPUTED_VALUE"""),1)</f>
        <v>1</v>
      </c>
      <c r="H276" s="20">
        <f ca="1">IFERROR(__xludf.DUMMYFUNCTION("""COMPUTED_VALUE"""),1)</f>
        <v>1</v>
      </c>
      <c r="I276" s="20">
        <f ca="1">IFERROR(__xludf.DUMMYFUNCTION("""COMPUTED_VALUE"""),1)</f>
        <v>1</v>
      </c>
      <c r="J276" s="20" t="str">
        <f ca="1">IFERROR(__xludf.DUMMYFUNCTION("""COMPUTED_VALUE"""),"Ley")</f>
        <v>Ley</v>
      </c>
      <c r="K276" s="20">
        <f ca="1">IFERROR(__xludf.DUMMYFUNCTION("""COMPUTED_VALUE"""),31698)</f>
        <v>31698</v>
      </c>
      <c r="L276" s="20" t="str">
        <f ca="1">IFERROR(__xludf.DUMMYFUNCTION("""COMPUTED_VALUE"""),"Poder Legislativo Provincial")</f>
        <v>Poder Legislativo Provincial</v>
      </c>
      <c r="M276" s="20" t="str">
        <f ca="1">IFERROR(__xludf.DUMMYFUNCTION("""COMPUTED_VALUE"""),"Modificando la ley N° 8560, con el objeto de actualizar, unificar y sistematizar de la normativa de trancito provincial")</f>
        <v>Modificando la ley N° 8560, con el objeto de actualizar, unificar y sistematizar de la normativa de trancito provincial</v>
      </c>
      <c r="N276" s="20" t="str">
        <f ca="1">IFERROR(__xludf.DUMMYFUNCTION("""COMPUTED_VALUE"""),"NO")</f>
        <v>NO</v>
      </c>
      <c r="O276" s="20" t="str">
        <f ca="1">IFERROR(__xludf.DUMMYFUNCTION("""COMPUTED_VALUE"""),"NO")</f>
        <v>NO</v>
      </c>
      <c r="P276" s="20">
        <f ca="1">IFERROR(__xludf.DUMMYFUNCTION("""COMPUTED_VALUE"""),0)</f>
        <v>0</v>
      </c>
      <c r="Q276" s="113" t="str">
        <f ca="1">IFERROR(__xludf.DUMMYFUNCTION("""COMPUTED_VALUE"""),"https://gld.legislaturacba.gob.ar/_cdd/api/Documento/descargar?guid=9b741b9e-3841-4652-9834-3e7912c24d73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v>
      </c>
      <c r="R276" s="113" t="str">
        <f ca="1">IFERROR(__xludf.DUMMYFUNCTION("""COMPUTED_VALUE"""),"https://www.youtube.com/watch?v=9l_Mfb9-QEw")</f>
        <v>https://www.youtube.com/watch?v=9l_Mfb9-QEw</v>
      </c>
      <c r="S276" s="113" t="str">
        <f ca="1">IFERROR(__xludf.DUMMYFUNCTION("""COMPUTED_VALUE"""),"https://gld.legislaturacba.gob.ar/Publics/Actas.aspx?id=URU9j_j_GKk=")</f>
        <v>https://gld.legislaturacba.gob.ar/Publics/Actas.aspx?id=URU9j_j_GKk=</v>
      </c>
      <c r="T276" s="99">
        <f t="shared" ca="1" si="0"/>
        <v>0</v>
      </c>
    </row>
    <row r="277" spans="1:20">
      <c r="A277" s="20">
        <f ca="1">IFERROR(__xludf.DUMMYFUNCTION("""COMPUTED_VALUE"""),39)</f>
        <v>39</v>
      </c>
      <c r="B277" s="20">
        <f ca="1">IFERROR(__xludf.DUMMYFUNCTION("""COMPUTED_VALUE"""),2021)</f>
        <v>2021</v>
      </c>
      <c r="C277" s="20" t="str">
        <f ca="1">IFERROR(__xludf.DUMMYFUNCTION("""COMPUTED_VALUE"""),"VIRTUAL")</f>
        <v>VIRTUAL</v>
      </c>
      <c r="D277" s="96">
        <f ca="1">IFERROR(__xludf.DUMMYFUNCTION("""COMPUTED_VALUE"""),44272)</f>
        <v>44272</v>
      </c>
      <c r="E277" s="20" t="str">
        <f ca="1">IFERROR(__xludf.DUMMYFUNCTION("""COMPUTED_VALUE"""),"SI")</f>
        <v>SI</v>
      </c>
      <c r="F277" s="20" t="str">
        <f ca="1">IFERROR(__xludf.DUMMYFUNCTION("""COMPUTED_VALUE"""),"AGRICULTURA, GANADERÍA Y RECURSOS RENOVABLES;AMBIENTE;ECONOMÍA, PRESUPUESTO, GESTIÓN PÚBLICA E INNOVACIÓN;INDUSTRIA Y MINERÍA;PROMOCIÓN Y DESARROLLO DE LAS COMUNIDADES REGIONALES;SERVICIOS PÚBLICOS")</f>
        <v>AGRICULTURA, GANADERÍA Y RECURSOS RENOVABLES;AMBIENTE;ECONOMÍA, PRESUPUESTO, GESTIÓN PÚBLICA E INNOVACIÓN;INDUSTRIA Y MINERÍA;PROMOCIÓN Y DESARROLLO DE LAS COMUNIDADES REGIONALES;SERVICIOS PÚBLICOS</v>
      </c>
      <c r="G277" s="20">
        <f ca="1">IFERROR(__xludf.DUMMYFUNCTION("""COMPUTED_VALUE"""),6)</f>
        <v>6</v>
      </c>
      <c r="H277" s="20">
        <f ca="1">IFERROR(__xludf.DUMMYFUNCTION("""COMPUTED_VALUE"""),1)</f>
        <v>1</v>
      </c>
      <c r="I277" s="20">
        <f ca="1">IFERROR(__xludf.DUMMYFUNCTION("""COMPUTED_VALUE"""),1)</f>
        <v>1</v>
      </c>
      <c r="J277" s="20" t="str">
        <f ca="1">IFERROR(__xludf.DUMMYFUNCTION("""COMPUTED_VALUE"""),"NA")</f>
        <v>NA</v>
      </c>
      <c r="K277" s="20" t="str">
        <f ca="1">IFERROR(__xludf.DUMMYFUNCTION("""COMPUTED_VALUE"""),"NA")</f>
        <v>NA</v>
      </c>
      <c r="L277" s="20" t="str">
        <f ca="1">IFERROR(__xludf.DUMMYFUNCTION("""COMPUTED_VALUE"""),"NA")</f>
        <v>NA</v>
      </c>
      <c r="M277" s="20" t="str">
        <f ca="1">IFERROR(__xludf.DUMMYFUNCTION("""COMPUTED_VALUE"""),"Análisis y debate de la Ley Nacional N° 26093 de Biocombustibles, vencimiento de su vigencia")</f>
        <v>Análisis y debate de la Ley Nacional N° 26093 de Biocombustibles, vencimiento de su vigencia</v>
      </c>
      <c r="N277" s="20" t="str">
        <f ca="1">IFERROR(__xludf.DUMMYFUNCTION("""COMPUTED_VALUE"""),"NA")</f>
        <v>NA</v>
      </c>
      <c r="O277" s="20" t="str">
        <f ca="1">IFERROR(__xludf.DUMMYFUNCTION("""COMPUTED_VALUE"""),"SI")</f>
        <v>SI</v>
      </c>
      <c r="P277" s="20">
        <f ca="1">IFERROR(__xludf.DUMMYFUNCTION("""COMPUTED_VALUE"""),3)</f>
        <v>3</v>
      </c>
      <c r="Q277" s="113" t="str">
        <f ca="1">IFERROR(__xludf.DUMMYFUNCTION("""COMPUTED_VALUE"""),"https://gld.legislaturacba.gob.ar/_cdd/api/Documento/descargar?guid=389475de-3ba3-4f48-8a0d-fb13295c3360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v>
      </c>
      <c r="R277" s="113" t="str">
        <f ca="1">IFERROR(__xludf.DUMMYFUNCTION("""COMPUTED_VALUE"""),"https://www.youtube.com/watch?v=Sq5gsP4iYQ8")</f>
        <v>https://www.youtube.com/watch?v=Sq5gsP4iYQ8</v>
      </c>
      <c r="S277" s="113" t="str">
        <f ca="1">IFERROR(__xludf.DUMMYFUNCTION("""COMPUTED_VALUE"""),"https://gld.legislaturacba.gob.ar/Publics/Actas.aspx?id=gnzcGpKrQdY=;https://gld.legislaturacba.gob.ar/Publics/Actas.aspx?id=UzOAqctst_w=;https://gld.legislaturacba.gob.ar/Publics/Actas.aspx?id=sZMxpLFiimo=;https://gld.legislaturacba.gob.ar/Publics/Actas."&amp;"aspx?id=MO7dc0jOpII=;https://gld.legislaturacba.gob.ar/Publics/Actas.aspx?id=KffwCUV-u4s=;https://gld.legislaturacba.gob.ar/Publics/Actas.aspx?id=nlrQoMbYnhE=")</f>
        <v>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v>
      </c>
      <c r="T277" s="99">
        <f t="shared" ca="1" si="0"/>
        <v>0</v>
      </c>
    </row>
    <row r="278" spans="1:20">
      <c r="A278" s="20">
        <f ca="1">IFERROR(__xludf.DUMMYFUNCTION("""COMPUTED_VALUE"""),40)</f>
        <v>40</v>
      </c>
      <c r="B278" s="20">
        <f ca="1">IFERROR(__xludf.DUMMYFUNCTION("""COMPUTED_VALUE"""),2021)</f>
        <v>2021</v>
      </c>
      <c r="C278" s="20" t="str">
        <f ca="1">IFERROR(__xludf.DUMMYFUNCTION("""COMPUTED_VALUE"""),"VIRTUAL")</f>
        <v>VIRTUAL</v>
      </c>
      <c r="D278" s="96">
        <f ca="1">IFERROR(__xludf.DUMMYFUNCTION("""COMPUTED_VALUE"""),44273)</f>
        <v>44273</v>
      </c>
      <c r="E278" s="20" t="str">
        <f ca="1">IFERROR(__xludf.DUMMYFUNCTION("""COMPUTED_VALUE"""),"NO")</f>
        <v>NO</v>
      </c>
      <c r="F278" s="20" t="str">
        <f ca="1">IFERROR(__xludf.DUMMYFUNCTION("""COMPUTED_VALUE"""),"EQUIDAD Y LUCHA CONTRA LA VIOLENCIA DE GÉNERO")</f>
        <v>EQUIDAD Y LUCHA CONTRA LA VIOLENCIA DE GÉNERO</v>
      </c>
      <c r="G278" s="20">
        <f ca="1">IFERROR(__xludf.DUMMYFUNCTION("""COMPUTED_VALUE"""),1)</f>
        <v>1</v>
      </c>
      <c r="H278" s="20">
        <f ca="1">IFERROR(__xludf.DUMMYFUNCTION("""COMPUTED_VALUE"""),1)</f>
        <v>1</v>
      </c>
      <c r="I278" s="20">
        <f ca="1">IFERROR(__xludf.DUMMYFUNCTION("""COMPUTED_VALUE"""),1)</f>
        <v>1</v>
      </c>
      <c r="J278" s="20" t="str">
        <f ca="1">IFERROR(__xludf.DUMMYFUNCTION("""COMPUTED_VALUE"""),"NA")</f>
        <v>NA</v>
      </c>
      <c r="K278" s="20" t="str">
        <f ca="1">IFERROR(__xludf.DUMMYFUNCTION("""COMPUTED_VALUE"""),"NA")</f>
        <v>NA</v>
      </c>
      <c r="L278" s="20" t="str">
        <f ca="1">IFERROR(__xludf.DUMMYFUNCTION("""COMPUTED_VALUE"""),"NA")</f>
        <v>NA</v>
      </c>
      <c r="M278" s="20" t="str">
        <f ca="1">IFERROR(__xludf.DUMMYFUNCTION("""COMPUTED_VALUE"""),"Mujeres Lideres: Por un futuro igualitario en el mundo. La experiencia de perioditas mujeres durante la pandemia del Covid-19")</f>
        <v>Mujeres Lideres: Por un futuro igualitario en el mundo. La experiencia de perioditas mujeres durante la pandemia del Covid-19</v>
      </c>
      <c r="N278" s="20" t="str">
        <f ca="1">IFERROR(__xludf.DUMMYFUNCTION("""COMPUTED_VALUE"""),"NA")</f>
        <v>NA</v>
      </c>
      <c r="O278" s="20" t="str">
        <f ca="1">IFERROR(__xludf.DUMMYFUNCTION("""COMPUTED_VALUE"""),"SI")</f>
        <v>SI</v>
      </c>
      <c r="P278" s="20">
        <f ca="1">IFERROR(__xludf.DUMMYFUNCTION("""COMPUTED_VALUE"""),4)</f>
        <v>4</v>
      </c>
      <c r="Q278" s="113" t="str">
        <f ca="1">IFERROR(__xludf.DUMMYFUNCTION("""COMPUTED_VALUE"""),"https://gld.legislaturacba.gob.ar/_cdd/api/Documento/descargar?guid=03611288-4177-4c06-a092-51a1379dfa22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v>
      </c>
      <c r="R278" s="113" t="str">
        <f ca="1">IFERROR(__xludf.DUMMYFUNCTION("""COMPUTED_VALUE"""),"https://www.youtube.com/watch?v=lo0x62TsoD4")</f>
        <v>https://www.youtube.com/watch?v=lo0x62TsoD4</v>
      </c>
      <c r="S278" s="113" t="str">
        <f ca="1">IFERROR(__xludf.DUMMYFUNCTION("""COMPUTED_VALUE"""),"https://gld.legislaturacba.gob.ar/Publics/Actas.aspx?id=PqyYEfC4BkY=")</f>
        <v>https://gld.legislaturacba.gob.ar/Publics/Actas.aspx?id=PqyYEfC4BkY=</v>
      </c>
      <c r="T278" s="99">
        <f t="shared" ca="1" si="0"/>
        <v>0</v>
      </c>
    </row>
    <row r="279" spans="1:20">
      <c r="A279" s="20">
        <f ca="1">IFERROR(__xludf.DUMMYFUNCTION("""COMPUTED_VALUE"""),41)</f>
        <v>41</v>
      </c>
      <c r="B279" s="20">
        <f ca="1">IFERROR(__xludf.DUMMYFUNCTION("""COMPUTED_VALUE"""),2021)</f>
        <v>2021</v>
      </c>
      <c r="C279" s="20" t="str">
        <f ca="1">IFERROR(__xludf.DUMMYFUNCTION("""COMPUTED_VALUE"""),"VIRTUAL")</f>
        <v>VIRTUAL</v>
      </c>
      <c r="D279" s="96">
        <f ca="1">IFERROR(__xludf.DUMMYFUNCTION("""COMPUTED_VALUE"""),44273)</f>
        <v>44273</v>
      </c>
      <c r="E279" s="20" t="str">
        <f ca="1">IFERROR(__xludf.DUMMYFUNCTION("""COMPUTED_VALUE"""),"NO")</f>
        <v>NO</v>
      </c>
      <c r="F279" s="20" t="str">
        <f ca="1">IFERROR(__xludf.DUMMYFUNCTION("""COMPUTED_VALUE"""),"RELACIONES INTERNACIONALES, MERCOSUR Y COMERCIO EXTERIOR")</f>
        <v>RELACIONES INTERNACIONALES, MERCOSUR Y COMERCIO EXTERIOR</v>
      </c>
      <c r="G279" s="20">
        <f ca="1">IFERROR(__xludf.DUMMYFUNCTION("""COMPUTED_VALUE"""),1)</f>
        <v>1</v>
      </c>
      <c r="H279" s="20">
        <f ca="1">IFERROR(__xludf.DUMMYFUNCTION("""COMPUTED_VALUE"""),1)</f>
        <v>1</v>
      </c>
      <c r="I279" s="20">
        <f ca="1">IFERROR(__xludf.DUMMYFUNCTION("""COMPUTED_VALUE"""),1)</f>
        <v>1</v>
      </c>
      <c r="J279" s="20" t="str">
        <f ca="1">IFERROR(__xludf.DUMMYFUNCTION("""COMPUTED_VALUE"""),"NA")</f>
        <v>NA</v>
      </c>
      <c r="K279" s="20" t="str">
        <f ca="1">IFERROR(__xludf.DUMMYFUNCTION("""COMPUTED_VALUE"""),"NA")</f>
        <v>NA</v>
      </c>
      <c r="L279" s="20" t="str">
        <f ca="1">IFERROR(__xludf.DUMMYFUNCTION("""COMPUTED_VALUE"""),"NA")</f>
        <v>NA</v>
      </c>
      <c r="M279" s="20" t="str">
        <f ca="1">IFERROR(__xludf.DUMMYFUNCTION("""COMPUTED_VALUE"""),"Vinculación económica y política de la Provincia de Córdoba con España")</f>
        <v>Vinculación económica y política de la Provincia de Córdoba con España</v>
      </c>
      <c r="N279" s="20" t="str">
        <f ca="1">IFERROR(__xludf.DUMMYFUNCTION("""COMPUTED_VALUE"""),"NA")</f>
        <v>NA</v>
      </c>
      <c r="O279" s="20" t="str">
        <f ca="1">IFERROR(__xludf.DUMMYFUNCTION("""COMPUTED_VALUE"""),"SI")</f>
        <v>SI</v>
      </c>
      <c r="P279" s="20">
        <f ca="1">IFERROR(__xludf.DUMMYFUNCTION("""COMPUTED_VALUE"""),1)</f>
        <v>1</v>
      </c>
      <c r="Q279" s="113" t="str">
        <f ca="1">IFERROR(__xludf.DUMMYFUNCTION("""COMPUTED_VALUE"""),"https://gld.legislaturacba.gob.ar/_cdd/api/Documento/descargar?guid=58690c94-0d00-467f-add9-b529a0121f39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v>
      </c>
      <c r="R279" s="113" t="str">
        <f ca="1">IFERROR(__xludf.DUMMYFUNCTION("""COMPUTED_VALUE"""),"https://www.youtube.com/watch?v=BwCJo5wrvuY")</f>
        <v>https://www.youtube.com/watch?v=BwCJo5wrvuY</v>
      </c>
      <c r="S279" s="113" t="str">
        <f ca="1">IFERROR(__xludf.DUMMYFUNCTION("""COMPUTED_VALUE"""),"https://gld.legislaturacba.gob.ar/Publics/Actas.aspx?id=fbGSUzz4iM8=")</f>
        <v>https://gld.legislaturacba.gob.ar/Publics/Actas.aspx?id=fbGSUzz4iM8=</v>
      </c>
      <c r="T279" s="99">
        <f t="shared" ca="1" si="0"/>
        <v>0</v>
      </c>
    </row>
    <row r="280" spans="1:20">
      <c r="A280" s="20">
        <f ca="1">IFERROR(__xludf.DUMMYFUNCTION("""COMPUTED_VALUE"""),42)</f>
        <v>42</v>
      </c>
      <c r="B280" s="20">
        <f ca="1">IFERROR(__xludf.DUMMYFUNCTION("""COMPUTED_VALUE"""),2021)</f>
        <v>2021</v>
      </c>
      <c r="C280" s="20" t="str">
        <f ca="1">IFERROR(__xludf.DUMMYFUNCTION("""COMPUTED_VALUE"""),"VIRTUAL")</f>
        <v>VIRTUAL</v>
      </c>
      <c r="D280" s="96">
        <f ca="1">IFERROR(__xludf.DUMMYFUNCTION("""COMPUTED_VALUE"""),44273)</f>
        <v>44273</v>
      </c>
      <c r="E280" s="20" t="str">
        <f ca="1">IFERROR(__xludf.DUMMYFUNCTION("""COMPUTED_VALUE"""),"SI")</f>
        <v>SI</v>
      </c>
      <c r="F280" s="20" t="str">
        <f ca="1">IFERROR(__xludf.DUMMYFUNCTION("""COMPUTED_VALUE"""),"DERECHOS HUMANOS Y DESARROLLO SOCIAL;EDUCACIÓN, CULTURA, CIENCIA, TECNOLOGÍA E INFORMÁTICA")</f>
        <v>DERECHOS HUMANOS Y DESARROLLO SOCIAL;EDUCACIÓN, CULTURA, CIENCIA, TECNOLOGÍA E INFORMÁTICA</v>
      </c>
      <c r="G280" s="20">
        <f ca="1">IFERROR(__xludf.DUMMYFUNCTION("""COMPUTED_VALUE"""),2)</f>
        <v>2</v>
      </c>
      <c r="H280" s="20">
        <f ca="1">IFERROR(__xludf.DUMMYFUNCTION("""COMPUTED_VALUE"""),1)</f>
        <v>1</v>
      </c>
      <c r="I280" s="20">
        <f ca="1">IFERROR(__xludf.DUMMYFUNCTION("""COMPUTED_VALUE"""),1)</f>
        <v>1</v>
      </c>
      <c r="J280" s="20" t="str">
        <f ca="1">IFERROR(__xludf.DUMMYFUNCTION("""COMPUTED_VALUE"""),"Ley")</f>
        <v>Ley</v>
      </c>
      <c r="K280" s="20">
        <f ca="1">IFERROR(__xludf.DUMMYFUNCTION("""COMPUTED_VALUE"""),32236)</f>
        <v>32236</v>
      </c>
      <c r="L280" s="20" t="str">
        <f ca="1">IFERROR(__xludf.DUMMYFUNCTION("""COMPUTED_VALUE"""),"Poder Legislativo Provincial")</f>
        <v>Poder Legislativo Provincial</v>
      </c>
      <c r="M280" s="20" t="str">
        <f ca="1">IFERROR(__xludf.DUMMYFUNCTION("""COMPUTED_VALUE"""),"Declarando a las actas de sentencia, expedientes y materiales fílmicos de las audiencias de los procesos judiciales de Memoria, Verdad y Justicia, como parte integrante del Patrimonio Histórico y Cultural de la Provincia de Córdoba")</f>
        <v>Declarando a las actas de sentencia, expedientes y materiales fílmicos de las audiencias de los procesos judiciales de Memoria, Verdad y Justicia, como parte integrante del Patrimonio Histórico y Cultural de la Provincia de Córdoba</v>
      </c>
      <c r="N280" s="20" t="str">
        <f ca="1">IFERROR(__xludf.DUMMYFUNCTION("""COMPUTED_VALUE"""),"SI")</f>
        <v>SI</v>
      </c>
      <c r="O280" s="20" t="str">
        <f ca="1">IFERROR(__xludf.DUMMYFUNCTION("""COMPUTED_VALUE"""),"NO")</f>
        <v>NO</v>
      </c>
      <c r="P280" s="20">
        <f ca="1">IFERROR(__xludf.DUMMYFUNCTION("""COMPUTED_VALUE"""),0)</f>
        <v>0</v>
      </c>
      <c r="Q280" s="113" t="str">
        <f ca="1">IFERROR(__xludf.DUMMYFUNCTION("""COMPUTED_VALUE"""),"https://gld.legislaturacba.gob.ar/_cdd/api/Documento/descargar?guid=d6a2855b-d010-4774-9738-d7ca3e74052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v>
      </c>
      <c r="R280" s="113" t="str">
        <f ca="1">IFERROR(__xludf.DUMMYFUNCTION("""COMPUTED_VALUE"""),"https://www.youtube.com/watch?v=mvO0DYQpr4c")</f>
        <v>https://www.youtube.com/watch?v=mvO0DYQpr4c</v>
      </c>
      <c r="S280" s="113" t="str">
        <f ca="1">IFERROR(__xludf.DUMMYFUNCTION("""COMPUTED_VALUE"""),"https://gld.legislaturacba.gob.ar/Publics/Actas.aspx?id=O1Z_yZyEycQ=;https://gld.legislaturacba.gob.ar/Publics/Actas.aspx?id=mVrYOzWhiR4=")</f>
        <v>https://gld.legislaturacba.gob.ar/Publics/Actas.aspx?id=O1Z_yZyEycQ=;https://gld.legislaturacba.gob.ar/Publics/Actas.aspx?id=mVrYOzWhiR4=</v>
      </c>
      <c r="T280" s="99">
        <f t="shared" ca="1" si="0"/>
        <v>0</v>
      </c>
    </row>
    <row r="281" spans="1:20">
      <c r="A281" s="20">
        <f ca="1">IFERROR(__xludf.DUMMYFUNCTION("""COMPUTED_VALUE"""),43)</f>
        <v>43</v>
      </c>
      <c r="B281" s="20">
        <f ca="1">IFERROR(__xludf.DUMMYFUNCTION("""COMPUTED_VALUE"""),2021)</f>
        <v>2021</v>
      </c>
      <c r="C281" s="20" t="str">
        <f ca="1">IFERROR(__xludf.DUMMYFUNCTION("""COMPUTED_VALUE"""),"VIRTUAL")</f>
        <v>VIRTUAL</v>
      </c>
      <c r="D281" s="96">
        <f ca="1">IFERROR(__xludf.DUMMYFUNCTION("""COMPUTED_VALUE"""),44280)</f>
        <v>44280</v>
      </c>
      <c r="E281" s="20" t="str">
        <f ca="1">IFERROR(__xludf.DUMMYFUNCTION("""COMPUTED_VALUE"""),"SI")</f>
        <v>SI</v>
      </c>
      <c r="F281" s="20" t="str">
        <f ca="1">IFERROR(__xludf.DUMMYFUNCTION("""COMPUTED_VALUE"""),"ECONOMÍA, PRESUPUESTO, GESTIÓN PÚBLICA E INNOVACIÓN;SERVICIOS PÚBLICOS")</f>
        <v>ECONOMÍA, PRESUPUESTO, GESTIÓN PÚBLICA E INNOVACIÓN;SERVICIOS PÚBLICOS</v>
      </c>
      <c r="G281" s="20">
        <f ca="1">IFERROR(__xludf.DUMMYFUNCTION("""COMPUTED_VALUE"""),2)</f>
        <v>2</v>
      </c>
      <c r="H281" s="20">
        <f ca="1">IFERROR(__xludf.DUMMYFUNCTION("""COMPUTED_VALUE"""),1)</f>
        <v>1</v>
      </c>
      <c r="I281" s="20">
        <f ca="1">IFERROR(__xludf.DUMMYFUNCTION("""COMPUTED_VALUE"""),1)</f>
        <v>1</v>
      </c>
      <c r="J281" s="20" t="str">
        <f ca="1">IFERROR(__xludf.DUMMYFUNCTION("""COMPUTED_VALUE"""),"Ley")</f>
        <v>Ley</v>
      </c>
      <c r="K281" s="20">
        <f ca="1">IFERROR(__xludf.DUMMYFUNCTION("""COMPUTED_VALUE"""),32265)</f>
        <v>32265</v>
      </c>
      <c r="L281" s="20" t="str">
        <f ca="1">IFERROR(__xludf.DUMMYFUNCTION("""COMPUTED_VALUE"""),"Poder Ejecutivo Provincial")</f>
        <v>Poder Ejecutivo Provincial</v>
      </c>
      <c r="M281" s="20" t="str">
        <f ca="1">IFERROR(__xludf.DUMMYFUNCTION("""COMPUTED_VALUE"""),"Ratificando el Decreto N° 653/20, mediante el cual se dispone un régimen de diferimiento y exención, según el caso, de la Tasa Retributiva de Servicio, determinada en el artículo 109, inciso 1°, puntos 1.1, 1.2 y 1.3, de la Ley Impositiva N° 10680, destin"&amp;"ado a personas humanas o jurídicas titulares de concesiones o permisos que realicen la prestación del servicio de transporte de automotor de pasajeros interurbano, en el ámbito de la Provincia de Córdoba")</f>
        <v>Ratificando el Decreto N° 653/20, mediante el cual se dispone un régimen de diferimiento y exención, según el caso, de la Tasa Retributiva de Servicio, determinada en el artículo 109, inciso 1°, puntos 1.1, 1.2 y 1.3, de la Ley Impositiva N° 10680, destinado a personas humanas o jurídicas titulares de concesiones o permisos que realicen la prestación del servicio de transporte de automotor de pasajeros interurbano, en el ámbito de la Provincia de Córdoba</v>
      </c>
      <c r="N281" s="20" t="str">
        <f ca="1">IFERROR(__xludf.DUMMYFUNCTION("""COMPUTED_VALUE"""),"SI")</f>
        <v>SI</v>
      </c>
      <c r="O281" s="20" t="str">
        <f ca="1">IFERROR(__xludf.DUMMYFUNCTION("""COMPUTED_VALUE"""),"NO")</f>
        <v>NO</v>
      </c>
      <c r="P281" s="20">
        <f ca="1">IFERROR(__xludf.DUMMYFUNCTION("""COMPUTED_VALUE"""),0)</f>
        <v>0</v>
      </c>
      <c r="Q281" s="113" t="str">
        <f ca="1">IFERROR(__xludf.DUMMYFUNCTION("""COMPUTED_VALUE"""),"https://gld.legislaturacba.gob.ar/_cdd/api/Documento/descargar?guid=6f4a468d-d556-4ab4-8496-99e068b23130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v>
      </c>
      <c r="R281" s="113" t="str">
        <f ca="1">IFERROR(__xludf.DUMMYFUNCTION("""COMPUTED_VALUE"""),"https://www.youtube.com/watch?v=egSDKsZWo1o")</f>
        <v>https://www.youtube.com/watch?v=egSDKsZWo1o</v>
      </c>
      <c r="S281" s="113" t="str">
        <f ca="1">IFERROR(__xludf.DUMMYFUNCTION("""COMPUTED_VALUE"""),"https://gld.legislaturacba.gob.ar/Publics/Actas.aspx?id=RyDoqZbPMtM=;https://gld.legislaturacba.gob.ar/Publics/Actas.aspx?id=_0KyI6jZhVo=")</f>
        <v>https://gld.legislaturacba.gob.ar/Publics/Actas.aspx?id=RyDoqZbPMtM=;https://gld.legislaturacba.gob.ar/Publics/Actas.aspx?id=_0KyI6jZhVo=</v>
      </c>
      <c r="T281" s="99">
        <f t="shared" ca="1" si="0"/>
        <v>0</v>
      </c>
    </row>
    <row r="282" spans="1:20">
      <c r="A282" s="20">
        <f ca="1">IFERROR(__xludf.DUMMYFUNCTION("""COMPUTED_VALUE"""),44)</f>
        <v>44</v>
      </c>
      <c r="B282" s="20">
        <f ca="1">IFERROR(__xludf.DUMMYFUNCTION("""COMPUTED_VALUE"""),2021)</f>
        <v>2021</v>
      </c>
      <c r="C282" s="20" t="str">
        <f ca="1">IFERROR(__xludf.DUMMYFUNCTION("""COMPUTED_VALUE"""),"VIRTUAL")</f>
        <v>VIRTUAL</v>
      </c>
      <c r="D282" s="96">
        <f ca="1">IFERROR(__xludf.DUMMYFUNCTION("""COMPUTED_VALUE"""),44280)</f>
        <v>44280</v>
      </c>
      <c r="E282" s="20" t="str">
        <f ca="1">IFERROR(__xludf.DUMMYFUNCTION("""COMPUTED_VALUE"""),"SI")</f>
        <v>SI</v>
      </c>
      <c r="F282" s="20" t="str">
        <f ca="1">IFERROR(__xludf.DUMMYFUNCTION("""COMPUTED_VALUE"""),"AGRICULTURA, GANADERÍA Y RECURSOS RENOVABLES;AMBIENTE;ECONOMÍA, PRESUPUESTO, GESTIÓN PÚBLICA E INNOVACIÓN;INDUSTRIA Y MINERÍA;PROMOCIÓN Y DESARROLLO DE LAS COMUNIDADES REGIONALES;SERVICIOS PÚBLICOS")</f>
        <v>AGRICULTURA, GANADERÍA Y RECURSOS RENOVABLES;AMBIENTE;ECONOMÍA, PRESUPUESTO, GESTIÓN PÚBLICA E INNOVACIÓN;INDUSTRIA Y MINERÍA;PROMOCIÓN Y DESARROLLO DE LAS COMUNIDADES REGIONALES;SERVICIOS PÚBLICOS</v>
      </c>
      <c r="G282" s="20">
        <f ca="1">IFERROR(__xludf.DUMMYFUNCTION("""COMPUTED_VALUE"""),6)</f>
        <v>6</v>
      </c>
      <c r="H282" s="20">
        <f ca="1">IFERROR(__xludf.DUMMYFUNCTION("""COMPUTED_VALUE"""),1)</f>
        <v>1</v>
      </c>
      <c r="I282" s="20">
        <f ca="1">IFERROR(__xludf.DUMMYFUNCTION("""COMPUTED_VALUE"""),1)</f>
        <v>1</v>
      </c>
      <c r="J282" s="20" t="str">
        <f ca="1">IFERROR(__xludf.DUMMYFUNCTION("""COMPUTED_VALUE"""),"NA")</f>
        <v>NA</v>
      </c>
      <c r="K282" s="20" t="str">
        <f ca="1">IFERROR(__xludf.DUMMYFUNCTION("""COMPUTED_VALUE"""),"NA")</f>
        <v>NA</v>
      </c>
      <c r="L282" s="20" t="str">
        <f ca="1">IFERROR(__xludf.DUMMYFUNCTION("""COMPUTED_VALUE"""),"NA")</f>
        <v>NA</v>
      </c>
      <c r="M282" s="20" t="str">
        <f ca="1">IFERROR(__xludf.DUMMYFUNCTION("""COMPUTED_VALUE"""),"Analisis y debate de la Ley Nacional N° 26093 de Biocombustibles, vencimiento de su vigencia")</f>
        <v>Analisis y debate de la Ley Nacional N° 26093 de Biocombustibles, vencimiento de su vigencia</v>
      </c>
      <c r="N282" s="20" t="str">
        <f ca="1">IFERROR(__xludf.DUMMYFUNCTION("""COMPUTED_VALUE"""),"NA")</f>
        <v>NA</v>
      </c>
      <c r="O282" s="20" t="str">
        <f ca="1">IFERROR(__xludf.DUMMYFUNCTION("""COMPUTED_VALUE"""),"SI")</f>
        <v>SI</v>
      </c>
      <c r="P282" s="20">
        <f ca="1">IFERROR(__xludf.DUMMYFUNCTION("""COMPUTED_VALUE"""),3)</f>
        <v>3</v>
      </c>
      <c r="Q282" s="113" t="str">
        <f ca="1">IFERROR(__xludf.DUMMYFUNCTION("""COMPUTED_VALUE"""),"https://gld.legislaturacba.gob.ar/_cdd/api/Documento/descargar?guid=21cf3215-6c80-49bd-99ea-135ba301d67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v>
      </c>
      <c r="R282" s="113" t="str">
        <f ca="1">IFERROR(__xludf.DUMMYFUNCTION("""COMPUTED_VALUE"""),"https://www.youtube.com/watch?v=y_wSIIFkfao")</f>
        <v>https://www.youtube.com/watch?v=y_wSIIFkfao</v>
      </c>
      <c r="S282" s="113" t="str">
        <f ca="1">IFERROR(__xludf.DUMMYFUNCTION("""COMPUTED_VALUE"""),"https://gld.legislaturacba.gob.ar/Publics/Actas.aspx?id=HOFoUa51IWk=;https://gld.legislaturacba.gob.ar/Publics/Actas.aspx?id=vwpWmHw2MEs=;https://gld.legislaturacba.gob.ar/Publics/Actas.aspx?id=vhkx5Ns0EzA=;https://gld.legislaturacba.gob.ar/Publics/Actas."&amp;"aspx?id=TfjeTqNCQAA=;https://gld.legislaturacba.gob.ar/Publics/Actas.aspx?id=WF5Y9JBFcAY=;https://gld.legislaturacba.gob.ar/Publics/Actas.aspx?id=ZHwBW7yfp80=")</f>
        <v>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v>
      </c>
      <c r="T282" s="99">
        <f t="shared" ca="1" si="0"/>
        <v>0</v>
      </c>
    </row>
    <row r="283" spans="1:20">
      <c r="A283" s="20">
        <f ca="1">IFERROR(__xludf.DUMMYFUNCTION("""COMPUTED_VALUE"""),45)</f>
        <v>45</v>
      </c>
      <c r="B283" s="20">
        <f ca="1">IFERROR(__xludf.DUMMYFUNCTION("""COMPUTED_VALUE"""),2021)</f>
        <v>2021</v>
      </c>
      <c r="C283" s="20" t="str">
        <f ca="1">IFERROR(__xludf.DUMMYFUNCTION("""COMPUTED_VALUE"""),"VIRTUAL")</f>
        <v>VIRTUAL</v>
      </c>
      <c r="D283" s="96">
        <f ca="1">IFERROR(__xludf.DUMMYFUNCTION("""COMPUTED_VALUE"""),44280)</f>
        <v>44280</v>
      </c>
      <c r="E283" s="20" t="str">
        <f ca="1">IFERROR(__xludf.DUMMYFUNCTION("""COMPUTED_VALUE"""),"NO")</f>
        <v>NO</v>
      </c>
      <c r="F283" s="20" t="str">
        <f ca="1">IFERROR(__xludf.DUMMYFUNCTION("""COMPUTED_VALUE"""),"SERVICIOS PÚBLICOS")</f>
        <v>SERVICIOS PÚBLICOS</v>
      </c>
      <c r="G283" s="20">
        <f ca="1">IFERROR(__xludf.DUMMYFUNCTION("""COMPUTED_VALUE"""),1)</f>
        <v>1</v>
      </c>
      <c r="H283" s="20">
        <f ca="1">IFERROR(__xludf.DUMMYFUNCTION("""COMPUTED_VALUE"""),1)</f>
        <v>1</v>
      </c>
      <c r="I283" s="20">
        <f ca="1">IFERROR(__xludf.DUMMYFUNCTION("""COMPUTED_VALUE"""),1)</f>
        <v>1</v>
      </c>
      <c r="J283" s="20" t="str">
        <f ca="1">IFERROR(__xludf.DUMMYFUNCTION("""COMPUTED_VALUE"""),"Ley")</f>
        <v>Ley</v>
      </c>
      <c r="K283" s="20">
        <f ca="1">IFERROR(__xludf.DUMMYFUNCTION("""COMPUTED_VALUE"""),31698)</f>
        <v>31698</v>
      </c>
      <c r="L283" s="20" t="str">
        <f ca="1">IFERROR(__xludf.DUMMYFUNCTION("""COMPUTED_VALUE"""),"Poder Legislativo Provincial")</f>
        <v>Poder Legislativo Provincial</v>
      </c>
      <c r="M283" s="20" t="str">
        <f ca="1">IFERROR(__xludf.DUMMYFUNCTION("""COMPUTED_VALUE"""),"Proyecto de Ley 31698/L/20, iniciado por el legislador Ambrosio, modificando la ley n°8560, con el objeto de actualizar, unificar y sistematizar la normativa de tránsito provincial")</f>
        <v>Proyecto de Ley 31698/L/20, iniciado por el legislador Ambrosio, modificando la ley n°8560, con el objeto de actualizar, unificar y sistematizar la normativa de tránsito provincial</v>
      </c>
      <c r="N283" s="20" t="str">
        <f ca="1">IFERROR(__xludf.DUMMYFUNCTION("""COMPUTED_VALUE"""),"NO")</f>
        <v>NO</v>
      </c>
      <c r="O283" s="20" t="str">
        <f ca="1">IFERROR(__xludf.DUMMYFUNCTION("""COMPUTED_VALUE"""),"SI")</f>
        <v>SI</v>
      </c>
      <c r="P283" s="20">
        <f ca="1">IFERROR(__xludf.DUMMYFUNCTION("""COMPUTED_VALUE"""),1)</f>
        <v>1</v>
      </c>
      <c r="Q283" s="113" t="str">
        <f ca="1">IFERROR(__xludf.DUMMYFUNCTION("""COMPUTED_VALUE"""),"https://gld.legislaturacba.gob.ar/_cdd/api/Documento/descargar?guid=1ba51812-f47c-44a5-8755-3063aac858b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v>
      </c>
      <c r="R283" s="113" t="str">
        <f ca="1">IFERROR(__xludf.DUMMYFUNCTION("""COMPUTED_VALUE"""),"https://www.youtube.com/watch?v=TrkZLeXAx90")</f>
        <v>https://www.youtube.com/watch?v=TrkZLeXAx90</v>
      </c>
      <c r="S283" s="113" t="str">
        <f ca="1">IFERROR(__xludf.DUMMYFUNCTION("""COMPUTED_VALUE"""),"https://gld.legislaturacba.gob.ar/Publics/Actas.aspx?id=wv8ae8KiYfI=")</f>
        <v>https://gld.legislaturacba.gob.ar/Publics/Actas.aspx?id=wv8ae8KiYfI=</v>
      </c>
      <c r="T283" s="99">
        <f t="shared" ca="1" si="0"/>
        <v>0</v>
      </c>
    </row>
    <row r="284" spans="1:20">
      <c r="A284" s="20">
        <f ca="1">IFERROR(__xludf.DUMMYFUNCTION("""COMPUTED_VALUE"""),46)</f>
        <v>46</v>
      </c>
      <c r="B284" s="20">
        <f ca="1">IFERROR(__xludf.DUMMYFUNCTION("""COMPUTED_VALUE"""),2021)</f>
        <v>2021</v>
      </c>
      <c r="C284" s="20" t="str">
        <f ca="1">IFERROR(__xludf.DUMMYFUNCTION("""COMPUTED_VALUE"""),"VIRTUAL")</f>
        <v>VIRTUAL</v>
      </c>
      <c r="D284" s="96">
        <f ca="1">IFERROR(__xludf.DUMMYFUNCTION("""COMPUTED_VALUE"""),44280)</f>
        <v>44280</v>
      </c>
      <c r="E284" s="20" t="str">
        <f ca="1">IFERROR(__xludf.DUMMYFUNCTION("""COMPUTED_VALUE"""),"NO")</f>
        <v>NO</v>
      </c>
      <c r="F284" s="20" t="str">
        <f ca="1">IFERROR(__xludf.DUMMYFUNCTION("""COMPUTED_VALUE"""),"ASUNTOS CONSTITUCIONALES, JUSTICIA Y ACUERDOS")</f>
        <v>ASUNTOS CONSTITUCIONALES, JUSTICIA Y ACUERDOS</v>
      </c>
      <c r="G284" s="20">
        <f ca="1">IFERROR(__xludf.DUMMYFUNCTION("""COMPUTED_VALUE"""),1)</f>
        <v>1</v>
      </c>
      <c r="H284" s="20">
        <f ca="1">IFERROR(__xludf.DUMMYFUNCTION("""COMPUTED_VALUE"""),1)</f>
        <v>1</v>
      </c>
      <c r="I284" s="20">
        <f ca="1">IFERROR(__xludf.DUMMYFUNCTION("""COMPUTED_VALUE"""),1)</f>
        <v>1</v>
      </c>
      <c r="J284" s="20" t="str">
        <f ca="1">IFERROR(__xludf.DUMMYFUNCTION("""COMPUTED_VALUE"""),"Ley")</f>
        <v>Ley</v>
      </c>
      <c r="K284" s="20">
        <f ca="1">IFERROR(__xludf.DUMMYFUNCTION("""COMPUTED_VALUE"""),32045)</f>
        <v>32045</v>
      </c>
      <c r="L284" s="20" t="str">
        <f ca="1">IFERROR(__xludf.DUMMYFUNCTION("""COMPUTED_VALUE"""),"Poder Ejecutivo Provincial")</f>
        <v>Poder Ejecutivo Provincial</v>
      </c>
      <c r="M284" s="20" t="str">
        <f ca="1">IFERROR(__xludf.DUMMYFUNCTION("""COMPUTED_VALUE"""),"Modificando los artículos 468 y 474 de la Ley Nº 8123 (Código Procesal Penal de la provincia de Córdoba) con el objetivo de garantizar el derecho de recurrir el fallo condenatorio ante el juez o tribunal superior")</f>
        <v>Modificando los artículos 468 y 474 de la Ley Nº 8123 (Código Procesal Penal de la provincia de Córdoba) con el objetivo de garantizar el derecho de recurrir el fallo condenatorio ante el juez o tribunal superior</v>
      </c>
      <c r="N284" s="20" t="str">
        <f ca="1">IFERROR(__xludf.DUMMYFUNCTION("""COMPUTED_VALUE"""),"SI")</f>
        <v>SI</v>
      </c>
      <c r="O284" s="20" t="str">
        <f ca="1">IFERROR(__xludf.DUMMYFUNCTION("""COMPUTED_VALUE"""),"SI")</f>
        <v>SI</v>
      </c>
      <c r="P284" s="20">
        <f ca="1">IFERROR(__xludf.DUMMYFUNCTION("""COMPUTED_VALUE"""),1)</f>
        <v>1</v>
      </c>
      <c r="Q284" s="113" t="str">
        <f ca="1">IFERROR(__xludf.DUMMYFUNCTION("""COMPUTED_VALUE"""),"https://gld.legislaturacba.gob.ar/_cdd/api/Documento/descargar?guid=1bb539f6-9451-462c-a238-388f3e46a0e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v>
      </c>
      <c r="R284" s="113" t="str">
        <f ca="1">IFERROR(__xludf.DUMMYFUNCTION("""COMPUTED_VALUE"""),"https://www.youtube.com/watch?v=NrYBF1ivJXg")</f>
        <v>https://www.youtube.com/watch?v=NrYBF1ivJXg</v>
      </c>
      <c r="S284" s="113" t="str">
        <f ca="1">IFERROR(__xludf.DUMMYFUNCTION("""COMPUTED_VALUE"""),"https://gld.legislaturacba.gob.ar/Publics/Actas.aspx?id=HTTcZL031CY=")</f>
        <v>https://gld.legislaturacba.gob.ar/Publics/Actas.aspx?id=HTTcZL031CY=</v>
      </c>
      <c r="T284" s="99">
        <f t="shared" ca="1" si="0"/>
        <v>0</v>
      </c>
    </row>
    <row r="285" spans="1:20">
      <c r="A285" s="20">
        <f ca="1">IFERROR(__xludf.DUMMYFUNCTION("""COMPUTED_VALUE"""),47)</f>
        <v>47</v>
      </c>
      <c r="B285" s="20">
        <f ca="1">IFERROR(__xludf.DUMMYFUNCTION("""COMPUTED_VALUE"""),2021)</f>
        <v>2021</v>
      </c>
      <c r="C285" s="20" t="str">
        <f ca="1">IFERROR(__xludf.DUMMYFUNCTION("""COMPUTED_VALUE"""),"VIRTUAL")</f>
        <v>VIRTUAL</v>
      </c>
      <c r="D285" s="96">
        <f ca="1">IFERROR(__xludf.DUMMYFUNCTION("""COMPUTED_VALUE"""),44285)</f>
        <v>44285</v>
      </c>
      <c r="E285" s="20" t="str">
        <f ca="1">IFERROR(__xludf.DUMMYFUNCTION("""COMPUTED_VALUE"""),"NO")</f>
        <v>NO</v>
      </c>
      <c r="F285" s="20" t="str">
        <f ca="1">IFERROR(__xludf.DUMMYFUNCTION("""COMPUTED_VALUE"""),"LEGISLACIÓN DEL TRABAJO, PREVISIÓN Y SEGURIDAD SOCIAL")</f>
        <v>LEGISLACIÓN DEL TRABAJO, PREVISIÓN Y SEGURIDAD SOCIAL</v>
      </c>
      <c r="G285" s="20">
        <f ca="1">IFERROR(__xludf.DUMMYFUNCTION("""COMPUTED_VALUE"""),1)</f>
        <v>1</v>
      </c>
      <c r="H285" s="20">
        <f ca="1">IFERROR(__xludf.DUMMYFUNCTION("""COMPUTED_VALUE"""),1)</f>
        <v>1</v>
      </c>
      <c r="I285" s="20">
        <f ca="1">IFERROR(__xludf.DUMMYFUNCTION("""COMPUTED_VALUE"""),1)</f>
        <v>1</v>
      </c>
      <c r="J285" s="20" t="str">
        <f ca="1">IFERROR(__xludf.DUMMYFUNCTION("""COMPUTED_VALUE"""),"NA")</f>
        <v>NA</v>
      </c>
      <c r="K285" s="20" t="str">
        <f ca="1">IFERROR(__xludf.DUMMYFUNCTION("""COMPUTED_VALUE"""),"NA")</f>
        <v>NA</v>
      </c>
      <c r="L285" s="20" t="str">
        <f ca="1">IFERROR(__xludf.DUMMYFUNCTION("""COMPUTED_VALUE"""),"NA")</f>
        <v>NA</v>
      </c>
      <c r="M285" s="20" t="str">
        <f ca="1">IFERROR(__xludf.DUMMYFUNCTION("""COMPUTED_VALUE"""),"Informe de gestión del Ministerio de Trabajo")</f>
        <v>Informe de gestión del Ministerio de Trabajo</v>
      </c>
      <c r="N285" s="20" t="str">
        <f ca="1">IFERROR(__xludf.DUMMYFUNCTION("""COMPUTED_VALUE"""),"NA")</f>
        <v>NA</v>
      </c>
      <c r="O285" s="20" t="str">
        <f ca="1">IFERROR(__xludf.DUMMYFUNCTION("""COMPUTED_VALUE"""),"SI")</f>
        <v>SI</v>
      </c>
      <c r="P285" s="20">
        <f ca="1">IFERROR(__xludf.DUMMYFUNCTION("""COMPUTED_VALUE"""),1)</f>
        <v>1</v>
      </c>
      <c r="Q285" s="113" t="str">
        <f ca="1">IFERROR(__xludf.DUMMYFUNCTION("""COMPUTED_VALUE"""),"https://gld.legislaturacba.gob.ar/_cdd/api/Documento/descargar?guid=19e26952-7cb2-4c47-8358-adc1394b2ff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v>
      </c>
      <c r="R285" s="113" t="str">
        <f ca="1">IFERROR(__xludf.DUMMYFUNCTION("""COMPUTED_VALUE"""),"https://www.youtube.com/watch?v=3UfKKrZuRtE")</f>
        <v>https://www.youtube.com/watch?v=3UfKKrZuRtE</v>
      </c>
      <c r="S285" s="113" t="str">
        <f ca="1">IFERROR(__xludf.DUMMYFUNCTION("""COMPUTED_VALUE"""),"https://gld.legislaturacba.gob.ar/Publics/Actas.aspx?id=-xUuwQM3XFs=")</f>
        <v>https://gld.legislaturacba.gob.ar/Publics/Actas.aspx?id=-xUuwQM3XFs=</v>
      </c>
      <c r="T285" s="99">
        <f t="shared" ca="1" si="0"/>
        <v>0</v>
      </c>
    </row>
    <row r="286" spans="1:20">
      <c r="A286" s="20">
        <f ca="1">IFERROR(__xludf.DUMMYFUNCTION("""COMPUTED_VALUE"""),48)</f>
        <v>48</v>
      </c>
      <c r="B286" s="20">
        <f ca="1">IFERROR(__xludf.DUMMYFUNCTION("""COMPUTED_VALUE"""),2021)</f>
        <v>2021</v>
      </c>
      <c r="C286" s="20" t="str">
        <f ca="1">IFERROR(__xludf.DUMMYFUNCTION("""COMPUTED_VALUE"""),"VIRTUAL")</f>
        <v>VIRTUAL</v>
      </c>
      <c r="D286" s="96">
        <f ca="1">IFERROR(__xludf.DUMMYFUNCTION("""COMPUTED_VALUE"""),44285)</f>
        <v>44285</v>
      </c>
      <c r="E286" s="20" t="str">
        <f ca="1">IFERROR(__xludf.DUMMYFUNCTION("""COMPUTED_VALUE"""),"SI")</f>
        <v>SI</v>
      </c>
      <c r="F286" s="20" t="str">
        <f ca="1">IFERROR(__xludf.DUMMYFUNCTION("""COMPUTED_VALUE"""),"ASUNTOS CONSTITUCIONALES, JUSTICIA Y ACUERDOS;EQUIDAD Y LUCHA CONTRA LA VIOLENCIA DE GÉNERO;LEGISLACIÓN GENERAL")</f>
        <v>ASUNTOS CONSTITUCIONALES, JUSTICIA Y ACUERDOS;EQUIDAD Y LUCHA CONTRA LA VIOLENCIA DE GÉNERO;LEGISLACIÓN GENERAL</v>
      </c>
      <c r="G286" s="20">
        <f ca="1">IFERROR(__xludf.DUMMYFUNCTION("""COMPUTED_VALUE"""),3)</f>
        <v>3</v>
      </c>
      <c r="H286" s="20">
        <f ca="1">IFERROR(__xludf.DUMMYFUNCTION("""COMPUTED_VALUE"""),2)</f>
        <v>2</v>
      </c>
      <c r="I286" s="20">
        <f ca="1">IFERROR(__xludf.DUMMYFUNCTION("""COMPUTED_VALUE"""),1)</f>
        <v>1</v>
      </c>
      <c r="J286" s="20" t="str">
        <f ca="1">IFERROR(__xludf.DUMMYFUNCTION("""COMPUTED_VALUE"""),"Ley")</f>
        <v>Ley</v>
      </c>
      <c r="K286" s="20">
        <f ca="1">IFERROR(__xludf.DUMMYFUNCTION("""COMPUTED_VALUE"""),32309)</f>
        <v>32309</v>
      </c>
      <c r="L286" s="20" t="str">
        <f ca="1">IFERROR(__xludf.DUMMYFUNCTION("""COMPUTED_VALUE"""),"Poder Ejecutivo Provincial")</f>
        <v>Poder Ejecutivo Provincial</v>
      </c>
      <c r="M286" s="20" t="str">
        <f ca="1">IFERROR(__xludf.DUMMYFUNCTION("""COMPUTED_VALUE"""),"Creando el Fuero Penal en Violencia de Género, asignándole competencia en Violencia de Género a juzgados, fiscalías y asesorías letradas en la Primera Circunscripción Judicial y fiscalías de igual competencia en las ciudades de Jesús María, de Cosquín, de"&amp;" Villa Dolores, y en las Segunda, Cuarta y Quinta Circunscripciones Judiciales")</f>
        <v>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v>
      </c>
      <c r="N286" s="20" t="str">
        <f ca="1">IFERROR(__xludf.DUMMYFUNCTION("""COMPUTED_VALUE"""),"NO")</f>
        <v>NO</v>
      </c>
      <c r="O286" s="20" t="str">
        <f ca="1">IFERROR(__xludf.DUMMYFUNCTION("""COMPUTED_VALUE"""),"NO")</f>
        <v>NO</v>
      </c>
      <c r="P286" s="20">
        <f ca="1">IFERROR(__xludf.DUMMYFUNCTION("""COMPUTED_VALUE"""),0)</f>
        <v>0</v>
      </c>
      <c r="Q286" s="113" t="str">
        <f ca="1">IFERROR(__xludf.DUMMYFUNCTION("""COMPUTED_VALUE"""),"https://gld.legislaturacba.gob.ar/_cdd/api/Documento/descargar?guid=60c53c09-4b8c-43a6-aa68-b2616d3dff71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v>
      </c>
      <c r="R286" s="113" t="str">
        <f ca="1">IFERROR(__xludf.DUMMYFUNCTION("""COMPUTED_VALUE"""),"https://www.youtube.com/watch?v=oHVVJSN4cpc")</f>
        <v>https://www.youtube.com/watch?v=oHVVJSN4cpc</v>
      </c>
      <c r="S286" s="113" t="str">
        <f ca="1">IFERROR(__xludf.DUMMYFUNCTION("""COMPUTED_VALUE"""),"https://gld.legislaturacba.gob.ar/Publics/Actas.aspx?id=H3wvZrIkEXI=;https://gld.legislaturacba.gob.ar/Publics/Actas.aspx?id=YXjituqVqLA=;https://gld.legislaturacba.gob.ar/Publics/Actas.aspx?id=cNcJB24EhOs=")</f>
        <v>https://gld.legislaturacba.gob.ar/Publics/Actas.aspx?id=H3wvZrIkEXI=;https://gld.legislaturacba.gob.ar/Publics/Actas.aspx?id=YXjituqVqLA=;https://gld.legislaturacba.gob.ar/Publics/Actas.aspx?id=cNcJB24EhOs=</v>
      </c>
      <c r="T286" s="99">
        <f t="shared" ca="1" si="0"/>
        <v>0</v>
      </c>
    </row>
    <row r="287" spans="1:20">
      <c r="A287" s="20">
        <f ca="1">IFERROR(__xludf.DUMMYFUNCTION("""COMPUTED_VALUE"""),49)</f>
        <v>49</v>
      </c>
      <c r="B287" s="20">
        <f ca="1">IFERROR(__xludf.DUMMYFUNCTION("""COMPUTED_VALUE"""),2021)</f>
        <v>2021</v>
      </c>
      <c r="C287" s="20" t="str">
        <f ca="1">IFERROR(__xludf.DUMMYFUNCTION("""COMPUTED_VALUE"""),"VIRTUAL")</f>
        <v>VIRTUAL</v>
      </c>
      <c r="D287" s="96">
        <f ca="1">IFERROR(__xludf.DUMMYFUNCTION("""COMPUTED_VALUE"""),44285)</f>
        <v>44285</v>
      </c>
      <c r="E287" s="20" t="str">
        <f ca="1">IFERROR(__xludf.DUMMYFUNCTION("""COMPUTED_VALUE"""),"NO")</f>
        <v>NO</v>
      </c>
      <c r="F287" s="20" t="str">
        <f ca="1">IFERROR(__xludf.DUMMYFUNCTION("""COMPUTED_VALUE"""),"DERECHOS HUMANOS Y DESARROLLO SOCIAL")</f>
        <v>DERECHOS HUMANOS Y DESARROLLO SOCIAL</v>
      </c>
      <c r="G287" s="20">
        <f ca="1">IFERROR(__xludf.DUMMYFUNCTION("""COMPUTED_VALUE"""),1)</f>
        <v>1</v>
      </c>
      <c r="H287" s="20">
        <f ca="1">IFERROR(__xludf.DUMMYFUNCTION("""COMPUTED_VALUE"""),1)</f>
        <v>1</v>
      </c>
      <c r="I287" s="20">
        <f ca="1">IFERROR(__xludf.DUMMYFUNCTION("""COMPUTED_VALUE"""),1)</f>
        <v>1</v>
      </c>
      <c r="J287" s="20" t="str">
        <f ca="1">IFERROR(__xludf.DUMMYFUNCTION("""COMPUTED_VALUE"""),"Ley")</f>
        <v>Ley</v>
      </c>
      <c r="K287" s="20">
        <f ca="1">IFERROR(__xludf.DUMMYFUNCTION("""COMPUTED_VALUE"""),32348)</f>
        <v>32348</v>
      </c>
      <c r="L287" s="20" t="str">
        <f ca="1">IFERROR(__xludf.DUMMYFUNCTION("""COMPUTED_VALUE"""),"Poder Ejecutivo Provincial")</f>
        <v>Poder Ejecutivo Provincial</v>
      </c>
      <c r="M287" s="20" t="str">
        <f ca="1">IFERROR(__xludf.DUMMYFUNCTION("""COMPUTED_VALUE"""),"Declarando de utilidad pública y sujeto a expropiación, un lote de terreno, para la regularización dominial y el saneamiento de títulos correspondientes al asentamiento denominado “Parque Las Rosas”, ubicado en Barrio Matienzo de la ciudad de Córdoba")</f>
        <v>Declarando de utilidad pública y sujeto a expropiación, un lote de terreno, para la regularización dominial y el saneamiento de títulos correspondientes al asentamiento denominado “Parque Las Rosas”, ubicado en Barrio Matienzo de la ciudad de Córdoba</v>
      </c>
      <c r="N287" s="20" t="str">
        <f ca="1">IFERROR(__xludf.DUMMYFUNCTION("""COMPUTED_VALUE"""),"NO")</f>
        <v>NO</v>
      </c>
      <c r="O287" s="20" t="str">
        <f ca="1">IFERROR(__xludf.DUMMYFUNCTION("""COMPUTED_VALUE"""),"SI")</f>
        <v>SI</v>
      </c>
      <c r="P287" s="20">
        <f ca="1">IFERROR(__xludf.DUMMYFUNCTION("""COMPUTED_VALUE"""),2)</f>
        <v>2</v>
      </c>
      <c r="Q287" s="113" t="str">
        <f ca="1">IFERROR(__xludf.DUMMYFUNCTION("""COMPUTED_VALUE"""),"https://gld.legislaturacba.gob.ar/_cdd/api/Documento/descargar?guid=2f7d1745-6ed8-4468-92e2-fac2f9b13fa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v>
      </c>
      <c r="R287" s="113" t="str">
        <f ca="1">IFERROR(__xludf.DUMMYFUNCTION("""COMPUTED_VALUE"""),"https://www.youtube.com/watch?v=Rux7DvQKSAE")</f>
        <v>https://www.youtube.com/watch?v=Rux7DvQKSAE</v>
      </c>
      <c r="S287" s="113" t="str">
        <f ca="1">IFERROR(__xludf.DUMMYFUNCTION("""COMPUTED_VALUE"""),"https://gld.legislaturacba.gob.ar/Publics/Actas.aspx?id=jNkbQk0OnjU=")</f>
        <v>https://gld.legislaturacba.gob.ar/Publics/Actas.aspx?id=jNkbQk0OnjU=</v>
      </c>
      <c r="T287" s="99">
        <f t="shared" ca="1" si="0"/>
        <v>0</v>
      </c>
    </row>
    <row r="288" spans="1:20">
      <c r="A288" s="20">
        <f ca="1">IFERROR(__xludf.DUMMYFUNCTION("""COMPUTED_VALUE"""),50)</f>
        <v>50</v>
      </c>
      <c r="B288" s="20">
        <f ca="1">IFERROR(__xludf.DUMMYFUNCTION("""COMPUTED_VALUE"""),2021)</f>
        <v>2021</v>
      </c>
      <c r="C288" s="20" t="str">
        <f ca="1">IFERROR(__xludf.DUMMYFUNCTION("""COMPUTED_VALUE"""),"VIRTUAL")</f>
        <v>VIRTUAL</v>
      </c>
      <c r="D288" s="96">
        <f ca="1">IFERROR(__xludf.DUMMYFUNCTION("""COMPUTED_VALUE"""),44286)</f>
        <v>44286</v>
      </c>
      <c r="E288" s="20" t="str">
        <f ca="1">IFERROR(__xludf.DUMMYFUNCTION("""COMPUTED_VALUE"""),"NO")</f>
        <v>NO</v>
      </c>
      <c r="F288" s="20" t="str">
        <f ca="1">IFERROR(__xludf.DUMMYFUNCTION("""COMPUTED_VALUE"""),"LEGISLACIÓN GENERAL")</f>
        <v>LEGISLACIÓN GENERAL</v>
      </c>
      <c r="G288" s="20">
        <f ca="1">IFERROR(__xludf.DUMMYFUNCTION("""COMPUTED_VALUE"""),1)</f>
        <v>1</v>
      </c>
      <c r="H288" s="20">
        <f ca="1">IFERROR(__xludf.DUMMYFUNCTION("""COMPUTED_VALUE"""),1)</f>
        <v>1</v>
      </c>
      <c r="I288" s="20">
        <f ca="1">IFERROR(__xludf.DUMMYFUNCTION("""COMPUTED_VALUE"""),1)</f>
        <v>1</v>
      </c>
      <c r="J288" s="20" t="str">
        <f ca="1">IFERROR(__xludf.DUMMYFUNCTION("""COMPUTED_VALUE"""),"Ley")</f>
        <v>Ley</v>
      </c>
      <c r="K288" s="20">
        <f ca="1">IFERROR(__xludf.DUMMYFUNCTION("""COMPUTED_VALUE"""),32045)</f>
        <v>32045</v>
      </c>
      <c r="L288" s="20" t="str">
        <f ca="1">IFERROR(__xludf.DUMMYFUNCTION("""COMPUTED_VALUE"""),"Poder Ejecutivo Provincial")</f>
        <v>Poder Ejecutivo Provincial</v>
      </c>
      <c r="M288" s="20" t="str">
        <f ca="1">IFERROR(__xludf.DUMMYFUNCTION("""COMPUTED_VALUE"""),"Modificando los artículos 468 y 474 de la Ley Nº 8123 (Código Procesal Penal de la provincia de Córdoba) con el objetivo de garantizar el derecho de recurrir el fallo condenatorio ante el juez o tribunal superior")</f>
        <v>Modificando los artículos 468 y 474 de la Ley Nº 8123 (Código Procesal Penal de la provincia de Córdoba) con el objetivo de garantizar el derecho de recurrir el fallo condenatorio ante el juez o tribunal superior</v>
      </c>
      <c r="N288" s="20" t="str">
        <f ca="1">IFERROR(__xludf.DUMMYFUNCTION("""COMPUTED_VALUE"""),"NO")</f>
        <v>NO</v>
      </c>
      <c r="O288" s="20" t="str">
        <f ca="1">IFERROR(__xludf.DUMMYFUNCTION("""COMPUTED_VALUE"""),"NO")</f>
        <v>NO</v>
      </c>
      <c r="P288" s="20">
        <f ca="1">IFERROR(__xludf.DUMMYFUNCTION("""COMPUTED_VALUE"""),0)</f>
        <v>0</v>
      </c>
      <c r="Q288" s="113" t="str">
        <f ca="1">IFERROR(__xludf.DUMMYFUNCTION("""COMPUTED_VALUE"""),"https://gld.legislaturacba.gob.ar/_cdd/api/Documento/descargar?guid=8f6153d9-1f5e-43b5-859a-cac1182d8032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v>
      </c>
      <c r="R288" s="113" t="str">
        <f ca="1">IFERROR(__xludf.DUMMYFUNCTION("""COMPUTED_VALUE"""),"https://www.youtube.com/watch?v=thNLNp7HjEc")</f>
        <v>https://www.youtube.com/watch?v=thNLNp7HjEc</v>
      </c>
      <c r="S288" s="113" t="str">
        <f ca="1">IFERROR(__xludf.DUMMYFUNCTION("""COMPUTED_VALUE"""),"https://gld.legislaturacba.gob.ar/Publics/Actas.aspx?id=CoThB9jvlyg=")</f>
        <v>https://gld.legislaturacba.gob.ar/Publics/Actas.aspx?id=CoThB9jvlyg=</v>
      </c>
      <c r="T288" s="99">
        <f t="shared" ca="1" si="0"/>
        <v>0</v>
      </c>
    </row>
    <row r="289" spans="1:20">
      <c r="A289" s="20">
        <f ca="1">IFERROR(__xludf.DUMMYFUNCTION("""COMPUTED_VALUE"""),51)</f>
        <v>51</v>
      </c>
      <c r="B289" s="20">
        <f ca="1">IFERROR(__xludf.DUMMYFUNCTION("""COMPUTED_VALUE"""),2021)</f>
        <v>2021</v>
      </c>
      <c r="C289" s="20" t="str">
        <f ca="1">IFERROR(__xludf.DUMMYFUNCTION("""COMPUTED_VALUE"""),"VIRTUAL")</f>
        <v>VIRTUAL</v>
      </c>
      <c r="D289" s="96">
        <f ca="1">IFERROR(__xludf.DUMMYFUNCTION("""COMPUTED_VALUE"""),44292)</f>
        <v>44292</v>
      </c>
      <c r="E289" s="20" t="str">
        <f ca="1">IFERROR(__xludf.DUMMYFUNCTION("""COMPUTED_VALUE"""),"NO")</f>
        <v>NO</v>
      </c>
      <c r="F289" s="20" t="str">
        <f ca="1">IFERROR(__xludf.DUMMYFUNCTION("""COMPUTED_VALUE"""),"ASUNTOS CONSTITUCIONALES, JUSTICIA Y ACUERDOS")</f>
        <v>ASUNTOS CONSTITUCIONALES, JUSTICIA Y ACUERDOS</v>
      </c>
      <c r="G289" s="20">
        <f ca="1">IFERROR(__xludf.DUMMYFUNCTION("""COMPUTED_VALUE"""),1)</f>
        <v>1</v>
      </c>
      <c r="H289" s="20">
        <f ca="1">IFERROR(__xludf.DUMMYFUNCTION("""COMPUTED_VALUE"""),2)</f>
        <v>2</v>
      </c>
      <c r="I289" s="20">
        <f ca="1">IFERROR(__xludf.DUMMYFUNCTION("""COMPUTED_VALUE"""),1)</f>
        <v>1</v>
      </c>
      <c r="J289" s="20" t="str">
        <f ca="1">IFERROR(__xludf.DUMMYFUNCTION("""COMPUTED_VALUE"""),"Pliego")</f>
        <v>Pliego</v>
      </c>
      <c r="K289" s="20">
        <f ca="1">IFERROR(__xludf.DUMMYFUNCTION("""COMPUTED_VALUE"""),32141)</f>
        <v>32141</v>
      </c>
      <c r="L289" s="20" t="str">
        <f ca="1">IFERROR(__xludf.DUMMYFUNCTION("""COMPUTED_VALUE"""),"Poder Ejecutivo Provincial")</f>
        <v>Poder Ejecutivo Provincial</v>
      </c>
      <c r="M289" s="20" t="str">
        <f ca="1">IFERROR(__xludf.DUMMYFUNCTION("""COMPUTED_VALUE"""),"Solicitando acuerdo al Padrón Principal y Subsidiario de aspirantes a Magistrados, Fiscales y Asesores Letrados reemplazantes, elevado por el Consejo de la Magistratura de esta Provincia (artículo 56 y concordantes de la Ley N° 8435 y artículo 104, inciso"&amp;" 42, de la Constitución de la Provincia de Córdoba")</f>
        <v>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v>
      </c>
      <c r="N289" s="20" t="str">
        <f ca="1">IFERROR(__xludf.DUMMYFUNCTION("""COMPUTED_VALUE"""),"SI")</f>
        <v>SI</v>
      </c>
      <c r="O289" s="20" t="str">
        <f ca="1">IFERROR(__xludf.DUMMYFUNCTION("""COMPUTED_VALUE"""),"NO")</f>
        <v>NO</v>
      </c>
      <c r="P289" s="20">
        <f ca="1">IFERROR(__xludf.DUMMYFUNCTION("""COMPUTED_VALUE"""),0)</f>
        <v>0</v>
      </c>
      <c r="Q289" s="113" t="str">
        <f ca="1">IFERROR(__xludf.DUMMYFUNCTION("""COMPUTED_VALUE"""),"https://gld.legislaturacba.gob.ar/_cdd/api/Documento/descargar?guid=c88c5da2-5217-4e9c-9215-ca195e1fe747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v>
      </c>
      <c r="R289" s="113" t="str">
        <f ca="1">IFERROR(__xludf.DUMMYFUNCTION("""COMPUTED_VALUE"""),"https://www.youtube.com/watch?v=j738bC5gtSA")</f>
        <v>https://www.youtube.com/watch?v=j738bC5gtSA</v>
      </c>
      <c r="S289" s="113" t="str">
        <f ca="1">IFERROR(__xludf.DUMMYFUNCTION("""COMPUTED_VALUE"""),"https://gld.legislaturacba.gob.ar/Publics/Actas.aspx?id=viGPLlYxizE=")</f>
        <v>https://gld.legislaturacba.gob.ar/Publics/Actas.aspx?id=viGPLlYxizE=</v>
      </c>
      <c r="T289" s="99">
        <f t="shared" ca="1" si="0"/>
        <v>0</v>
      </c>
    </row>
    <row r="290" spans="1:20">
      <c r="A290" s="20">
        <f ca="1">IFERROR(__xludf.DUMMYFUNCTION("""COMPUTED_VALUE"""),52)</f>
        <v>52</v>
      </c>
      <c r="B290" s="20">
        <f ca="1">IFERROR(__xludf.DUMMYFUNCTION("""COMPUTED_VALUE"""),2021)</f>
        <v>2021</v>
      </c>
      <c r="C290" s="20" t="str">
        <f ca="1">IFERROR(__xludf.DUMMYFUNCTION("""COMPUTED_VALUE"""),"VIRTUAL")</f>
        <v>VIRTUAL</v>
      </c>
      <c r="D290" s="96">
        <f ca="1">IFERROR(__xludf.DUMMYFUNCTION("""COMPUTED_VALUE"""),44292)</f>
        <v>44292</v>
      </c>
      <c r="E290" s="20" t="str">
        <f ca="1">IFERROR(__xludf.DUMMYFUNCTION("""COMPUTED_VALUE"""),"NO")</f>
        <v>NO</v>
      </c>
      <c r="F290" s="20" t="str">
        <f ca="1">IFERROR(__xludf.DUMMYFUNCTION("""COMPUTED_VALUE"""),"DEPORTES Y RECREACIÓN")</f>
        <v>DEPORTES Y RECREACIÓN</v>
      </c>
      <c r="G290" s="20">
        <f ca="1">IFERROR(__xludf.DUMMYFUNCTION("""COMPUTED_VALUE"""),1)</f>
        <v>1</v>
      </c>
      <c r="H290" s="20">
        <f ca="1">IFERROR(__xludf.DUMMYFUNCTION("""COMPUTED_VALUE"""),1)</f>
        <v>1</v>
      </c>
      <c r="I290" s="20">
        <f ca="1">IFERROR(__xludf.DUMMYFUNCTION("""COMPUTED_VALUE"""),1)</f>
        <v>1</v>
      </c>
      <c r="J290" s="20" t="str">
        <f ca="1">IFERROR(__xludf.DUMMYFUNCTION("""COMPUTED_VALUE"""),"NA")</f>
        <v>NA</v>
      </c>
      <c r="K290" s="20" t="str">
        <f ca="1">IFERROR(__xludf.DUMMYFUNCTION("""COMPUTED_VALUE"""),"NA")</f>
        <v>NA</v>
      </c>
      <c r="L290" s="20" t="str">
        <f ca="1">IFERROR(__xludf.DUMMYFUNCTION("""COMPUTED_VALUE"""),"NA")</f>
        <v>NA</v>
      </c>
      <c r="M290" s="20" t="str">
        <f ca="1">IFERROR(__xludf.DUMMYFUNCTION("""COMPUTED_VALUE"""),"Anteproyecto Código de Convivencia Deportivo")</f>
        <v>Anteproyecto Código de Convivencia Deportivo</v>
      </c>
      <c r="N290" s="20" t="str">
        <f ca="1">IFERROR(__xludf.DUMMYFUNCTION("""COMPUTED_VALUE"""),"NA")</f>
        <v>NA</v>
      </c>
      <c r="O290" s="20" t="str">
        <f ca="1">IFERROR(__xludf.DUMMYFUNCTION("""COMPUTED_VALUE"""),"SI")</f>
        <v>SI</v>
      </c>
      <c r="P290" s="20">
        <f ca="1">IFERROR(__xludf.DUMMYFUNCTION("""COMPUTED_VALUE"""),1)</f>
        <v>1</v>
      </c>
      <c r="Q290" s="113" t="str">
        <f ca="1">IFERROR(__xludf.DUMMYFUNCTION("""COMPUTED_VALUE"""),"https://gld.legislaturacba.gob.ar/_cdd/api/Documento/descargar?guid=897eaa30-8e3c-47be-888d-21e643668090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v>
      </c>
      <c r="R290" s="113" t="str">
        <f ca="1">IFERROR(__xludf.DUMMYFUNCTION("""COMPUTED_VALUE"""),"https://www.youtube.com/watch?v=pM8sHsv8GVo")</f>
        <v>https://www.youtube.com/watch?v=pM8sHsv8GVo</v>
      </c>
      <c r="S290" s="113" t="str">
        <f ca="1">IFERROR(__xludf.DUMMYFUNCTION("""COMPUTED_VALUE"""),"https://gld.legislaturacba.gob.ar/Publics/Actas.aspx?id=ecdoM8N26Pw=")</f>
        <v>https://gld.legislaturacba.gob.ar/Publics/Actas.aspx?id=ecdoM8N26Pw=</v>
      </c>
      <c r="T290" s="99">
        <f t="shared" ca="1" si="0"/>
        <v>0</v>
      </c>
    </row>
    <row r="291" spans="1:20">
      <c r="A291" s="20">
        <f ca="1">IFERROR(__xludf.DUMMYFUNCTION("""COMPUTED_VALUE"""),53)</f>
        <v>53</v>
      </c>
      <c r="B291" s="20">
        <f ca="1">IFERROR(__xludf.DUMMYFUNCTION("""COMPUTED_VALUE"""),2021)</f>
        <v>2021</v>
      </c>
      <c r="C291" s="20" t="str">
        <f ca="1">IFERROR(__xludf.DUMMYFUNCTION("""COMPUTED_VALUE"""),"VIRTUAL")</f>
        <v>VIRTUAL</v>
      </c>
      <c r="D291" s="96">
        <f ca="1">IFERROR(__xludf.DUMMYFUNCTION("""COMPUTED_VALUE"""),44292)</f>
        <v>44292</v>
      </c>
      <c r="E291" s="20" t="str">
        <f ca="1">IFERROR(__xludf.DUMMYFUNCTION("""COMPUTED_VALUE"""),"SI")</f>
        <v>SI</v>
      </c>
      <c r="F291" s="20" t="str">
        <f ca="1">IFERROR(__xludf.DUMMYFUNCTION("""COMPUTED_VALUE"""),"PROMOCIÓN Y DEFENSA DE LOS DERECHOS DE LA NIÑEZ, ADOLESCENCIA Y FAMILIA;SALUD HUMANA")</f>
        <v>PROMOCIÓN Y DEFENSA DE LOS DERECHOS DE LA NIÑEZ, ADOLESCENCIA Y FAMILIA;SALUD HUMANA</v>
      </c>
      <c r="G291" s="20">
        <f ca="1">IFERROR(__xludf.DUMMYFUNCTION("""COMPUTED_VALUE"""),2)</f>
        <v>2</v>
      </c>
      <c r="H291" s="20">
        <f ca="1">IFERROR(__xludf.DUMMYFUNCTION("""COMPUTED_VALUE"""),1)</f>
        <v>1</v>
      </c>
      <c r="I291" s="20">
        <f ca="1">IFERROR(__xludf.DUMMYFUNCTION("""COMPUTED_VALUE"""),1)</f>
        <v>1</v>
      </c>
      <c r="J291" s="20" t="str">
        <f ca="1">IFERROR(__xludf.DUMMYFUNCTION("""COMPUTED_VALUE"""),"NA")</f>
        <v>NA</v>
      </c>
      <c r="K291" s="20" t="str">
        <f ca="1">IFERROR(__xludf.DUMMYFUNCTION("""COMPUTED_VALUE"""),"NA")</f>
        <v>NA</v>
      </c>
      <c r="L291" s="20" t="str">
        <f ca="1">IFERROR(__xludf.DUMMYFUNCTION("""COMPUTED_VALUE"""),"NA")</f>
        <v>NA</v>
      </c>
      <c r="M291" s="20" t="str">
        <f ca="1">IFERROR(__xludf.DUMMYFUNCTION("""COMPUTED_VALUE"""),"Informe de los servicios de Hematoligía y Oncología del Hospital de niños de la Santísima Trinidad")</f>
        <v>Informe de los servicios de Hematoligía y Oncología del Hospital de niños de la Santísima Trinidad</v>
      </c>
      <c r="N291" s="20" t="str">
        <f ca="1">IFERROR(__xludf.DUMMYFUNCTION("""COMPUTED_VALUE"""),"NA")</f>
        <v>NA</v>
      </c>
      <c r="O291" s="20" t="str">
        <f ca="1">IFERROR(__xludf.DUMMYFUNCTION("""COMPUTED_VALUE"""),"SI")</f>
        <v>SI</v>
      </c>
      <c r="P291" s="20">
        <f ca="1">IFERROR(__xludf.DUMMYFUNCTION("""COMPUTED_VALUE"""),4)</f>
        <v>4</v>
      </c>
      <c r="Q291" s="113" t="str">
        <f ca="1">IFERROR(__xludf.DUMMYFUNCTION("""COMPUTED_VALUE"""),"https://gld.legislaturacba.gob.ar/_cdd/api/Documento/descargar?guid=02266118-14d9-4b0d-8bbd-fae2099e26f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v>
      </c>
      <c r="R291" s="113" t="str">
        <f ca="1">IFERROR(__xludf.DUMMYFUNCTION("""COMPUTED_VALUE"""),"https://www.youtube.com/watch?v=Kb5iG6fo_dM")</f>
        <v>https://www.youtube.com/watch?v=Kb5iG6fo_dM</v>
      </c>
      <c r="S291" s="113" t="str">
        <f ca="1">IFERROR(__xludf.DUMMYFUNCTION("""COMPUTED_VALUE"""),"https://gld.legislaturacba.gob.ar/Publics/Actas.aspx?id=C_Te7r3_eIc=;https://gld.legislaturacba.gob.ar/Publics/Actas.aspx?id=nogFaU1KWH8=")</f>
        <v>https://gld.legislaturacba.gob.ar/Publics/Actas.aspx?id=C_Te7r3_eIc=;https://gld.legislaturacba.gob.ar/Publics/Actas.aspx?id=nogFaU1KWH8=</v>
      </c>
      <c r="T291" s="99">
        <f t="shared" ca="1" si="0"/>
        <v>0</v>
      </c>
    </row>
    <row r="292" spans="1:20">
      <c r="A292" s="20">
        <f ca="1">IFERROR(__xludf.DUMMYFUNCTION("""COMPUTED_VALUE"""),54)</f>
        <v>54</v>
      </c>
      <c r="B292" s="20">
        <f ca="1">IFERROR(__xludf.DUMMYFUNCTION("""COMPUTED_VALUE"""),2021)</f>
        <v>2021</v>
      </c>
      <c r="C292" s="20" t="str">
        <f ca="1">IFERROR(__xludf.DUMMYFUNCTION("""COMPUTED_VALUE"""),"VIRTUAL")</f>
        <v>VIRTUAL</v>
      </c>
      <c r="D292" s="96">
        <f ca="1">IFERROR(__xludf.DUMMYFUNCTION("""COMPUTED_VALUE"""),44292)</f>
        <v>44292</v>
      </c>
      <c r="E292" s="20" t="str">
        <f ca="1">IFERROR(__xludf.DUMMYFUNCTION("""COMPUTED_VALUE"""),"SI")</f>
        <v>SI</v>
      </c>
      <c r="F292" s="20" t="str">
        <f ca="1">IFERROR(__xludf.DUMMYFUNCTION("""COMPUTED_VALUE"""),"ASUNTOS CONSTITUCIONALES, JUSTICIA Y ACUERDOS;EQUIDAD Y LUCHA CONTRA LA VIOLENCIA DE GÉNERO;LEGISLACIÓN GENERAL")</f>
        <v>ASUNTOS CONSTITUCIONALES, JUSTICIA Y ACUERDOS;EQUIDAD Y LUCHA CONTRA LA VIOLENCIA DE GÉNERO;LEGISLACIÓN GENERAL</v>
      </c>
      <c r="G292" s="20">
        <f ca="1">IFERROR(__xludf.DUMMYFUNCTION("""COMPUTED_VALUE"""),3)</f>
        <v>3</v>
      </c>
      <c r="H292" s="20">
        <f ca="1">IFERROR(__xludf.DUMMYFUNCTION("""COMPUTED_VALUE"""),2)</f>
        <v>2</v>
      </c>
      <c r="I292" s="20">
        <f ca="1">IFERROR(__xludf.DUMMYFUNCTION("""COMPUTED_VALUE"""),1)</f>
        <v>1</v>
      </c>
      <c r="J292" s="20" t="str">
        <f ca="1">IFERROR(__xludf.DUMMYFUNCTION("""COMPUTED_VALUE"""),"Ley")</f>
        <v>Ley</v>
      </c>
      <c r="K292" s="20">
        <f ca="1">IFERROR(__xludf.DUMMYFUNCTION("""COMPUTED_VALUE"""),32309)</f>
        <v>32309</v>
      </c>
      <c r="L292" s="20" t="str">
        <f ca="1">IFERROR(__xludf.DUMMYFUNCTION("""COMPUTED_VALUE"""),"Poder Ejecutivo Provincial")</f>
        <v>Poder Ejecutivo Provincial</v>
      </c>
      <c r="M292" s="20" t="str">
        <f ca="1">IFERROR(__xludf.DUMMYFUNCTION("""COMPUTED_VALUE"""),"Creando el Fuero Penal en Violencia de Género, asignándole competencia en Violencia de Género a juzgados, fiscalías y asesorías letradas en la Primera Circunscripción Judicial y fiscalías de igual competencia en las ciudades de Jesús María, de Cosquín, de"&amp;" Villa Dolores, y en las Segunda, Cuarta y Quinta Circunscripciones Judiciales")</f>
        <v>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v>
      </c>
      <c r="N292" s="20" t="str">
        <f ca="1">IFERROR(__xludf.DUMMYFUNCTION("""COMPUTED_VALUE"""),"NO")</f>
        <v>NO</v>
      </c>
      <c r="O292" s="20" t="str">
        <f ca="1">IFERROR(__xludf.DUMMYFUNCTION("""COMPUTED_VALUE"""),"SI")</f>
        <v>SI</v>
      </c>
      <c r="P292" s="20">
        <f ca="1">IFERROR(__xludf.DUMMYFUNCTION("""COMPUTED_VALUE"""),3)</f>
        <v>3</v>
      </c>
      <c r="Q292" s="113" t="str">
        <f ca="1">IFERROR(__xludf.DUMMYFUNCTION("""COMPUTED_VALUE"""),"https://gld.legislaturacba.gob.ar/_cdd/api/Documento/descargar?guid=896edfaa-7982-4db5-8920-93128b2cb170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v>
      </c>
      <c r="R292" s="113" t="str">
        <f ca="1">IFERROR(__xludf.DUMMYFUNCTION("""COMPUTED_VALUE"""),"https://www.youtube.com/watch?v=sdTdkHkqv2Q")</f>
        <v>https://www.youtube.com/watch?v=sdTdkHkqv2Q</v>
      </c>
      <c r="S292" s="113" t="str">
        <f ca="1">IFERROR(__xludf.DUMMYFUNCTION("""COMPUTED_VALUE"""),"https://gld.legislaturacba.gob.ar/Publics/Actas.aspx?id=aZ9nlG5HoyU=;https://gld.legislaturacba.gob.ar/Publics/Actas.aspx?id=SZSglMax6DA=;https://gld.legislaturacba.gob.ar/Publics/Actas.aspx?id=mS5pXyGtgiI=")</f>
        <v>https://gld.legislaturacba.gob.ar/Publics/Actas.aspx?id=aZ9nlG5HoyU=;https://gld.legislaturacba.gob.ar/Publics/Actas.aspx?id=SZSglMax6DA=;https://gld.legislaturacba.gob.ar/Publics/Actas.aspx?id=mS5pXyGtgiI=</v>
      </c>
      <c r="T292" s="99">
        <f t="shared" ca="1" si="0"/>
        <v>0</v>
      </c>
    </row>
    <row r="293" spans="1:20">
      <c r="A293" s="20">
        <f ca="1">IFERROR(__xludf.DUMMYFUNCTION("""COMPUTED_VALUE"""),55)</f>
        <v>55</v>
      </c>
      <c r="B293" s="20">
        <f ca="1">IFERROR(__xludf.DUMMYFUNCTION("""COMPUTED_VALUE"""),2021)</f>
        <v>2021</v>
      </c>
      <c r="C293" s="20" t="str">
        <f ca="1">IFERROR(__xludf.DUMMYFUNCTION("""COMPUTED_VALUE"""),"VIRTUAL")</f>
        <v>VIRTUAL</v>
      </c>
      <c r="D293" s="96">
        <f ca="1">IFERROR(__xludf.DUMMYFUNCTION("""COMPUTED_VALUE"""),44293)</f>
        <v>44293</v>
      </c>
      <c r="E293" s="20" t="str">
        <f ca="1">IFERROR(__xludf.DUMMYFUNCTION("""COMPUTED_VALUE"""),"SI")</f>
        <v>SI</v>
      </c>
      <c r="F293" s="20" t="str">
        <f ca="1">IFERROR(__xludf.DUMMYFUNCTION("""COMPUTED_VALUE"""),"DERECHOS HUMANOS Y DESARROLLO SOCIAL;ECONOMÍA, PRESUPUESTO, GESTIÓN PÚBLICA E INNOVACIÓN")</f>
        <v>DERECHOS HUMANOS Y DESARROLLO SOCIAL;ECONOMÍA, PRESUPUESTO, GESTIÓN PÚBLICA E INNOVACIÓN</v>
      </c>
      <c r="G293" s="20">
        <f ca="1">IFERROR(__xludf.DUMMYFUNCTION("""COMPUTED_VALUE"""),2)</f>
        <v>2</v>
      </c>
      <c r="H293" s="20">
        <f ca="1">IFERROR(__xludf.DUMMYFUNCTION("""COMPUTED_VALUE"""),1)</f>
        <v>1</v>
      </c>
      <c r="I293" s="20">
        <f ca="1">IFERROR(__xludf.DUMMYFUNCTION("""COMPUTED_VALUE"""),1)</f>
        <v>1</v>
      </c>
      <c r="J293" s="20" t="str">
        <f ca="1">IFERROR(__xludf.DUMMYFUNCTION("""COMPUTED_VALUE"""),"Ley")</f>
        <v>Ley</v>
      </c>
      <c r="K293" s="20">
        <f ca="1">IFERROR(__xludf.DUMMYFUNCTION("""COMPUTED_VALUE"""),32348)</f>
        <v>32348</v>
      </c>
      <c r="L293" s="20" t="str">
        <f ca="1">IFERROR(__xludf.DUMMYFUNCTION("""COMPUTED_VALUE"""),"Poder Ejecutivo Provincial")</f>
        <v>Poder Ejecutivo Provincial</v>
      </c>
      <c r="M293" s="20" t="str">
        <f ca="1">IFERROR(__xludf.DUMMYFUNCTION("""COMPUTED_VALUE"""),"Declarando de utilidad pública y sujeto a expropiación, un lote de terreno, para la regularización dominial y el saneamiento de títulos correspondientes al asentamiento denominado “Parque Las Rosas”, ubicado en Barrio Matienzo de la ciudad de Córdoba")</f>
        <v>Declarando de utilidad pública y sujeto a expropiación, un lote de terreno, para la regularización dominial y el saneamiento de títulos correspondientes al asentamiento denominado “Parque Las Rosas”, ubicado en Barrio Matienzo de la ciudad de Córdoba</v>
      </c>
      <c r="N293" s="20" t="str">
        <f ca="1">IFERROR(__xludf.DUMMYFUNCTION("""COMPUTED_VALUE"""),"SI")</f>
        <v>SI</v>
      </c>
      <c r="O293" s="20" t="str">
        <f ca="1">IFERROR(__xludf.DUMMYFUNCTION("""COMPUTED_VALUE"""),"NO")</f>
        <v>NO</v>
      </c>
      <c r="P293" s="20">
        <f ca="1">IFERROR(__xludf.DUMMYFUNCTION("""COMPUTED_VALUE"""),0)</f>
        <v>0</v>
      </c>
      <c r="Q293" s="113" t="str">
        <f ca="1">IFERROR(__xludf.DUMMYFUNCTION("""COMPUTED_VALUE"""),"https://gld.legislaturacba.gob.ar/_cdd/api/Documento/descargar?guid=c02d8fd6-6d1d-4434-ae3b-fd4fac69818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v>
      </c>
      <c r="R293" s="113" t="str">
        <f ca="1">IFERROR(__xludf.DUMMYFUNCTION("""COMPUTED_VALUE"""),"https://www.youtube.com/watch?v=ZdP8dg475xk")</f>
        <v>https://www.youtube.com/watch?v=ZdP8dg475xk</v>
      </c>
      <c r="S293" s="113" t="str">
        <f ca="1">IFERROR(__xludf.DUMMYFUNCTION("""COMPUTED_VALUE"""),"https://gld.legislaturacba.gob.ar/Publics/Actas.aspx?id=vfiXeZ2GdVo=;https://gld.legislaturacba.gob.ar/Publics/Actas.aspx?id=l9FxfYHVEAM=")</f>
        <v>https://gld.legislaturacba.gob.ar/Publics/Actas.aspx?id=vfiXeZ2GdVo=;https://gld.legislaturacba.gob.ar/Publics/Actas.aspx?id=l9FxfYHVEAM=</v>
      </c>
      <c r="T293" s="99">
        <f t="shared" ca="1" si="0"/>
        <v>0</v>
      </c>
    </row>
    <row r="294" spans="1:20">
      <c r="A294" s="20">
        <f ca="1">IFERROR(__xludf.DUMMYFUNCTION("""COMPUTED_VALUE"""),56)</f>
        <v>56</v>
      </c>
      <c r="B294" s="20">
        <f ca="1">IFERROR(__xludf.DUMMYFUNCTION("""COMPUTED_VALUE"""),2021)</f>
        <v>2021</v>
      </c>
      <c r="C294" s="20" t="str">
        <f ca="1">IFERROR(__xludf.DUMMYFUNCTION("""COMPUTED_VALUE"""),"PRESENCIAL")</f>
        <v>PRESENCIAL</v>
      </c>
      <c r="D294" s="96">
        <f ca="1">IFERROR(__xludf.DUMMYFUNCTION("""COMPUTED_VALUE"""),44294)</f>
        <v>44294</v>
      </c>
      <c r="E294" s="20" t="str">
        <f ca="1">IFERROR(__xludf.DUMMYFUNCTION("""COMPUTED_VALUE"""),"NO")</f>
        <v>NO</v>
      </c>
      <c r="F294" s="20" t="str">
        <f ca="1">IFERROR(__xludf.DUMMYFUNCTION("""COMPUTED_VALUE"""),"AMBIENTE")</f>
        <v>AMBIENTE</v>
      </c>
      <c r="G294" s="20">
        <f ca="1">IFERROR(__xludf.DUMMYFUNCTION("""COMPUTED_VALUE"""),1)</f>
        <v>1</v>
      </c>
      <c r="H294" s="20">
        <f ca="1">IFERROR(__xludf.DUMMYFUNCTION("""COMPUTED_VALUE"""),1)</f>
        <v>1</v>
      </c>
      <c r="I294" s="20">
        <f ca="1">IFERROR(__xludf.DUMMYFUNCTION("""COMPUTED_VALUE"""),1)</f>
        <v>1</v>
      </c>
      <c r="J294" s="20" t="str">
        <f ca="1">IFERROR(__xludf.DUMMYFUNCTION("""COMPUTED_VALUE"""),"NA")</f>
        <v>NA</v>
      </c>
      <c r="K294" s="20" t="str">
        <f ca="1">IFERROR(__xludf.DUMMYFUNCTION("""COMPUTED_VALUE"""),"NA")</f>
        <v>NA</v>
      </c>
      <c r="L294" s="20" t="str">
        <f ca="1">IFERROR(__xludf.DUMMYFUNCTION("""COMPUTED_VALUE"""),"NA")</f>
        <v>NA</v>
      </c>
      <c r="M294" s="20" t="str">
        <f ca="1">IFERROR(__xludf.DUMMYFUNCTION("""COMPUTED_VALUE"""),"Visita al Establecimiento agropecuario de Economia Circular ""Las Chilcas S.A""")</f>
        <v>Visita al Establecimiento agropecuario de Economia Circular "Las Chilcas S.A"</v>
      </c>
      <c r="N294" s="20" t="str">
        <f ca="1">IFERROR(__xludf.DUMMYFUNCTION("""COMPUTED_VALUE"""),"NA")</f>
        <v>NA</v>
      </c>
      <c r="O294" s="20" t="str">
        <f ca="1">IFERROR(__xludf.DUMMYFUNCTION("""COMPUTED_VALUE"""),"NO")</f>
        <v>NO</v>
      </c>
      <c r="P294" s="20">
        <f ca="1">IFERROR(__xludf.DUMMYFUNCTION("""COMPUTED_VALUE"""),0)</f>
        <v>0</v>
      </c>
      <c r="Q294" s="20" t="str">
        <f ca="1">IFERROR(__xludf.DUMMYFUNCTION("""COMPUTED_VALUE"""),"NA")</f>
        <v>NA</v>
      </c>
      <c r="R294" s="20" t="str">
        <f ca="1">IFERROR(__xludf.DUMMYFUNCTION("""COMPUTED_VALUE"""),"NA")</f>
        <v>NA</v>
      </c>
      <c r="S294" s="113" t="str">
        <f ca="1">IFERROR(__xludf.DUMMYFUNCTION("""COMPUTED_VALUE"""),"https://gld.legislaturacba.gob.ar/Publics/Actas.aspx?id=YXpDAMDKgGY=")</f>
        <v>https://gld.legislaturacba.gob.ar/Publics/Actas.aspx?id=YXpDAMDKgGY=</v>
      </c>
      <c r="T294" s="99">
        <f t="shared" ca="1" si="0"/>
        <v>0</v>
      </c>
    </row>
    <row r="295" spans="1:20">
      <c r="A295" s="20">
        <f ca="1">IFERROR(__xludf.DUMMYFUNCTION("""COMPUTED_VALUE"""),57)</f>
        <v>57</v>
      </c>
      <c r="B295" s="20">
        <f ca="1">IFERROR(__xludf.DUMMYFUNCTION("""COMPUTED_VALUE"""),2021)</f>
        <v>2021</v>
      </c>
      <c r="C295" s="20" t="str">
        <f ca="1">IFERROR(__xludf.DUMMYFUNCTION("""COMPUTED_VALUE"""),"VIRTUAL")</f>
        <v>VIRTUAL</v>
      </c>
      <c r="D295" s="96">
        <f ca="1">IFERROR(__xludf.DUMMYFUNCTION("""COMPUTED_VALUE"""),44294)</f>
        <v>44294</v>
      </c>
      <c r="E295" s="20" t="str">
        <f ca="1">IFERROR(__xludf.DUMMYFUNCTION("""COMPUTED_VALUE"""),"SI")</f>
        <v>SI</v>
      </c>
      <c r="F295" s="20" t="str">
        <f ca="1">IFERROR(__xludf.DUMMYFUNCTION("""COMPUTED_VALUE"""),"OBRAS PÚBLICAS, VIVIENDA Y COMUNICACIONES;SERVICIOS PÚBLICOS")</f>
        <v>OBRAS PÚBLICAS, VIVIENDA Y COMUNICACIONES;SERVICIOS PÚBLICOS</v>
      </c>
      <c r="G295" s="20">
        <f ca="1">IFERROR(__xludf.DUMMYFUNCTION("""COMPUTED_VALUE"""),2)</f>
        <v>2</v>
      </c>
      <c r="H295" s="20">
        <f ca="1">IFERROR(__xludf.DUMMYFUNCTION("""COMPUTED_VALUE"""),6)</f>
        <v>6</v>
      </c>
      <c r="I295" s="20">
        <f ca="1">IFERROR(__xludf.DUMMYFUNCTION("""COMPUTED_VALUE"""),1)</f>
        <v>1</v>
      </c>
      <c r="J295" s="20" t="str">
        <f ca="1">IFERROR(__xludf.DUMMYFUNCTION("""COMPUTED_VALUE"""),"Resolución")</f>
        <v>Resolución</v>
      </c>
      <c r="K295" s="20">
        <f ca="1">IFERROR(__xludf.DUMMYFUNCTION("""COMPUTED_VALUE"""),31935)</f>
        <v>31935</v>
      </c>
      <c r="L295" s="20" t="str">
        <f ca="1">IFERROR(__xludf.DUMMYFUNCTION("""COMPUTED_VALUE"""),"Poder Legislativo Provincial")</f>
        <v>Poder Legislativo Provincial</v>
      </c>
      <c r="M295" s="20" t="str">
        <f ca="1">IFERROR(__xludf.DUMMYFUNCTION("""COMPUTED_VALUE"""),"Solicitando informe sobre el estado en que se encuentra el proyecto de realización del Acueducto de Río Seco (La Encrucijada-La Rinconada)")</f>
        <v>Solicitando informe sobre el estado en que se encuentra el proyecto de realización del Acueducto de Río Seco (La Encrucijada-La Rinconada)</v>
      </c>
      <c r="N295" s="20" t="str">
        <f ca="1">IFERROR(__xludf.DUMMYFUNCTION("""COMPUTED_VALUE"""),"NO")</f>
        <v>NO</v>
      </c>
      <c r="O295" s="20" t="str">
        <f ca="1">IFERROR(__xludf.DUMMYFUNCTION("""COMPUTED_VALUE"""),"SI")</f>
        <v>SI</v>
      </c>
      <c r="P295" s="20">
        <f ca="1">IFERROR(__xludf.DUMMYFUNCTION("""COMPUTED_VALUE"""),4)</f>
        <v>4</v>
      </c>
      <c r="Q295" s="113" t="str">
        <f ca="1">IFERROR(__xludf.DUMMYFUNCTION("""COMPUTED_VALUE"""),"https://gld.legislaturacba.gob.ar/_cdd/api/Documento/descargar?guid=49de05b6-c8ae-4616-aea4-136514cfd1b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v>
      </c>
      <c r="R295" s="113" t="str">
        <f ca="1">IFERROR(__xludf.DUMMYFUNCTION("""COMPUTED_VALUE"""),"https://www.youtube.com/watch?v=RaPOtgpIwkM")</f>
        <v>https://www.youtube.com/watch?v=RaPOtgpIwkM</v>
      </c>
      <c r="S295" s="113" t="str">
        <f ca="1">IFERROR(__xludf.DUMMYFUNCTION("""COMPUTED_VALUE"""),"https://gld.legislaturacba.gob.ar/Publics/Actas.aspx?id=AthTG15LnPI=;https://gld.legislaturacba.gob.ar/Publics/Actas.aspx?id=OuWMPBnLWDY=")</f>
        <v>https://gld.legislaturacba.gob.ar/Publics/Actas.aspx?id=AthTG15LnPI=;https://gld.legislaturacba.gob.ar/Publics/Actas.aspx?id=OuWMPBnLWDY=</v>
      </c>
      <c r="T295" s="99">
        <f t="shared" ca="1" si="0"/>
        <v>0</v>
      </c>
    </row>
    <row r="296" spans="1:20">
      <c r="A296" s="20">
        <f ca="1">IFERROR(__xludf.DUMMYFUNCTION("""COMPUTED_VALUE"""),58)</f>
        <v>58</v>
      </c>
      <c r="B296" s="20">
        <f ca="1">IFERROR(__xludf.DUMMYFUNCTION("""COMPUTED_VALUE"""),2021)</f>
        <v>2021</v>
      </c>
      <c r="C296" s="20" t="str">
        <f ca="1">IFERROR(__xludf.DUMMYFUNCTION("""COMPUTED_VALUE"""),"VIRTUAL")</f>
        <v>VIRTUAL</v>
      </c>
      <c r="D296" s="96">
        <f ca="1">IFERROR(__xludf.DUMMYFUNCTION("""COMPUTED_VALUE"""),44294)</f>
        <v>44294</v>
      </c>
      <c r="E296" s="20" t="str">
        <f ca="1">IFERROR(__xludf.DUMMYFUNCTION("""COMPUTED_VALUE"""),"NO")</f>
        <v>NO</v>
      </c>
      <c r="F296" s="20" t="str">
        <f ca="1">IFERROR(__xludf.DUMMYFUNCTION("""COMPUTED_VALUE"""),"TURISMO Y SU RELACIÓN CON EL DESARROLLO REGIONAL")</f>
        <v>TURISMO Y SU RELACIÓN CON EL DESARROLLO REGIONAL</v>
      </c>
      <c r="G296" s="20">
        <f ca="1">IFERROR(__xludf.DUMMYFUNCTION("""COMPUTED_VALUE"""),1)</f>
        <v>1</v>
      </c>
      <c r="H296" s="20">
        <f ca="1">IFERROR(__xludf.DUMMYFUNCTION("""COMPUTED_VALUE"""),1)</f>
        <v>1</v>
      </c>
      <c r="I296" s="20">
        <f ca="1">IFERROR(__xludf.DUMMYFUNCTION("""COMPUTED_VALUE"""),1)</f>
        <v>1</v>
      </c>
      <c r="J296" s="20" t="str">
        <f ca="1">IFERROR(__xludf.DUMMYFUNCTION("""COMPUTED_VALUE"""),"Ley")</f>
        <v>Ley</v>
      </c>
      <c r="K296" s="20">
        <f ca="1">IFERROR(__xludf.DUMMYFUNCTION("""COMPUTED_VALUE"""),32460)</f>
        <v>32460</v>
      </c>
      <c r="L296" s="20" t="str">
        <f ca="1">IFERROR(__xludf.DUMMYFUNCTION("""COMPUTED_VALUE"""),"Poder Legislativo Provincial")</f>
        <v>Poder Legislativo Provincial</v>
      </c>
      <c r="M296"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296" s="20" t="str">
        <f ca="1">IFERROR(__xludf.DUMMYFUNCTION("""COMPUTED_VALUE"""),"NO")</f>
        <v>NO</v>
      </c>
      <c r="O296" s="20" t="str">
        <f ca="1">IFERROR(__xludf.DUMMYFUNCTION("""COMPUTED_VALUE"""),"NO")</f>
        <v>NO</v>
      </c>
      <c r="P296" s="20">
        <f ca="1">IFERROR(__xludf.DUMMYFUNCTION("""COMPUTED_VALUE"""),0)</f>
        <v>0</v>
      </c>
      <c r="Q296" s="113" t="str">
        <f ca="1">IFERROR(__xludf.DUMMYFUNCTION("""COMPUTED_VALUE"""),"https://gld.legislaturacba.gob.ar/_cdd/api/Documento/descargar?guid=706c6c5a-9972-4a15-8df5-1091bcf4251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v>
      </c>
      <c r="R296" s="113" t="str">
        <f ca="1">IFERROR(__xludf.DUMMYFUNCTION("""COMPUTED_VALUE"""),"https://www.youtube.com/watch?v=o1HhqFAeAaw")</f>
        <v>https://www.youtube.com/watch?v=o1HhqFAeAaw</v>
      </c>
      <c r="S296" s="113" t="str">
        <f ca="1">IFERROR(__xludf.DUMMYFUNCTION("""COMPUTED_VALUE"""),"https://gld.legislaturacba.gob.ar/Publics/Actas.aspx?id=0v2KYbzPpfE=")</f>
        <v>https://gld.legislaturacba.gob.ar/Publics/Actas.aspx?id=0v2KYbzPpfE=</v>
      </c>
      <c r="T296" s="99">
        <f t="shared" ca="1" si="0"/>
        <v>0</v>
      </c>
    </row>
    <row r="297" spans="1:20">
      <c r="A297" s="20">
        <f ca="1">IFERROR(__xludf.DUMMYFUNCTION("""COMPUTED_VALUE"""),59)</f>
        <v>59</v>
      </c>
      <c r="B297" s="20">
        <f ca="1">IFERROR(__xludf.DUMMYFUNCTION("""COMPUTED_VALUE"""),2021)</f>
        <v>2021</v>
      </c>
      <c r="C297" s="20" t="str">
        <f ca="1">IFERROR(__xludf.DUMMYFUNCTION("""COMPUTED_VALUE"""),"VIRTUAL")</f>
        <v>VIRTUAL</v>
      </c>
      <c r="D297" s="96">
        <f ca="1">IFERROR(__xludf.DUMMYFUNCTION("""COMPUTED_VALUE"""),44294)</f>
        <v>44294</v>
      </c>
      <c r="E297" s="20" t="str">
        <f ca="1">IFERROR(__xludf.DUMMYFUNCTION("""COMPUTED_VALUE"""),"NO")</f>
        <v>NO</v>
      </c>
      <c r="F297" s="20" t="str">
        <f ca="1">IFERROR(__xludf.DUMMYFUNCTION("""COMPUTED_VALUE"""),"EQUIDAD Y LUCHA CONTRA LA VIOLENCIA DE GÉNERO")</f>
        <v>EQUIDAD Y LUCHA CONTRA LA VIOLENCIA DE GÉNERO</v>
      </c>
      <c r="G297" s="20">
        <f ca="1">IFERROR(__xludf.DUMMYFUNCTION("""COMPUTED_VALUE"""),1)</f>
        <v>1</v>
      </c>
      <c r="H297" s="20">
        <f ca="1">IFERROR(__xludf.DUMMYFUNCTION("""COMPUTED_VALUE"""),1)</f>
        <v>1</v>
      </c>
      <c r="I297" s="20">
        <f ca="1">IFERROR(__xludf.DUMMYFUNCTION("""COMPUTED_VALUE"""),1)</f>
        <v>1</v>
      </c>
      <c r="J297" s="20" t="str">
        <f ca="1">IFERROR(__xludf.DUMMYFUNCTION("""COMPUTED_VALUE"""),"NA")</f>
        <v>NA</v>
      </c>
      <c r="K297" s="20" t="str">
        <f ca="1">IFERROR(__xludf.DUMMYFUNCTION("""COMPUTED_VALUE"""),"NA")</f>
        <v>NA</v>
      </c>
      <c r="L297" s="20" t="str">
        <f ca="1">IFERROR(__xludf.DUMMYFUNCTION("""COMPUTED_VALUE"""),"NA")</f>
        <v>NA</v>
      </c>
      <c r="M297" s="20" t="str">
        <f ca="1">IFERROR(__xludf.DUMMYFUNCTION("""COMPUTED_VALUE"""),"Historia de las heroínas que participaron de la guerra de Malvinas")</f>
        <v>Historia de las heroínas que participaron de la guerra de Malvinas</v>
      </c>
      <c r="N297" s="20" t="str">
        <f ca="1">IFERROR(__xludf.DUMMYFUNCTION("""COMPUTED_VALUE"""),"NA")</f>
        <v>NA</v>
      </c>
      <c r="O297" s="20" t="str">
        <f ca="1">IFERROR(__xludf.DUMMYFUNCTION("""COMPUTED_VALUE"""),"SI")</f>
        <v>SI</v>
      </c>
      <c r="P297" s="20">
        <f ca="1">IFERROR(__xludf.DUMMYFUNCTION("""COMPUTED_VALUE"""),1)</f>
        <v>1</v>
      </c>
      <c r="Q297" s="113" t="str">
        <f ca="1">IFERROR(__xludf.DUMMYFUNCTION("""COMPUTED_VALUE"""),"https://gld.legislaturacba.gob.ar/_cdd/api/Documento/descargar?guid=47482057-8887-499c-9673-3076653682f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v>
      </c>
      <c r="R297" s="113" t="str">
        <f ca="1">IFERROR(__xludf.DUMMYFUNCTION("""COMPUTED_VALUE"""),"https://www.youtube.com/watch?v=Rhtdb8mU5ls")</f>
        <v>https://www.youtube.com/watch?v=Rhtdb8mU5ls</v>
      </c>
      <c r="S297" s="113" t="str">
        <f ca="1">IFERROR(__xludf.DUMMYFUNCTION("""COMPUTED_VALUE"""),"https://gld.legislaturacba.gob.ar/Publics/Actas.aspx?id=UmCnIUwJCCM=")</f>
        <v>https://gld.legislaturacba.gob.ar/Publics/Actas.aspx?id=UmCnIUwJCCM=</v>
      </c>
      <c r="T297" s="99">
        <f t="shared" ca="1" si="0"/>
        <v>0</v>
      </c>
    </row>
    <row r="298" spans="1:20">
      <c r="A298" s="20">
        <f ca="1">IFERROR(__xludf.DUMMYFUNCTION("""COMPUTED_VALUE"""),60)</f>
        <v>60</v>
      </c>
      <c r="B298" s="20">
        <f ca="1">IFERROR(__xludf.DUMMYFUNCTION("""COMPUTED_VALUE"""),2021)</f>
        <v>2021</v>
      </c>
      <c r="C298" s="20" t="str">
        <f ca="1">IFERROR(__xludf.DUMMYFUNCTION("""COMPUTED_VALUE"""),"VIRTUAL")</f>
        <v>VIRTUAL</v>
      </c>
      <c r="D298" s="96">
        <f ca="1">IFERROR(__xludf.DUMMYFUNCTION("""COMPUTED_VALUE"""),44299)</f>
        <v>44299</v>
      </c>
      <c r="E298" s="20" t="str">
        <f ca="1">IFERROR(__xludf.DUMMYFUNCTION("""COMPUTED_VALUE"""),"NO")</f>
        <v>NO</v>
      </c>
      <c r="F298" s="20" t="str">
        <f ca="1">IFERROR(__xludf.DUMMYFUNCTION("""COMPUTED_VALUE"""),"LEGISLACIÓN DEL TRABAJO, PREVISIÓN Y SEGURIDAD SOCIAL")</f>
        <v>LEGISLACIÓN DEL TRABAJO, PREVISIÓN Y SEGURIDAD SOCIAL</v>
      </c>
      <c r="G298" s="20">
        <f ca="1">IFERROR(__xludf.DUMMYFUNCTION("""COMPUTED_VALUE"""),1)</f>
        <v>1</v>
      </c>
      <c r="H298" s="20">
        <f ca="1">IFERROR(__xludf.DUMMYFUNCTION("""COMPUTED_VALUE"""),1)</f>
        <v>1</v>
      </c>
      <c r="I298" s="20">
        <f ca="1">IFERROR(__xludf.DUMMYFUNCTION("""COMPUTED_VALUE"""),1)</f>
        <v>1</v>
      </c>
      <c r="J298" s="20" t="str">
        <f ca="1">IFERROR(__xludf.DUMMYFUNCTION("""COMPUTED_VALUE"""),"Ley")</f>
        <v>Ley</v>
      </c>
      <c r="K298" s="20">
        <f ca="1">IFERROR(__xludf.DUMMYFUNCTION("""COMPUTED_VALUE"""),32088)</f>
        <v>32088</v>
      </c>
      <c r="L298" s="20" t="str">
        <f ca="1">IFERROR(__xludf.DUMMYFUNCTION("""COMPUTED_VALUE"""),"Poder Legislativo Provincial")</f>
        <v>Poder Legislativo Provincial</v>
      </c>
      <c r="M298"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298" s="20" t="str">
        <f ca="1">IFERROR(__xludf.DUMMYFUNCTION("""COMPUTED_VALUE"""),"NO")</f>
        <v>NO</v>
      </c>
      <c r="O298" s="20" t="str">
        <f ca="1">IFERROR(__xludf.DUMMYFUNCTION("""COMPUTED_VALUE"""),"NO")</f>
        <v>NO</v>
      </c>
      <c r="P298" s="20">
        <f ca="1">IFERROR(__xludf.DUMMYFUNCTION("""COMPUTED_VALUE"""),0)</f>
        <v>0</v>
      </c>
      <c r="Q298" s="113" t="str">
        <f ca="1">IFERROR(__xludf.DUMMYFUNCTION("""COMPUTED_VALUE"""),"https://gld.legislaturacba.gob.ar/_cdd/api/Documento/descargar?guid=ad1d12a5-5e15-4a58-8e23-75e2e1b2c2e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v>
      </c>
      <c r="R298" s="113" t="str">
        <f ca="1">IFERROR(__xludf.DUMMYFUNCTION("""COMPUTED_VALUE"""),"https://www.youtube.com/watch?v=DS3_4H6zVDw")</f>
        <v>https://www.youtube.com/watch?v=DS3_4H6zVDw</v>
      </c>
      <c r="S298" s="113" t="str">
        <f ca="1">IFERROR(__xludf.DUMMYFUNCTION("""COMPUTED_VALUE"""),"https://gld.legislaturacba.gob.ar/Publics/Actas.aspx?id=jhgJ0_gABdM=")</f>
        <v>https://gld.legislaturacba.gob.ar/Publics/Actas.aspx?id=jhgJ0_gABdM=</v>
      </c>
      <c r="T298" s="99">
        <f t="shared" ca="1" si="0"/>
        <v>0</v>
      </c>
    </row>
    <row r="299" spans="1:20">
      <c r="A299" s="20">
        <f ca="1">IFERROR(__xludf.DUMMYFUNCTION("""COMPUTED_VALUE"""),61)</f>
        <v>61</v>
      </c>
      <c r="B299" s="20">
        <f ca="1">IFERROR(__xludf.DUMMYFUNCTION("""COMPUTED_VALUE"""),2021)</f>
        <v>2021</v>
      </c>
      <c r="C299" s="20" t="str">
        <f ca="1">IFERROR(__xludf.DUMMYFUNCTION("""COMPUTED_VALUE"""),"VIRTUAL")</f>
        <v>VIRTUAL</v>
      </c>
      <c r="D299" s="96">
        <f ca="1">IFERROR(__xludf.DUMMYFUNCTION("""COMPUTED_VALUE"""),44299)</f>
        <v>44299</v>
      </c>
      <c r="E299" s="20" t="str">
        <f ca="1">IFERROR(__xludf.DUMMYFUNCTION("""COMPUTED_VALUE"""),"SI")</f>
        <v>SI</v>
      </c>
      <c r="F299" s="20" t="str">
        <f ca="1">IFERROR(__xludf.DUMMYFUNCTION("""COMPUTED_VALUE"""),"ASUNTOS CONSTITUCIONALES, JUSTICIA Y ACUERDOS;EQUIDAD Y LUCHA CONTRA LA VIOLENCIA DE GÉNERO;LEGISLACIÓN GENERAL")</f>
        <v>ASUNTOS CONSTITUCIONALES, JUSTICIA Y ACUERDOS;EQUIDAD Y LUCHA CONTRA LA VIOLENCIA DE GÉNERO;LEGISLACIÓN GENERAL</v>
      </c>
      <c r="G299" s="20">
        <f ca="1">IFERROR(__xludf.DUMMYFUNCTION("""COMPUTED_VALUE"""),3)</f>
        <v>3</v>
      </c>
      <c r="H299" s="20">
        <f ca="1">IFERROR(__xludf.DUMMYFUNCTION("""COMPUTED_VALUE"""),2)</f>
        <v>2</v>
      </c>
      <c r="I299" s="20">
        <f ca="1">IFERROR(__xludf.DUMMYFUNCTION("""COMPUTED_VALUE"""),1)</f>
        <v>1</v>
      </c>
      <c r="J299" s="20" t="str">
        <f ca="1">IFERROR(__xludf.DUMMYFUNCTION("""COMPUTED_VALUE"""),"Ley")</f>
        <v>Ley</v>
      </c>
      <c r="K299" s="20">
        <f ca="1">IFERROR(__xludf.DUMMYFUNCTION("""COMPUTED_VALUE"""),32309)</f>
        <v>32309</v>
      </c>
      <c r="L299" s="20" t="str">
        <f ca="1">IFERROR(__xludf.DUMMYFUNCTION("""COMPUTED_VALUE"""),"Poder Ejecutivo Provincial")</f>
        <v>Poder Ejecutivo Provincial</v>
      </c>
      <c r="M299" s="20" t="str">
        <f ca="1">IFERROR(__xludf.DUMMYFUNCTION("""COMPUTED_VALUE"""),"Creando el Fuero Penal en Violencia de Género, asignándole competencia en Violencia de Género a juzgados, fiscalías y asesorías letradas en la Primera Circunscripción Judicial y fiscalías de igual competencia en las ciudades de Jesús María, de Cosquín, de"&amp;" Villa Dolores, y en las Segunda, Cuarta y Quinta Circunscripciones Judiciales")</f>
        <v>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v>
      </c>
      <c r="N299" s="20" t="str">
        <f ca="1">IFERROR(__xludf.DUMMYFUNCTION("""COMPUTED_VALUE"""),"SI")</f>
        <v>SI</v>
      </c>
      <c r="O299" s="20" t="str">
        <f ca="1">IFERROR(__xludf.DUMMYFUNCTION("""COMPUTED_VALUE"""),"NO")</f>
        <v>NO</v>
      </c>
      <c r="P299" s="20">
        <f ca="1">IFERROR(__xludf.DUMMYFUNCTION("""COMPUTED_VALUE"""),0)</f>
        <v>0</v>
      </c>
      <c r="Q299" s="113" t="str">
        <f ca="1">IFERROR(__xludf.DUMMYFUNCTION("""COMPUTED_VALUE"""),"https://gld.legislaturacba.gob.ar/_cdd/api/Documento/descargar?guid=356be3de-7977-41d1-a51d-faba9cde19a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v>
      </c>
      <c r="R299" s="113" t="str">
        <f ca="1">IFERROR(__xludf.DUMMYFUNCTION("""COMPUTED_VALUE"""),"https://www.youtube.com/watch?v=sWzTnAMbm2M")</f>
        <v>https://www.youtube.com/watch?v=sWzTnAMbm2M</v>
      </c>
      <c r="S299" s="113" t="str">
        <f ca="1">IFERROR(__xludf.DUMMYFUNCTION("""COMPUTED_VALUE"""),"https://gld.legislaturacba.gob.ar/Publics/Actas.aspx?id=v9d5eqd7aW8=;https://gld.legislaturacba.gob.ar/Publics/Actas.aspx?id=EI2f1QpkhT4=;https://gld.legislaturacba.gob.ar/Publics/Actas.aspx?id=myg8Hf6cpz0=")</f>
        <v>https://gld.legislaturacba.gob.ar/Publics/Actas.aspx?id=v9d5eqd7aW8=;https://gld.legislaturacba.gob.ar/Publics/Actas.aspx?id=EI2f1QpkhT4=;https://gld.legislaturacba.gob.ar/Publics/Actas.aspx?id=myg8Hf6cpz0=</v>
      </c>
      <c r="T299" s="99">
        <f t="shared" ca="1" si="0"/>
        <v>0</v>
      </c>
    </row>
    <row r="300" spans="1:20">
      <c r="A300" s="20">
        <f ca="1">IFERROR(__xludf.DUMMYFUNCTION("""COMPUTED_VALUE"""),62)</f>
        <v>62</v>
      </c>
      <c r="B300" s="20">
        <f ca="1">IFERROR(__xludf.DUMMYFUNCTION("""COMPUTED_VALUE"""),2021)</f>
        <v>2021</v>
      </c>
      <c r="C300" s="20" t="str">
        <f ca="1">IFERROR(__xludf.DUMMYFUNCTION("""COMPUTED_VALUE"""),"VIRTUAL")</f>
        <v>VIRTUAL</v>
      </c>
      <c r="D300" s="96">
        <f ca="1">IFERROR(__xludf.DUMMYFUNCTION("""COMPUTED_VALUE"""),44299)</f>
        <v>44299</v>
      </c>
      <c r="E300" s="20" t="str">
        <f ca="1">IFERROR(__xludf.DUMMYFUNCTION("""COMPUTED_VALUE"""),"SI")</f>
        <v>SI</v>
      </c>
      <c r="F300" s="20" t="str">
        <f ca="1">IFERROR(__xludf.DUMMYFUNCTION("""COMPUTED_VALUE"""),"LEGISLACIÓN GENERAL;PREVENCIÓN, TRATAMIENTO Y CONTROL DE LAS ADICCIONES;SALUD HUMANA")</f>
        <v>LEGISLACIÓN GENERAL;PREVENCIÓN, TRATAMIENTO Y CONTROL DE LAS ADICCIONES;SALUD HUMANA</v>
      </c>
      <c r="G300" s="20">
        <f ca="1">IFERROR(__xludf.DUMMYFUNCTION("""COMPUTED_VALUE"""),3)</f>
        <v>3</v>
      </c>
      <c r="H300" s="20">
        <f ca="1">IFERROR(__xludf.DUMMYFUNCTION("""COMPUTED_VALUE"""),3)</f>
        <v>3</v>
      </c>
      <c r="I300" s="20">
        <f ca="1">IFERROR(__xludf.DUMMYFUNCTION("""COMPUTED_VALUE"""),1)</f>
        <v>1</v>
      </c>
      <c r="J300" s="20" t="str">
        <f ca="1">IFERROR(__xludf.DUMMYFUNCTION("""COMPUTED_VALUE"""),"Ley")</f>
        <v>Ley</v>
      </c>
      <c r="K300" s="20">
        <f ca="1">IFERROR(__xludf.DUMMYFUNCTION("""COMPUTED_VALUE"""),29563)</f>
        <v>29563</v>
      </c>
      <c r="L300" s="20" t="str">
        <f ca="1">IFERROR(__xludf.DUMMYFUNCTION("""COMPUTED_VALUE"""),"Poder Legislativo Provincial")</f>
        <v>Poder Legislativo Provincial</v>
      </c>
      <c r="M300" s="20" t="str">
        <f ca="1">IFERROR(__xludf.DUMMYFUNCTION("""COMPUTED_VALUE"""),"Adhiriendo a la Ley Nacional Nº 27350 de investigación médica y científica del uso medicinal de la planta de cannabis y sus derivados")</f>
        <v>Adhiriendo a la Ley Nacional Nº 27350 de investigación médica y científica del uso medicinal de la planta de cannabis y sus derivados</v>
      </c>
      <c r="N300" s="20" t="str">
        <f ca="1">IFERROR(__xludf.DUMMYFUNCTION("""COMPUTED_VALUE"""),"NO")</f>
        <v>NO</v>
      </c>
      <c r="O300" s="20" t="str">
        <f ca="1">IFERROR(__xludf.DUMMYFUNCTION("""COMPUTED_VALUE"""),"NO")</f>
        <v>NO</v>
      </c>
      <c r="P300" s="20">
        <f ca="1">IFERROR(__xludf.DUMMYFUNCTION("""COMPUTED_VALUE"""),0)</f>
        <v>0</v>
      </c>
      <c r="Q300" s="113" t="str">
        <f ca="1">IFERROR(__xludf.DUMMYFUNCTION("""COMPUTED_VALUE"""),"https://gld.legislaturacba.gob.ar/_cdd/api/Documento/descargar?guid=e7fa1ee5-ebce-480f-98df-017d07137684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v>
      </c>
      <c r="R300" s="113" t="str">
        <f ca="1">IFERROR(__xludf.DUMMYFUNCTION("""COMPUTED_VALUE"""),"https://www.youtube.com/watch?v=cUSyrgiRoD4")</f>
        <v>https://www.youtube.com/watch?v=cUSyrgiRoD4</v>
      </c>
      <c r="S300" s="113" t="str">
        <f ca="1">IFERROR(__xludf.DUMMYFUNCTION("""COMPUTED_VALUE"""),"https://gld.legislaturacba.gob.ar/Publics/Actas.aspx?id=z7Eqz8Oe628=;https://gld.legislaturacba.gob.ar/Publics/Actas.aspx?id=YSni9VJEfOA=;https://gld.legislaturacba.gob.ar/Publics/Actas.aspx?id=VhM-uEJJbNY=")</f>
        <v>https://gld.legislaturacba.gob.ar/Publics/Actas.aspx?id=z7Eqz8Oe628=;https://gld.legislaturacba.gob.ar/Publics/Actas.aspx?id=YSni9VJEfOA=;https://gld.legislaturacba.gob.ar/Publics/Actas.aspx?id=VhM-uEJJbNY=</v>
      </c>
      <c r="T300" s="99">
        <f t="shared" ca="1" si="0"/>
        <v>0</v>
      </c>
    </row>
    <row r="301" spans="1:20">
      <c r="A301" s="20">
        <f ca="1">IFERROR(__xludf.DUMMYFUNCTION("""COMPUTED_VALUE"""),63)</f>
        <v>63</v>
      </c>
      <c r="B301" s="20">
        <f ca="1">IFERROR(__xludf.DUMMYFUNCTION("""COMPUTED_VALUE"""),2021)</f>
        <v>2021</v>
      </c>
      <c r="C301" s="20" t="str">
        <f ca="1">IFERROR(__xludf.DUMMYFUNCTION("""COMPUTED_VALUE"""),"VIRTUAL")</f>
        <v>VIRTUAL</v>
      </c>
      <c r="D301" s="96">
        <f ca="1">IFERROR(__xludf.DUMMYFUNCTION("""COMPUTED_VALUE"""),44299)</f>
        <v>44299</v>
      </c>
      <c r="E301" s="20" t="str">
        <f ca="1">IFERROR(__xludf.DUMMYFUNCTION("""COMPUTED_VALUE"""),"NO")</f>
        <v>NO</v>
      </c>
      <c r="F301" s="20" t="str">
        <f ca="1">IFERROR(__xludf.DUMMYFUNCTION("""COMPUTED_VALUE"""),"AMBIENTE")</f>
        <v>AMBIENTE</v>
      </c>
      <c r="G301" s="20">
        <f ca="1">IFERROR(__xludf.DUMMYFUNCTION("""COMPUTED_VALUE"""),1)</f>
        <v>1</v>
      </c>
      <c r="H301" s="20">
        <f ca="1">IFERROR(__xludf.DUMMYFUNCTION("""COMPUTED_VALUE"""),3)</f>
        <v>3</v>
      </c>
      <c r="I301" s="20">
        <f ca="1">IFERROR(__xludf.DUMMYFUNCTION("""COMPUTED_VALUE"""),1)</f>
        <v>1</v>
      </c>
      <c r="J301" s="20" t="str">
        <f ca="1">IFERROR(__xludf.DUMMYFUNCTION("""COMPUTED_VALUE"""),"Ley")</f>
        <v>Ley</v>
      </c>
      <c r="K301" s="20">
        <f ca="1">IFERROR(__xludf.DUMMYFUNCTION("""COMPUTED_VALUE"""),31811)</f>
        <v>31811</v>
      </c>
      <c r="L301" s="20" t="str">
        <f ca="1">IFERROR(__xludf.DUMMYFUNCTION("""COMPUTED_VALUE"""),"Poder Legislativo Provincial")</f>
        <v>Poder Legislativo Provincial</v>
      </c>
      <c r="M301"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01" s="20" t="str">
        <f ca="1">IFERROR(__xludf.DUMMYFUNCTION("""COMPUTED_VALUE"""),"NO")</f>
        <v>NO</v>
      </c>
      <c r="O301" s="20" t="str">
        <f ca="1">IFERROR(__xludf.DUMMYFUNCTION("""COMPUTED_VALUE"""),"NO")</f>
        <v>NO</v>
      </c>
      <c r="P301" s="20">
        <f ca="1">IFERROR(__xludf.DUMMYFUNCTION("""COMPUTED_VALUE"""),0)</f>
        <v>0</v>
      </c>
      <c r="Q301" s="113" t="str">
        <f ca="1">IFERROR(__xludf.DUMMYFUNCTION("""COMPUTED_VALUE"""),"https://gld.legislaturacba.gob.ar/_cdd/api/Documento/descargar?guid=d59d5064-dd80-496a-97a7-8bbd1da3634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v>
      </c>
      <c r="R301" s="113" t="str">
        <f ca="1">IFERROR(__xludf.DUMMYFUNCTION("""COMPUTED_VALUE"""),"https://www.youtube.com/watch?v=H3DXqasN9SQ")</f>
        <v>https://www.youtube.com/watch?v=H3DXqasN9SQ</v>
      </c>
      <c r="S301" s="113" t="str">
        <f ca="1">IFERROR(__xludf.DUMMYFUNCTION("""COMPUTED_VALUE"""),"https://gld.legislaturacba.gob.ar/Publics/Actas.aspx?id=EDJLlBoIzZA=")</f>
        <v>https://gld.legislaturacba.gob.ar/Publics/Actas.aspx?id=EDJLlBoIzZA=</v>
      </c>
      <c r="T301" s="99">
        <f t="shared" ca="1" si="0"/>
        <v>0</v>
      </c>
    </row>
    <row r="302" spans="1:20">
      <c r="A302" s="20">
        <f ca="1">IFERROR(__xludf.DUMMYFUNCTION("""COMPUTED_VALUE"""),64)</f>
        <v>64</v>
      </c>
      <c r="B302" s="20">
        <f ca="1">IFERROR(__xludf.DUMMYFUNCTION("""COMPUTED_VALUE"""),2021)</f>
        <v>2021</v>
      </c>
      <c r="C302" s="20" t="str">
        <f ca="1">IFERROR(__xludf.DUMMYFUNCTION("""COMPUTED_VALUE"""),"VIRTUAL")</f>
        <v>VIRTUAL</v>
      </c>
      <c r="D302" s="96">
        <f ca="1">IFERROR(__xludf.DUMMYFUNCTION("""COMPUTED_VALUE"""),44299)</f>
        <v>44299</v>
      </c>
      <c r="E302" s="20" t="str">
        <f ca="1">IFERROR(__xludf.DUMMYFUNCTION("""COMPUTED_VALUE"""),"SI")</f>
        <v>SI</v>
      </c>
      <c r="F302" s="20" t="str">
        <f ca="1">IFERROR(__xludf.DUMMYFUNCTION("""COMPUTED_VALUE"""),"ASUNTOS CONSTITUCIONALES, JUSTICIA Y ACUERDOS;EDUCACIÓN, CULTURA, CIENCIA, TECNOLOGÍA E INFORMÁTICA")</f>
        <v>ASUNTOS CONSTITUCIONALES, JUSTICIA Y ACUERDOS;EDUCACIÓN, CULTURA, CIENCIA, TECNOLOGÍA E INFORMÁTICA</v>
      </c>
      <c r="G302" s="20">
        <f ca="1">IFERROR(__xludf.DUMMYFUNCTION("""COMPUTED_VALUE"""),2)</f>
        <v>2</v>
      </c>
      <c r="H302" s="20">
        <f ca="1">IFERROR(__xludf.DUMMYFUNCTION("""COMPUTED_VALUE"""),1)</f>
        <v>1</v>
      </c>
      <c r="I302" s="20">
        <f ca="1">IFERROR(__xludf.DUMMYFUNCTION("""COMPUTED_VALUE"""),1)</f>
        <v>1</v>
      </c>
      <c r="J302" s="20" t="str">
        <f ca="1">IFERROR(__xludf.DUMMYFUNCTION("""COMPUTED_VALUE"""),"Ley")</f>
        <v>Ley</v>
      </c>
      <c r="K302" s="20">
        <f ca="1">IFERROR(__xludf.DUMMYFUNCTION("""COMPUTED_VALUE"""),32324)</f>
        <v>32324</v>
      </c>
      <c r="L302" s="20" t="str">
        <f ca="1">IFERROR(__xludf.DUMMYFUNCTION("""COMPUTED_VALUE"""),"Poder Legislativo Provincial")</f>
        <v>Poder Legislativo Provincial</v>
      </c>
      <c r="M302" s="20" t="str">
        <f ca="1">IFERROR(__xludf.DUMMYFUNCTION("""COMPUTED_VALUE"""),"Adhiriendo a la Ley Nacional Nº 27505, que instituye la ceremonia escolar de Promesa de Lealtad a la Constitución Nacional el primer día hábil siguiente al 1° de mayo de cada año, en ocasión del Día de la Constitución Nacional")</f>
        <v>Adhiriendo a la Ley Nacional Nº 27505, que instituye la ceremonia escolar de Promesa de Lealtad a la Constitución Nacional el primer día hábil siguiente al 1° de mayo de cada año, en ocasión del Día de la Constitución Nacional</v>
      </c>
      <c r="N302" s="20" t="str">
        <f ca="1">IFERROR(__xludf.DUMMYFUNCTION("""COMPUTED_VALUE"""),"NO")</f>
        <v>NO</v>
      </c>
      <c r="O302" s="20" t="str">
        <f ca="1">IFERROR(__xludf.DUMMYFUNCTION("""COMPUTED_VALUE"""),"NO")</f>
        <v>NO</v>
      </c>
      <c r="P302" s="20">
        <f ca="1">IFERROR(__xludf.DUMMYFUNCTION("""COMPUTED_VALUE"""),0)</f>
        <v>0</v>
      </c>
      <c r="Q302" s="113" t="str">
        <f ca="1">IFERROR(__xludf.DUMMYFUNCTION("""COMPUTED_VALUE"""),"https://gld.legislaturacba.gob.ar/_cdd/api/Documento/descargar?guid=29e9b9b7-f29e-4a3e-853b-ad60e321fb1f&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v>
      </c>
      <c r="R302" s="113" t="str">
        <f ca="1">IFERROR(__xludf.DUMMYFUNCTION("""COMPUTED_VALUE"""),"https://www.youtube.com/watch?v=dbHjvjs58R8")</f>
        <v>https://www.youtube.com/watch?v=dbHjvjs58R8</v>
      </c>
      <c r="S302" s="113" t="str">
        <f ca="1">IFERROR(__xludf.DUMMYFUNCTION("""COMPUTED_VALUE"""),"https://gld.legislaturacba.gob.ar/Publics/Actas.aspx?id=vBt2S33Fnfk=;https://gld.legislaturacba.gob.ar/Publics/Actas.aspx?id=BZI2qRsF1rc=")</f>
        <v>https://gld.legislaturacba.gob.ar/Publics/Actas.aspx?id=vBt2S33Fnfk=;https://gld.legislaturacba.gob.ar/Publics/Actas.aspx?id=BZI2qRsF1rc=</v>
      </c>
      <c r="T302" s="99">
        <f t="shared" ca="1" si="0"/>
        <v>0</v>
      </c>
    </row>
    <row r="303" spans="1:20">
      <c r="A303" s="20">
        <f ca="1">IFERROR(__xludf.DUMMYFUNCTION("""COMPUTED_VALUE"""),65)</f>
        <v>65</v>
      </c>
      <c r="B303" s="20">
        <f ca="1">IFERROR(__xludf.DUMMYFUNCTION("""COMPUTED_VALUE"""),2021)</f>
        <v>2021</v>
      </c>
      <c r="C303" s="20" t="str">
        <f ca="1">IFERROR(__xludf.DUMMYFUNCTION("""COMPUTED_VALUE"""),"VIRTUAL")</f>
        <v>VIRTUAL</v>
      </c>
      <c r="D303" s="96">
        <f ca="1">IFERROR(__xludf.DUMMYFUNCTION("""COMPUTED_VALUE"""),44300)</f>
        <v>44300</v>
      </c>
      <c r="E303" s="20" t="str">
        <f ca="1">IFERROR(__xludf.DUMMYFUNCTION("""COMPUTED_VALUE"""),"SI")</f>
        <v>SI</v>
      </c>
      <c r="F303" s="20" t="str">
        <f ca="1">IFERROR(__xludf.DUMMYFUNCTION("""COMPUTED_VALUE"""),"LEGISLACIÓN DEL TRABAJO, PREVISIÓN Y SEGURIDAD SOCIAL;LEGISLACIÓN GENERAL")</f>
        <v>LEGISLACIÓN DEL TRABAJO, PREVISIÓN Y SEGURIDAD SOCIAL;LEGISLACIÓN GENERAL</v>
      </c>
      <c r="G303" s="20">
        <f ca="1">IFERROR(__xludf.DUMMYFUNCTION("""COMPUTED_VALUE"""),2)</f>
        <v>2</v>
      </c>
      <c r="H303" s="20">
        <f ca="1">IFERROR(__xludf.DUMMYFUNCTION("""COMPUTED_VALUE"""),1)</f>
        <v>1</v>
      </c>
      <c r="I303" s="20">
        <f ca="1">IFERROR(__xludf.DUMMYFUNCTION("""COMPUTED_VALUE"""),1)</f>
        <v>1</v>
      </c>
      <c r="J303" s="20" t="str">
        <f ca="1">IFERROR(__xludf.DUMMYFUNCTION("""COMPUTED_VALUE"""),"Ley")</f>
        <v>Ley</v>
      </c>
      <c r="K303" s="20">
        <f ca="1">IFERROR(__xludf.DUMMYFUNCTION("""COMPUTED_VALUE"""),32088)</f>
        <v>32088</v>
      </c>
      <c r="L303" s="20" t="str">
        <f ca="1">IFERROR(__xludf.DUMMYFUNCTION("""COMPUTED_VALUE"""),"Poder Legislativo Provincial")</f>
        <v>Poder Legislativo Provincial</v>
      </c>
      <c r="M303" s="20" t="str">
        <f ca="1">IFERROR(__xludf.DUMMYFUNCTION("""COMPUTED_VALUE"""),"Disponiendo la publicidad de las matrículas profesionales por parte de Colegios y Consejos u otro organismo encargado del otorgamiento de matrícula profesional")</f>
        <v>Disponiendo la publicidad de las matrículas profesionales por parte de Colegios y Consejos u otro organismo encargado del otorgamiento de matrícula profesional</v>
      </c>
      <c r="N303" s="20" t="str">
        <f ca="1">IFERROR(__xludf.DUMMYFUNCTION("""COMPUTED_VALUE"""),"SI")</f>
        <v>SI</v>
      </c>
      <c r="O303" s="20" t="str">
        <f ca="1">IFERROR(__xludf.DUMMYFUNCTION("""COMPUTED_VALUE"""),"NO")</f>
        <v>NO</v>
      </c>
      <c r="P303" s="20">
        <f ca="1">IFERROR(__xludf.DUMMYFUNCTION("""COMPUTED_VALUE"""),0)</f>
        <v>0</v>
      </c>
      <c r="Q303" s="113" t="str">
        <f ca="1">IFERROR(__xludf.DUMMYFUNCTION("""COMPUTED_VALUE"""),"https://gld.legislaturacba.gob.ar/_cdd/api/Documento/descargar?guid=d54bb92e-08eb-4241-8b99-229e7f5e389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v>
      </c>
      <c r="R303" s="113" t="str">
        <f ca="1">IFERROR(__xludf.DUMMYFUNCTION("""COMPUTED_VALUE"""),"https://www.youtube.com/watch?v=mpI1aS9D_JI")</f>
        <v>https://www.youtube.com/watch?v=mpI1aS9D_JI</v>
      </c>
      <c r="S303" s="113" t="str">
        <f ca="1">IFERROR(__xludf.DUMMYFUNCTION("""COMPUTED_VALUE"""),"https://gld.legislaturacba.gob.ar/Publics/Actas.aspx?id=Q5cmBEbDN1M=;https://gld.legislaturacba.gob.ar/Publics/Actas.aspx?id=mHEHkYJZxjw=")</f>
        <v>https://gld.legislaturacba.gob.ar/Publics/Actas.aspx?id=Q5cmBEbDN1M=;https://gld.legislaturacba.gob.ar/Publics/Actas.aspx?id=mHEHkYJZxjw=</v>
      </c>
      <c r="T303" s="99">
        <f t="shared" ca="1" si="0"/>
        <v>0</v>
      </c>
    </row>
    <row r="304" spans="1:20">
      <c r="A304" s="20">
        <f ca="1">IFERROR(__xludf.DUMMYFUNCTION("""COMPUTED_VALUE"""),66)</f>
        <v>66</v>
      </c>
      <c r="B304" s="20">
        <f ca="1">IFERROR(__xludf.DUMMYFUNCTION("""COMPUTED_VALUE"""),2021)</f>
        <v>2021</v>
      </c>
      <c r="C304" s="20" t="str">
        <f ca="1">IFERROR(__xludf.DUMMYFUNCTION("""COMPUTED_VALUE"""),"VIRTUAL")</f>
        <v>VIRTUAL</v>
      </c>
      <c r="D304" s="96">
        <f ca="1">IFERROR(__xludf.DUMMYFUNCTION("""COMPUTED_VALUE"""),44301)</f>
        <v>44301</v>
      </c>
      <c r="E304" s="20" t="str">
        <f ca="1">IFERROR(__xludf.DUMMYFUNCTION("""COMPUTED_VALUE"""),"SI")</f>
        <v>SI</v>
      </c>
      <c r="F304" s="20" t="str">
        <f ca="1">IFERROR(__xludf.DUMMYFUNCTION("""COMPUTED_VALUE"""),"ASUNTOS CONSTITUCIONALES, JUSTICIA Y ACUERDOS;EDUCACIÓN, CULTURA, CIENCIA, TECNOLOGÍA E INFORMÁTICA")</f>
        <v>ASUNTOS CONSTITUCIONALES, JUSTICIA Y ACUERDOS;EDUCACIÓN, CULTURA, CIENCIA, TECNOLOGÍA E INFORMÁTICA</v>
      </c>
      <c r="G304" s="20">
        <f ca="1">IFERROR(__xludf.DUMMYFUNCTION("""COMPUTED_VALUE"""),2)</f>
        <v>2</v>
      </c>
      <c r="H304" s="20">
        <f ca="1">IFERROR(__xludf.DUMMYFUNCTION("""COMPUTED_VALUE"""),1)</f>
        <v>1</v>
      </c>
      <c r="I304" s="20">
        <f ca="1">IFERROR(__xludf.DUMMYFUNCTION("""COMPUTED_VALUE"""),1)</f>
        <v>1</v>
      </c>
      <c r="J304" s="20" t="str">
        <f ca="1">IFERROR(__xludf.DUMMYFUNCTION("""COMPUTED_VALUE"""),"Ley")</f>
        <v>Ley</v>
      </c>
      <c r="K304" s="20">
        <f ca="1">IFERROR(__xludf.DUMMYFUNCTION("""COMPUTED_VALUE"""),32324)</f>
        <v>32324</v>
      </c>
      <c r="L304" s="20" t="str">
        <f ca="1">IFERROR(__xludf.DUMMYFUNCTION("""COMPUTED_VALUE"""),"Poder Legislativo Provincial")</f>
        <v>Poder Legislativo Provincial</v>
      </c>
      <c r="M304" s="20" t="str">
        <f ca="1">IFERROR(__xludf.DUMMYFUNCTION("""COMPUTED_VALUE"""),"Adhiriendo a la Ley Nacional Nº 27505, que instituye la ceremonia escolar de Promesa de Lealtad a la Constitución Nacional el primer día hábil siguiente al 1° de mayo de cada año, en ocasión del Día de la Constitución Nacional")</f>
        <v>Adhiriendo a la Ley Nacional Nº 27505, que instituye la ceremonia escolar de Promesa de Lealtad a la Constitución Nacional el primer día hábil siguiente al 1° de mayo de cada año, en ocasión del Día de la Constitución Nacional</v>
      </c>
      <c r="N304" s="20" t="str">
        <f ca="1">IFERROR(__xludf.DUMMYFUNCTION("""COMPUTED_VALUE"""),"SI")</f>
        <v>SI</v>
      </c>
      <c r="O304" s="20" t="str">
        <f ca="1">IFERROR(__xludf.DUMMYFUNCTION("""COMPUTED_VALUE"""),"NO")</f>
        <v>NO</v>
      </c>
      <c r="P304" s="20">
        <f ca="1">IFERROR(__xludf.DUMMYFUNCTION("""COMPUTED_VALUE"""),0)</f>
        <v>0</v>
      </c>
      <c r="Q304" s="113" t="str">
        <f ca="1">IFERROR(__xludf.DUMMYFUNCTION("""COMPUTED_VALUE"""),"https://gld.legislaturacba.gob.ar/_cdd/api/Documento/descargar?guid=45d3eedb-235c-471e-94ec-001ea2196821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v>
      </c>
      <c r="R304" s="113" t="str">
        <f ca="1">IFERROR(__xludf.DUMMYFUNCTION("""COMPUTED_VALUE"""),"https://www.youtube.com/watch?v=73OvmaDJ6Lg")</f>
        <v>https://www.youtube.com/watch?v=73OvmaDJ6Lg</v>
      </c>
      <c r="S304" s="113" t="str">
        <f ca="1">IFERROR(__xludf.DUMMYFUNCTION("""COMPUTED_VALUE"""),"https://gld.legislaturacba.gob.ar/Publics/Actas.aspx?id=tO6slmj3p6M=;https://gld.legislaturacba.gob.ar/Publics/Actas.aspx?id=apkd3TpmF1o=")</f>
        <v>https://gld.legislaturacba.gob.ar/Publics/Actas.aspx?id=tO6slmj3p6M=;https://gld.legislaturacba.gob.ar/Publics/Actas.aspx?id=apkd3TpmF1o=</v>
      </c>
      <c r="T304" s="99">
        <f t="shared" ca="1" si="0"/>
        <v>0</v>
      </c>
    </row>
    <row r="305" spans="1:20">
      <c r="A305" s="20">
        <f ca="1">IFERROR(__xludf.DUMMYFUNCTION("""COMPUTED_VALUE"""),67)</f>
        <v>67</v>
      </c>
      <c r="B305" s="20">
        <f ca="1">IFERROR(__xludf.DUMMYFUNCTION("""COMPUTED_VALUE"""),2021)</f>
        <v>2021</v>
      </c>
      <c r="C305" s="20" t="str">
        <f ca="1">IFERROR(__xludf.DUMMYFUNCTION("""COMPUTED_VALUE"""),"VIRTUAL")</f>
        <v>VIRTUAL</v>
      </c>
      <c r="D305" s="96">
        <f ca="1">IFERROR(__xludf.DUMMYFUNCTION("""COMPUTED_VALUE"""),44301)</f>
        <v>44301</v>
      </c>
      <c r="E305" s="20" t="str">
        <f ca="1">IFERROR(__xludf.DUMMYFUNCTION("""COMPUTED_VALUE"""),"NO")</f>
        <v>NO</v>
      </c>
      <c r="F305" s="20" t="str">
        <f ca="1">IFERROR(__xludf.DUMMYFUNCTION("""COMPUTED_VALUE"""),"ASUNTOS CONSTITUCIONALES, JUSTICIA Y ACUERDOS")</f>
        <v>ASUNTOS CONSTITUCIONALES, JUSTICIA Y ACUERDOS</v>
      </c>
      <c r="G305" s="20">
        <f ca="1">IFERROR(__xludf.DUMMYFUNCTION("""COMPUTED_VALUE"""),1)</f>
        <v>1</v>
      </c>
      <c r="H305" s="20">
        <f ca="1">IFERROR(__xludf.DUMMYFUNCTION("""COMPUTED_VALUE"""),3)</f>
        <v>3</v>
      </c>
      <c r="I305" s="20">
        <f ca="1">IFERROR(__xludf.DUMMYFUNCTION("""COMPUTED_VALUE"""),1)</f>
        <v>1</v>
      </c>
      <c r="J305" s="20" t="str">
        <f ca="1">IFERROR(__xludf.DUMMYFUNCTION("""COMPUTED_VALUE"""),"Pliego")</f>
        <v>Pliego</v>
      </c>
      <c r="K305" s="20">
        <f ca="1">IFERROR(__xludf.DUMMYFUNCTION("""COMPUTED_VALUE"""),32449)</f>
        <v>32449</v>
      </c>
      <c r="L305" s="20" t="str">
        <f ca="1">IFERROR(__xludf.DUMMYFUNCTION("""COMPUTED_VALUE"""),"Poder Ejecutivo Provincial")</f>
        <v>Poder Ejecutivo Provincial</v>
      </c>
      <c r="M305" s="20" t="str">
        <f ca="1">IFERROR(__xludf.DUMMYFUNCTION("""COMPUTED_VALUE"""),"Solicitando acuerdo para designar a la abogada Valeria Cecilia Guiguet, Juez de Primera Instancia en lo Civil y Comercial, de Conciliación y de Familia de 2ª Nominación de la Tercera Circunscripción Judicial con asiento en la ciudad de Bell Ville")</f>
        <v>Solicitando acuerdo para designar a la abogada Valeria Cecilia Guiguet, Juez de Primera Instancia en lo Civil y Comercial, de Conciliación y de Familia de 2ª Nominación de la Tercera Circunscripción Judicial con asiento en la ciudad de Bell Ville</v>
      </c>
      <c r="N305" s="20" t="str">
        <f ca="1">IFERROR(__xludf.DUMMYFUNCTION("""COMPUTED_VALUE"""),"SI")</f>
        <v>SI</v>
      </c>
      <c r="O305" s="20" t="str">
        <f ca="1">IFERROR(__xludf.DUMMYFUNCTION("""COMPUTED_VALUE"""),"NO")</f>
        <v>NO</v>
      </c>
      <c r="P305" s="20">
        <f ca="1">IFERROR(__xludf.DUMMYFUNCTION("""COMPUTED_VALUE"""),0)</f>
        <v>0</v>
      </c>
      <c r="Q305" s="113" t="str">
        <f ca="1">IFERROR(__xludf.DUMMYFUNCTION("""COMPUTED_VALUE"""),"https://gld.legislaturacba.gob.ar/_cdd/api/Documento/descargar?guid=45d3eedb-235c-471e-94ec-001ea2196821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v>
      </c>
      <c r="R305" s="113" t="str">
        <f ca="1">IFERROR(__xludf.DUMMYFUNCTION("""COMPUTED_VALUE"""),"https://www.youtube.com/watch?v=73OvmaDJ6Lg")</f>
        <v>https://www.youtube.com/watch?v=73OvmaDJ6Lg</v>
      </c>
      <c r="S305" s="113" t="str">
        <f ca="1">IFERROR(__xludf.DUMMYFUNCTION("""COMPUTED_VALUE"""),"https://gld.legislaturacba.gob.ar/Publics/Actas.aspx?id=tO6slmj3p6M=")</f>
        <v>https://gld.legislaturacba.gob.ar/Publics/Actas.aspx?id=tO6slmj3p6M=</v>
      </c>
      <c r="T305" s="99">
        <f t="shared" ca="1" si="0"/>
        <v>0</v>
      </c>
    </row>
    <row r="306" spans="1:20">
      <c r="A306" s="20">
        <f ca="1">IFERROR(__xludf.DUMMYFUNCTION("""COMPUTED_VALUE"""),68)</f>
        <v>68</v>
      </c>
      <c r="B306" s="20">
        <f ca="1">IFERROR(__xludf.DUMMYFUNCTION("""COMPUTED_VALUE"""),2021)</f>
        <v>2021</v>
      </c>
      <c r="C306" s="20" t="str">
        <f ca="1">IFERROR(__xludf.DUMMYFUNCTION("""COMPUTED_VALUE"""),"VIRTUAL")</f>
        <v>VIRTUAL</v>
      </c>
      <c r="D306" s="96">
        <f ca="1">IFERROR(__xludf.DUMMYFUNCTION("""COMPUTED_VALUE"""),44301)</f>
        <v>44301</v>
      </c>
      <c r="E306" s="20" t="str">
        <f ca="1">IFERROR(__xludf.DUMMYFUNCTION("""COMPUTED_VALUE"""),"NO")</f>
        <v>NO</v>
      </c>
      <c r="F306" s="20" t="str">
        <f ca="1">IFERROR(__xludf.DUMMYFUNCTION("""COMPUTED_VALUE"""),"ASUNTOS INSTITUCIONALES, MUNICIPALES Y COMUNALES")</f>
        <v>ASUNTOS INSTITUCIONALES, MUNICIPALES Y COMUNALES</v>
      </c>
      <c r="G306" s="20">
        <f ca="1">IFERROR(__xludf.DUMMYFUNCTION("""COMPUTED_VALUE"""),1)</f>
        <v>1</v>
      </c>
      <c r="H306" s="20">
        <f ca="1">IFERROR(__xludf.DUMMYFUNCTION("""COMPUTED_VALUE"""),1)</f>
        <v>1</v>
      </c>
      <c r="I306" s="20">
        <f ca="1">IFERROR(__xludf.DUMMYFUNCTION("""COMPUTED_VALUE"""),1)</f>
        <v>1</v>
      </c>
      <c r="J306" s="20" t="str">
        <f ca="1">IFERROR(__xludf.DUMMYFUNCTION("""COMPUTED_VALUE"""),"NA")</f>
        <v>NA</v>
      </c>
      <c r="K306" s="20" t="str">
        <f ca="1">IFERROR(__xludf.DUMMYFUNCTION("""COMPUTED_VALUE"""),"NA")</f>
        <v>NA</v>
      </c>
      <c r="L306" s="20" t="str">
        <f ca="1">IFERROR(__xludf.DUMMYFUNCTION("""COMPUTED_VALUE"""),"NA")</f>
        <v>NA</v>
      </c>
      <c r="M306" s="20" t="str">
        <f ca="1">IFERROR(__xludf.DUMMYFUNCTION("""COMPUTED_VALUE"""),"Smart Cities y modelos PAYT (Pagar solo por lo que se desecha): Experiencias comparadas y prospectivas")</f>
        <v>Smart Cities y modelos PAYT (Pagar solo por lo que se desecha): Experiencias comparadas y prospectivas</v>
      </c>
      <c r="N306" s="20" t="str">
        <f ca="1">IFERROR(__xludf.DUMMYFUNCTION("""COMPUTED_VALUE"""),"NA")</f>
        <v>NA</v>
      </c>
      <c r="O306" s="20" t="str">
        <f ca="1">IFERROR(__xludf.DUMMYFUNCTION("""COMPUTED_VALUE"""),"SI")</f>
        <v>SI</v>
      </c>
      <c r="P306" s="20">
        <f ca="1">IFERROR(__xludf.DUMMYFUNCTION("""COMPUTED_VALUE"""),1)</f>
        <v>1</v>
      </c>
      <c r="Q306" s="113" t="str">
        <f ca="1">IFERROR(__xludf.DUMMYFUNCTION("""COMPUTED_VALUE"""),"https://gld.legislaturacba.gob.ar/_cdd/api/Documento/descargar?guid=5dc79467-07b2-4985-8c11-2fce421b2813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v>
      </c>
      <c r="R306" s="113" t="str">
        <f ca="1">IFERROR(__xludf.DUMMYFUNCTION("""COMPUTED_VALUE"""),"https://www.youtube.com/watch?v=iadx4ufSMS4&amp;t")</f>
        <v>https://www.youtube.com/watch?v=iadx4ufSMS4&amp;t</v>
      </c>
      <c r="S306" s="113" t="str">
        <f ca="1">IFERROR(__xludf.DUMMYFUNCTION("""COMPUTED_VALUE"""),"https://gld.legislaturacba.gob.ar/Publics/Actas.aspx?id=p0zdKjfrf64=")</f>
        <v>https://gld.legislaturacba.gob.ar/Publics/Actas.aspx?id=p0zdKjfrf64=</v>
      </c>
      <c r="T306" s="99">
        <f t="shared" ca="1" si="0"/>
        <v>0</v>
      </c>
    </row>
    <row r="307" spans="1:20">
      <c r="A307" s="20">
        <f ca="1">IFERROR(__xludf.DUMMYFUNCTION("""COMPUTED_VALUE"""),69)</f>
        <v>69</v>
      </c>
      <c r="B307" s="20">
        <f ca="1">IFERROR(__xludf.DUMMYFUNCTION("""COMPUTED_VALUE"""),2021)</f>
        <v>2021</v>
      </c>
      <c r="C307" s="20" t="str">
        <f ca="1">IFERROR(__xludf.DUMMYFUNCTION("""COMPUTED_VALUE"""),"VIRTUAL")</f>
        <v>VIRTUAL</v>
      </c>
      <c r="D307" s="96">
        <f ca="1">IFERROR(__xludf.DUMMYFUNCTION("""COMPUTED_VALUE"""),44301)</f>
        <v>44301</v>
      </c>
      <c r="E307" s="20" t="str">
        <f ca="1">IFERROR(__xludf.DUMMYFUNCTION("""COMPUTED_VALUE"""),"NO")</f>
        <v>NO</v>
      </c>
      <c r="F307" s="20" t="str">
        <f ca="1">IFERROR(__xludf.DUMMYFUNCTION("""COMPUTED_VALUE"""),"TURISMO Y SU RELACIÓN CON EL DESARROLLO REGIONAL")</f>
        <v>TURISMO Y SU RELACIÓN CON EL DESARROLLO REGIONAL</v>
      </c>
      <c r="G307" s="20">
        <f ca="1">IFERROR(__xludf.DUMMYFUNCTION("""COMPUTED_VALUE"""),1)</f>
        <v>1</v>
      </c>
      <c r="H307" s="20">
        <f ca="1">IFERROR(__xludf.DUMMYFUNCTION("""COMPUTED_VALUE"""),1)</f>
        <v>1</v>
      </c>
      <c r="I307" s="20">
        <f ca="1">IFERROR(__xludf.DUMMYFUNCTION("""COMPUTED_VALUE"""),1)</f>
        <v>1</v>
      </c>
      <c r="J307" s="20" t="str">
        <f ca="1">IFERROR(__xludf.DUMMYFUNCTION("""COMPUTED_VALUE"""),"Ley")</f>
        <v>Ley</v>
      </c>
      <c r="K307" s="20">
        <f ca="1">IFERROR(__xludf.DUMMYFUNCTION("""COMPUTED_VALUE"""),32460)</f>
        <v>32460</v>
      </c>
      <c r="L307" s="20" t="str">
        <f ca="1">IFERROR(__xludf.DUMMYFUNCTION("""COMPUTED_VALUE"""),"Poder Legislativo Provincial")</f>
        <v>Poder Legislativo Provincial</v>
      </c>
      <c r="M307"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307" s="20" t="str">
        <f ca="1">IFERROR(__xludf.DUMMYFUNCTION("""COMPUTED_VALUE"""),"NO")</f>
        <v>NO</v>
      </c>
      <c r="O307" s="20" t="str">
        <f ca="1">IFERROR(__xludf.DUMMYFUNCTION("""COMPUTED_VALUE"""),"NO")</f>
        <v>NO</v>
      </c>
      <c r="P307" s="20">
        <f ca="1">IFERROR(__xludf.DUMMYFUNCTION("""COMPUTED_VALUE"""),0)</f>
        <v>0</v>
      </c>
      <c r="Q307" s="113" t="str">
        <f ca="1">IFERROR(__xludf.DUMMYFUNCTION("""COMPUTED_VALUE"""),"https://gld.legislaturacba.gob.ar/_cdd/api/Documento/descargar?guid=1ac6d023-78dd-4e1b-9eac-f3320f21b29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v>
      </c>
      <c r="R307" s="113" t="str">
        <f ca="1">IFERROR(__xludf.DUMMYFUNCTION("""COMPUTED_VALUE"""),"https://www.youtube.com/watch?v=yBMd4w38a_U")</f>
        <v>https://www.youtube.com/watch?v=yBMd4w38a_U</v>
      </c>
      <c r="S307" s="113" t="str">
        <f ca="1">IFERROR(__xludf.DUMMYFUNCTION("""COMPUTED_VALUE"""),"https://gld.legislaturacba.gob.ar/Publics/Actas.aspx?id=3OuNdRRtCmA=")</f>
        <v>https://gld.legislaturacba.gob.ar/Publics/Actas.aspx?id=3OuNdRRtCmA=</v>
      </c>
      <c r="T307" s="99">
        <f t="shared" ca="1" si="0"/>
        <v>0</v>
      </c>
    </row>
    <row r="308" spans="1:20">
      <c r="A308" s="20">
        <f ca="1">IFERROR(__xludf.DUMMYFUNCTION("""COMPUTED_VALUE"""),70)</f>
        <v>70</v>
      </c>
      <c r="B308" s="20">
        <f ca="1">IFERROR(__xludf.DUMMYFUNCTION("""COMPUTED_VALUE"""),2021)</f>
        <v>2021</v>
      </c>
      <c r="C308" s="20" t="str">
        <f ca="1">IFERROR(__xludf.DUMMYFUNCTION("""COMPUTED_VALUE"""),"VIRTUAL")</f>
        <v>VIRTUAL</v>
      </c>
      <c r="D308" s="96">
        <f ca="1">IFERROR(__xludf.DUMMYFUNCTION("""COMPUTED_VALUE"""),44301)</f>
        <v>44301</v>
      </c>
      <c r="E308" s="20" t="str">
        <f ca="1">IFERROR(__xludf.DUMMYFUNCTION("""COMPUTED_VALUE"""),"SI")</f>
        <v>SI</v>
      </c>
      <c r="F308" s="20" t="str">
        <f ca="1">IFERROR(__xludf.DUMMYFUNCTION("""COMPUTED_VALUE"""),"OBRAS PÚBLICAS, VIVIENDA Y COMUNICACIONES;SALUD HUMANA;SERVICIOS PÚBLICOS")</f>
        <v>OBRAS PÚBLICAS, VIVIENDA Y COMUNICACIONES;SALUD HUMANA;SERVICIOS PÚBLICOS</v>
      </c>
      <c r="G308" s="20">
        <f ca="1">IFERROR(__xludf.DUMMYFUNCTION("""COMPUTED_VALUE"""),3)</f>
        <v>3</v>
      </c>
      <c r="H308" s="20">
        <f ca="1">IFERROR(__xludf.DUMMYFUNCTION("""COMPUTED_VALUE"""),1)</f>
        <v>1</v>
      </c>
      <c r="I308" s="20">
        <f ca="1">IFERROR(__xludf.DUMMYFUNCTION("""COMPUTED_VALUE"""),1)</f>
        <v>1</v>
      </c>
      <c r="J308" s="20" t="str">
        <f ca="1">IFERROR(__xludf.DUMMYFUNCTION("""COMPUTED_VALUE"""),"Ley")</f>
        <v>Ley</v>
      </c>
      <c r="K308" s="20">
        <f ca="1">IFERROR(__xludf.DUMMYFUNCTION("""COMPUTED_VALUE"""),15563)</f>
        <v>15563</v>
      </c>
      <c r="L308" s="20" t="str">
        <f ca="1">IFERROR(__xludf.DUMMYFUNCTION("""COMPUTED_VALUE"""),"Poder Legislativo Provincial")</f>
        <v>Poder Legislativo Provincial</v>
      </c>
      <c r="M308" s="20" t="str">
        <f ca="1">IFERROR(__xludf.DUMMYFUNCTION("""COMPUTED_VALUE"""),"Instrumentando la ""Campaña Provincial de prevención contra la intoxicación por monóxido de carbono"", con el objeto de difundir la problemática")</f>
        <v>Instrumentando la "Campaña Provincial de prevención contra la intoxicación por monóxido de carbono", con el objeto de difundir la problemática</v>
      </c>
      <c r="N308" s="20" t="str">
        <f ca="1">IFERROR(__xludf.DUMMYFUNCTION("""COMPUTED_VALUE"""),"NO")</f>
        <v>NO</v>
      </c>
      <c r="O308" s="20" t="str">
        <f ca="1">IFERROR(__xludf.DUMMYFUNCTION("""COMPUTED_VALUE"""),"SI")</f>
        <v>SI</v>
      </c>
      <c r="P308" s="20">
        <f ca="1">IFERROR(__xludf.DUMMYFUNCTION("""COMPUTED_VALUE"""),2)</f>
        <v>2</v>
      </c>
      <c r="Q308" s="113" t="str">
        <f ca="1">IFERROR(__xludf.DUMMYFUNCTION("""COMPUTED_VALUE"""),"https://gld.legislaturacba.gob.ar/_cdd/api/Documento/descargar?guid=3ce12a0e-2e3c-4b09-afc0-54d0629dc436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v>
      </c>
      <c r="R308" s="113" t="str">
        <f ca="1">IFERROR(__xludf.DUMMYFUNCTION("""COMPUTED_VALUE"""),"https://www.youtube.com/watch?v=Aj5vClEyzQA")</f>
        <v>https://www.youtube.com/watch?v=Aj5vClEyzQA</v>
      </c>
      <c r="S308" s="113" t="str">
        <f ca="1">IFERROR(__xludf.DUMMYFUNCTION("""COMPUTED_VALUE"""),"https://gld.legislaturacba.gob.ar/Publics/Actas.aspx?id=EjevQj4ywKE=;https://gld.legislaturacba.gob.ar/Publics/Actas.aspx?id=J2pieaVdwgA=;https://gld.legislaturacba.gob.ar/Publics/Actas.aspx?id=rIsjyuCQXOY=")</f>
        <v>https://gld.legislaturacba.gob.ar/Publics/Actas.aspx?id=EjevQj4ywKE=;https://gld.legislaturacba.gob.ar/Publics/Actas.aspx?id=J2pieaVdwgA=;https://gld.legislaturacba.gob.ar/Publics/Actas.aspx?id=rIsjyuCQXOY=</v>
      </c>
      <c r="T308" s="99">
        <f t="shared" ca="1" si="0"/>
        <v>0</v>
      </c>
    </row>
    <row r="309" spans="1:20">
      <c r="A309" s="20">
        <f ca="1">IFERROR(__xludf.DUMMYFUNCTION("""COMPUTED_VALUE"""),71)</f>
        <v>71</v>
      </c>
      <c r="B309" s="20">
        <f ca="1">IFERROR(__xludf.DUMMYFUNCTION("""COMPUTED_VALUE"""),2021)</f>
        <v>2021</v>
      </c>
      <c r="C309" s="20" t="str">
        <f ca="1">IFERROR(__xludf.DUMMYFUNCTION("""COMPUTED_VALUE"""),"VIRTUAL")</f>
        <v>VIRTUAL</v>
      </c>
      <c r="D309" s="96">
        <f ca="1">IFERROR(__xludf.DUMMYFUNCTION("""COMPUTED_VALUE"""),44306)</f>
        <v>44306</v>
      </c>
      <c r="E309" s="20" t="str">
        <f ca="1">IFERROR(__xludf.DUMMYFUNCTION("""COMPUTED_VALUE"""),"NO")</f>
        <v>NO</v>
      </c>
      <c r="F309" s="20" t="str">
        <f ca="1">IFERROR(__xludf.DUMMYFUNCTION("""COMPUTED_VALUE"""),"ASUNTOS CONSTITUCIONALES, JUSTICIA Y ACUERDOS")</f>
        <v>ASUNTOS CONSTITUCIONALES, JUSTICIA Y ACUERDOS</v>
      </c>
      <c r="G309" s="20">
        <f ca="1">IFERROR(__xludf.DUMMYFUNCTION("""COMPUTED_VALUE"""),1)</f>
        <v>1</v>
      </c>
      <c r="H309" s="20">
        <f ca="1">IFERROR(__xludf.DUMMYFUNCTION("""COMPUTED_VALUE"""),3)</f>
        <v>3</v>
      </c>
      <c r="I309" s="20">
        <f ca="1">IFERROR(__xludf.DUMMYFUNCTION("""COMPUTED_VALUE"""),1)</f>
        <v>1</v>
      </c>
      <c r="J309" s="20" t="str">
        <f ca="1">IFERROR(__xludf.DUMMYFUNCTION("""COMPUTED_VALUE"""),"Pliego")</f>
        <v>Pliego</v>
      </c>
      <c r="K309" s="20">
        <f ca="1">IFERROR(__xludf.DUMMYFUNCTION("""COMPUTED_VALUE"""),32503)</f>
        <v>32503</v>
      </c>
      <c r="L309" s="20" t="str">
        <f ca="1">IFERROR(__xludf.DUMMYFUNCTION("""COMPUTED_VALUE"""),"Poder Ejecutivo Provincial")</f>
        <v>Poder Ejecutivo Provincial</v>
      </c>
      <c r="M309" s="20" t="str">
        <f ca="1">IFERROR(__xludf.DUMMYFUNCTION("""COMPUTED_VALUE"""),"Solicitando acuerdo para designar al abogado Gerardo Sebastián Romero, Vocal de Cámara en lo Criminal y Correccional en la Cámara en lo Criminal y Correccional de 2ª Nominación de la Primera Circunscripción Judicial con asiento en la ciudad de Córdoba")</f>
        <v>Solicitando acuerdo para designar al abogado Gerardo Sebastián Romero, Vocal de Cámara en lo Criminal y Correccional en la Cámara en lo Criminal y Correccional de 2ª Nominación de la Primera Circunscripción Judicial con asiento en la ciudad de Córdoba</v>
      </c>
      <c r="N309" s="20" t="str">
        <f ca="1">IFERROR(__xludf.DUMMYFUNCTION("""COMPUTED_VALUE"""),"SI")</f>
        <v>SI</v>
      </c>
      <c r="O309" s="20" t="str">
        <f ca="1">IFERROR(__xludf.DUMMYFUNCTION("""COMPUTED_VALUE"""),"NO")</f>
        <v>NO</v>
      </c>
      <c r="P309" s="20">
        <f ca="1">IFERROR(__xludf.DUMMYFUNCTION("""COMPUTED_VALUE"""),0)</f>
        <v>0</v>
      </c>
      <c r="Q309" s="113" t="str">
        <f ca="1">IFERROR(__xludf.DUMMYFUNCTION("""COMPUTED_VALUE"""),"https://gld.legislaturacba.gob.ar/_cdd/api/Documento/descargar?guid=3f81bfbb-9540-4965-a239-0eebb5250ef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v>
      </c>
      <c r="R309" s="113" t="str">
        <f ca="1">IFERROR(__xludf.DUMMYFUNCTION("""COMPUTED_VALUE"""),"https://www.youtube.com/watch?v=Bw5WP_9-BLo")</f>
        <v>https://www.youtube.com/watch?v=Bw5WP_9-BLo</v>
      </c>
      <c r="S309" s="113" t="str">
        <f ca="1">IFERROR(__xludf.DUMMYFUNCTION("""COMPUTED_VALUE"""),"https://gld.legislaturacba.gob.ar/Publics/Actas.aspx?id=CDbr19bMfgo=")</f>
        <v>https://gld.legislaturacba.gob.ar/Publics/Actas.aspx?id=CDbr19bMfgo=</v>
      </c>
      <c r="T309" s="99">
        <f t="shared" ca="1" si="0"/>
        <v>0</v>
      </c>
    </row>
    <row r="310" spans="1:20">
      <c r="A310" s="20">
        <f ca="1">IFERROR(__xludf.DUMMYFUNCTION("""COMPUTED_VALUE"""),72)</f>
        <v>72</v>
      </c>
      <c r="B310" s="20">
        <f ca="1">IFERROR(__xludf.DUMMYFUNCTION("""COMPUTED_VALUE"""),2021)</f>
        <v>2021</v>
      </c>
      <c r="C310" s="20" t="str">
        <f ca="1">IFERROR(__xludf.DUMMYFUNCTION("""COMPUTED_VALUE"""),"VIRTUAL")</f>
        <v>VIRTUAL</v>
      </c>
      <c r="D310" s="96">
        <f ca="1">IFERROR(__xludf.DUMMYFUNCTION("""COMPUTED_VALUE"""),44306)</f>
        <v>44306</v>
      </c>
      <c r="E310" s="20" t="str">
        <f ca="1">IFERROR(__xludf.DUMMYFUNCTION("""COMPUTED_VALUE"""),"NO")</f>
        <v>NO</v>
      </c>
      <c r="F310" s="20" t="str">
        <f ca="1">IFERROR(__xludf.DUMMYFUNCTION("""COMPUTED_VALUE"""),"SERVICIOS PÚBLICOS")</f>
        <v>SERVICIOS PÚBLICOS</v>
      </c>
      <c r="G310" s="20">
        <f ca="1">IFERROR(__xludf.DUMMYFUNCTION("""COMPUTED_VALUE"""),1)</f>
        <v>1</v>
      </c>
      <c r="H310" s="20">
        <f ca="1">IFERROR(__xludf.DUMMYFUNCTION("""COMPUTED_VALUE"""),2)</f>
        <v>2</v>
      </c>
      <c r="I310" s="20">
        <f ca="1">IFERROR(__xludf.DUMMYFUNCTION("""COMPUTED_VALUE"""),1)</f>
        <v>1</v>
      </c>
      <c r="J310" s="20" t="str">
        <f ca="1">IFERROR(__xludf.DUMMYFUNCTION("""COMPUTED_VALUE"""),"Resolución")</f>
        <v>Resolución</v>
      </c>
      <c r="K310" s="20">
        <f ca="1">IFERROR(__xludf.DUMMYFUNCTION("""COMPUTED_VALUE"""),30285)</f>
        <v>30285</v>
      </c>
      <c r="L310" s="20" t="str">
        <f ca="1">IFERROR(__xludf.DUMMYFUNCTION("""COMPUTED_VALUE"""),"Poder Legislativo Provincial")</f>
        <v>Poder Legislativo Provincial</v>
      </c>
      <c r="M310" s="20" t="str">
        <f ca="1">IFERROR(__xludf.DUMMYFUNCTION("""COMPUTED_VALUE"""),"Solicitando informe acerca de la calidad del servicio de provisión de agua potable en la localidad de Santa María de Punilla")</f>
        <v>Solicitando informe acerca de la calidad del servicio de provisión de agua potable en la localidad de Santa María de Punilla</v>
      </c>
      <c r="N310" s="20" t="str">
        <f ca="1">IFERROR(__xludf.DUMMYFUNCTION("""COMPUTED_VALUE"""),"NO")</f>
        <v>NO</v>
      </c>
      <c r="O310" s="20" t="str">
        <f ca="1">IFERROR(__xludf.DUMMYFUNCTION("""COMPUTED_VALUE"""),"SI")</f>
        <v>SI</v>
      </c>
      <c r="P310" s="20">
        <f ca="1">IFERROR(__xludf.DUMMYFUNCTION("""COMPUTED_VALUE"""),3)</f>
        <v>3</v>
      </c>
      <c r="Q310" s="113" t="str">
        <f ca="1">IFERROR(__xludf.DUMMYFUNCTION("""COMPUTED_VALUE"""),"https://gld.legislaturacba.gob.ar/_cdd/api/Documento/descargar?guid=bbadd898-834f-43c8-a4a4-60e55990c23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v>
      </c>
      <c r="R310" s="113" t="str">
        <f ca="1">IFERROR(__xludf.DUMMYFUNCTION("""COMPUTED_VALUE"""),"https://www.youtube.com/watch?v=7SfWPom3klM")</f>
        <v>https://www.youtube.com/watch?v=7SfWPom3klM</v>
      </c>
      <c r="S310" s="113" t="str">
        <f ca="1">IFERROR(__xludf.DUMMYFUNCTION("""COMPUTED_VALUE"""),"https://gld.legislaturacba.gob.ar/Publics/Actas.aspx?id=aGtPWDuZtPc=")</f>
        <v>https://gld.legislaturacba.gob.ar/Publics/Actas.aspx?id=aGtPWDuZtPc=</v>
      </c>
      <c r="T310" s="99">
        <f t="shared" ca="1" si="0"/>
        <v>0</v>
      </c>
    </row>
    <row r="311" spans="1:20">
      <c r="A311" s="20">
        <f ca="1">IFERROR(__xludf.DUMMYFUNCTION("""COMPUTED_VALUE"""),73)</f>
        <v>73</v>
      </c>
      <c r="B311" s="20">
        <f ca="1">IFERROR(__xludf.DUMMYFUNCTION("""COMPUTED_VALUE"""),2021)</f>
        <v>2021</v>
      </c>
      <c r="C311" s="20" t="str">
        <f ca="1">IFERROR(__xludf.DUMMYFUNCTION("""COMPUTED_VALUE"""),"VIRTUAL")</f>
        <v>VIRTUAL</v>
      </c>
      <c r="D311" s="96">
        <f ca="1">IFERROR(__xludf.DUMMYFUNCTION("""COMPUTED_VALUE"""),44306)</f>
        <v>44306</v>
      </c>
      <c r="E311" s="20" t="str">
        <f ca="1">IFERROR(__xludf.DUMMYFUNCTION("""COMPUTED_VALUE"""),"NO")</f>
        <v>NO</v>
      </c>
      <c r="F311" s="20" t="str">
        <f ca="1">IFERROR(__xludf.DUMMYFUNCTION("""COMPUTED_VALUE"""),"EDUCACIÓN, CULTURA, CIENCIA, TECNOLOGÍA E INFORMÁTICA")</f>
        <v>EDUCACIÓN, CULTURA, CIENCIA, TECNOLOGÍA E INFORMÁTICA</v>
      </c>
      <c r="G311" s="20">
        <f ca="1">IFERROR(__xludf.DUMMYFUNCTION("""COMPUTED_VALUE"""),1)</f>
        <v>1</v>
      </c>
      <c r="H311" s="20">
        <f ca="1">IFERROR(__xludf.DUMMYFUNCTION("""COMPUTED_VALUE"""),1)</f>
        <v>1</v>
      </c>
      <c r="I311" s="20">
        <f ca="1">IFERROR(__xludf.DUMMYFUNCTION("""COMPUTED_VALUE"""),1)</f>
        <v>1</v>
      </c>
      <c r="J311" s="20" t="str">
        <f ca="1">IFERROR(__xludf.DUMMYFUNCTION("""COMPUTED_VALUE"""),"NA")</f>
        <v>NA</v>
      </c>
      <c r="K311" s="20" t="str">
        <f ca="1">IFERROR(__xludf.DUMMYFUNCTION("""COMPUTED_VALUE"""),"NA")</f>
        <v>NA</v>
      </c>
      <c r="L311" s="20" t="str">
        <f ca="1">IFERROR(__xludf.DUMMYFUNCTION("""COMPUTED_VALUE"""),"NA")</f>
        <v>NA</v>
      </c>
      <c r="M311" s="20" t="str">
        <f ca="1">IFERROR(__xludf.DUMMYFUNCTION("""COMPUTED_VALUE"""),"Situación del sector de cantineros escolares en el marco de la pandemia COVID-19")</f>
        <v>Situación del sector de cantineros escolares en el marco de la pandemia COVID-19</v>
      </c>
      <c r="N311" s="20" t="str">
        <f ca="1">IFERROR(__xludf.DUMMYFUNCTION("""COMPUTED_VALUE"""),"NA")</f>
        <v>NA</v>
      </c>
      <c r="O311" s="20" t="str">
        <f ca="1">IFERROR(__xludf.DUMMYFUNCTION("""COMPUTED_VALUE"""),"SI")</f>
        <v>SI</v>
      </c>
      <c r="P311" s="20">
        <f ca="1">IFERROR(__xludf.DUMMYFUNCTION("""COMPUTED_VALUE"""),4)</f>
        <v>4</v>
      </c>
      <c r="Q311" s="113" t="str">
        <f ca="1">IFERROR(__xludf.DUMMYFUNCTION("""COMPUTED_VALUE"""),"https://gld.legislaturacba.gob.ar/_cdd/api/Documento/descargar?guid=7552df39-ae2e-4978-9b33-72b34b192aa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v>
      </c>
      <c r="R311" s="113" t="str">
        <f ca="1">IFERROR(__xludf.DUMMYFUNCTION("""COMPUTED_VALUE"""),"https://www.youtube.com/watch?v=8hyanCgu1A0")</f>
        <v>https://www.youtube.com/watch?v=8hyanCgu1A0</v>
      </c>
      <c r="S311" s="113" t="str">
        <f ca="1">IFERROR(__xludf.DUMMYFUNCTION("""COMPUTED_VALUE"""),"https://gld.legislaturacba.gob.ar/Publics/Actas.aspx?id=ZNRAiPnfqp8=")</f>
        <v>https://gld.legislaturacba.gob.ar/Publics/Actas.aspx?id=ZNRAiPnfqp8=</v>
      </c>
      <c r="T311" s="99">
        <f t="shared" ca="1" si="0"/>
        <v>0</v>
      </c>
    </row>
    <row r="312" spans="1:20">
      <c r="A312" s="20">
        <f ca="1">IFERROR(__xludf.DUMMYFUNCTION("""COMPUTED_VALUE"""),74)</f>
        <v>74</v>
      </c>
      <c r="B312" s="20">
        <f ca="1">IFERROR(__xludf.DUMMYFUNCTION("""COMPUTED_VALUE"""),2021)</f>
        <v>2021</v>
      </c>
      <c r="C312" s="20" t="str">
        <f ca="1">IFERROR(__xludf.DUMMYFUNCTION("""COMPUTED_VALUE"""),"VIRTUAL")</f>
        <v>VIRTUAL</v>
      </c>
      <c r="D312" s="96">
        <f ca="1">IFERROR(__xludf.DUMMYFUNCTION("""COMPUTED_VALUE"""),44307)</f>
        <v>44307</v>
      </c>
      <c r="E312" s="20" t="str">
        <f ca="1">IFERROR(__xludf.DUMMYFUNCTION("""COMPUTED_VALUE"""),"SI")</f>
        <v>SI</v>
      </c>
      <c r="F312" s="20" t="str">
        <f ca="1">IFERROR(__xludf.DUMMYFUNCTION("""COMPUTED_VALUE"""),"LEGISLACIÓN GENERAL;PREVENCIÓN, TRATAMIENTO Y CONTROL DE LAS ADICCIONES;SALUD HUMANA")</f>
        <v>LEGISLACIÓN GENERAL;PREVENCIÓN, TRATAMIENTO Y CONTROL DE LAS ADICCIONES;SALUD HUMANA</v>
      </c>
      <c r="G312" s="20">
        <f ca="1">IFERROR(__xludf.DUMMYFUNCTION("""COMPUTED_VALUE"""),3)</f>
        <v>3</v>
      </c>
      <c r="H312" s="20">
        <f ca="1">IFERROR(__xludf.DUMMYFUNCTION("""COMPUTED_VALUE"""),3)</f>
        <v>3</v>
      </c>
      <c r="I312" s="20">
        <f ca="1">IFERROR(__xludf.DUMMYFUNCTION("""COMPUTED_VALUE"""),1)</f>
        <v>1</v>
      </c>
      <c r="J312" s="20" t="str">
        <f ca="1">IFERROR(__xludf.DUMMYFUNCTION("""COMPUTED_VALUE"""),"Ley")</f>
        <v>Ley</v>
      </c>
      <c r="K312" s="20">
        <f ca="1">IFERROR(__xludf.DUMMYFUNCTION("""COMPUTED_VALUE"""),32398)</f>
        <v>32398</v>
      </c>
      <c r="L312" s="20" t="str">
        <f ca="1">IFERROR(__xludf.DUMMYFUNCTION("""COMPUTED_VALUE"""),"Poder Ejecutivo Provincial")</f>
        <v>Poder Ejecutivo Provincial</v>
      </c>
      <c r="M312"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12" s="20" t="str">
        <f ca="1">IFERROR(__xludf.DUMMYFUNCTION("""COMPUTED_VALUE"""),"NO")</f>
        <v>NO</v>
      </c>
      <c r="O312" s="20" t="str">
        <f ca="1">IFERROR(__xludf.DUMMYFUNCTION("""COMPUTED_VALUE"""),"SI")</f>
        <v>SI</v>
      </c>
      <c r="P312" s="20">
        <f ca="1">IFERROR(__xludf.DUMMYFUNCTION("""COMPUTED_VALUE"""),2)</f>
        <v>2</v>
      </c>
      <c r="Q312" s="113" t="str">
        <f ca="1">IFERROR(__xludf.DUMMYFUNCTION("""COMPUTED_VALUE"""),"https://gld.legislaturacba.gob.ar/_cdd/api/Documento/descargar?guid=6efc184c-19ac-4c1b-adef-e567ec902933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v>
      </c>
      <c r="R312" s="113" t="str">
        <f ca="1">IFERROR(__xludf.DUMMYFUNCTION("""COMPUTED_VALUE"""),"https://www.youtube.com/watch?v=4kMZngFeGVw")</f>
        <v>https://www.youtube.com/watch?v=4kMZngFeGVw</v>
      </c>
      <c r="S312" s="113" t="str">
        <f ca="1">IFERROR(__xludf.DUMMYFUNCTION("""COMPUTED_VALUE"""),"https://gld.legislaturacba.gob.ar/Publics/Actas.aspx?id=IyedTUE4Yno=;https://gld.legislaturacba.gob.ar/Publics/Actas.aspx?id=IwLE68Bogg0=;https://gld.legislaturacba.gob.ar/Publics/Actas.aspx?id=EJ-Lzph5u0c=")</f>
        <v>https://gld.legislaturacba.gob.ar/Publics/Actas.aspx?id=IyedTUE4Yno=;https://gld.legislaturacba.gob.ar/Publics/Actas.aspx?id=IwLE68Bogg0=;https://gld.legislaturacba.gob.ar/Publics/Actas.aspx?id=EJ-Lzph5u0c=</v>
      </c>
      <c r="T312" s="99">
        <f t="shared" ca="1" si="0"/>
        <v>0</v>
      </c>
    </row>
    <row r="313" spans="1:20">
      <c r="A313" s="20">
        <f ca="1">IFERROR(__xludf.DUMMYFUNCTION("""COMPUTED_VALUE"""),75)</f>
        <v>75</v>
      </c>
      <c r="B313" s="20">
        <f ca="1">IFERROR(__xludf.DUMMYFUNCTION("""COMPUTED_VALUE"""),2021)</f>
        <v>2021</v>
      </c>
      <c r="C313" s="20" t="str">
        <f ca="1">IFERROR(__xludf.DUMMYFUNCTION("""COMPUTED_VALUE"""),"VIRTUAL")</f>
        <v>VIRTUAL</v>
      </c>
      <c r="D313" s="96">
        <f ca="1">IFERROR(__xludf.DUMMYFUNCTION("""COMPUTED_VALUE"""),44308)</f>
        <v>44308</v>
      </c>
      <c r="E313" s="20" t="str">
        <f ca="1">IFERROR(__xludf.DUMMYFUNCTION("""COMPUTED_VALUE"""),"SI")</f>
        <v>SI</v>
      </c>
      <c r="F313" s="20" t="str">
        <f ca="1">IFERROR(__xludf.DUMMYFUNCTION("""COMPUTED_VALUE"""),"OBRAS PÚBLICAS, VIVIENDA Y COMUNICACIONES;SALUD HUMANA;SERVICIOS PÚBLICOS")</f>
        <v>OBRAS PÚBLICAS, VIVIENDA Y COMUNICACIONES;SALUD HUMANA;SERVICIOS PÚBLICOS</v>
      </c>
      <c r="G313" s="20">
        <f ca="1">IFERROR(__xludf.DUMMYFUNCTION("""COMPUTED_VALUE"""),3)</f>
        <v>3</v>
      </c>
      <c r="H313" s="20">
        <f ca="1">IFERROR(__xludf.DUMMYFUNCTION("""COMPUTED_VALUE"""),1)</f>
        <v>1</v>
      </c>
      <c r="I313" s="20">
        <f ca="1">IFERROR(__xludf.DUMMYFUNCTION("""COMPUTED_VALUE"""),1)</f>
        <v>1</v>
      </c>
      <c r="J313" s="20" t="str">
        <f ca="1">IFERROR(__xludf.DUMMYFUNCTION("""COMPUTED_VALUE"""),"Ley")</f>
        <v>Ley</v>
      </c>
      <c r="K313" s="20">
        <f ca="1">IFERROR(__xludf.DUMMYFUNCTION("""COMPUTED_VALUE"""),15563)</f>
        <v>15563</v>
      </c>
      <c r="L313" s="20" t="str">
        <f ca="1">IFERROR(__xludf.DUMMYFUNCTION("""COMPUTED_VALUE"""),"Poder Legislativo Provincial")</f>
        <v>Poder Legislativo Provincial</v>
      </c>
      <c r="M313" s="20" t="str">
        <f ca="1">IFERROR(__xludf.DUMMYFUNCTION("""COMPUTED_VALUE"""),"Instrumentando la ""Campaña Provincial de prevención contra la intoxicación por monóxido de carbono"", con el objeto de difundir la problemática")</f>
        <v>Instrumentando la "Campaña Provincial de prevención contra la intoxicación por monóxido de carbono", con el objeto de difundir la problemática</v>
      </c>
      <c r="N313" s="20" t="str">
        <f ca="1">IFERROR(__xludf.DUMMYFUNCTION("""COMPUTED_VALUE"""),"NO")</f>
        <v>NO</v>
      </c>
      <c r="O313" s="20" t="str">
        <f ca="1">IFERROR(__xludf.DUMMYFUNCTION("""COMPUTED_VALUE"""),"NO")</f>
        <v>NO</v>
      </c>
      <c r="P313" s="20">
        <f ca="1">IFERROR(__xludf.DUMMYFUNCTION("""COMPUTED_VALUE"""),0)</f>
        <v>0</v>
      </c>
      <c r="Q313" s="113" t="str">
        <f ca="1">IFERROR(__xludf.DUMMYFUNCTION("""COMPUTED_VALUE"""),"https://gld.legislaturacba.gob.ar/_cdd/api/Documento/descargar?guid=84c24dca-8097-46e4-9ecf-89a8b46fa72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v>
      </c>
      <c r="R313" s="113" t="str">
        <f ca="1">IFERROR(__xludf.DUMMYFUNCTION("""COMPUTED_VALUE"""),"https://www.youtube.com/watch?v=TVjYbXhXzW0")</f>
        <v>https://www.youtube.com/watch?v=TVjYbXhXzW0</v>
      </c>
      <c r="S313" s="113" t="str">
        <f ca="1">IFERROR(__xludf.DUMMYFUNCTION("""COMPUTED_VALUE"""),"https://gld.legislaturacba.gob.ar/Publics/Actas.aspx?id=-tO-u9tCG5I=;https://gld.legislaturacba.gob.ar/Publics/Actas.aspx?id=xri-dUzY9rE=;https://gld.legislaturacba.gob.ar/Publics/Actas.aspx?id=uQ-J89ED0Rg=")</f>
        <v>https://gld.legislaturacba.gob.ar/Publics/Actas.aspx?id=-tO-u9tCG5I=;https://gld.legislaturacba.gob.ar/Publics/Actas.aspx?id=xri-dUzY9rE=;https://gld.legislaturacba.gob.ar/Publics/Actas.aspx?id=uQ-J89ED0Rg=</v>
      </c>
      <c r="T313" s="99">
        <f t="shared" ca="1" si="0"/>
        <v>0</v>
      </c>
    </row>
    <row r="314" spans="1:20">
      <c r="A314" s="20">
        <f ca="1">IFERROR(__xludf.DUMMYFUNCTION("""COMPUTED_VALUE"""),76)</f>
        <v>76</v>
      </c>
      <c r="B314" s="20">
        <f ca="1">IFERROR(__xludf.DUMMYFUNCTION("""COMPUTED_VALUE"""),2021)</f>
        <v>2021</v>
      </c>
      <c r="C314" s="20" t="str">
        <f ca="1">IFERROR(__xludf.DUMMYFUNCTION("""COMPUTED_VALUE"""),"VIRTUAL")</f>
        <v>VIRTUAL</v>
      </c>
      <c r="D314" s="96">
        <f ca="1">IFERROR(__xludf.DUMMYFUNCTION("""COMPUTED_VALUE"""),44308)</f>
        <v>44308</v>
      </c>
      <c r="E314" s="20" t="str">
        <f ca="1">IFERROR(__xludf.DUMMYFUNCTION("""COMPUTED_VALUE"""),"NO")</f>
        <v>NO</v>
      </c>
      <c r="F314" s="20" t="str">
        <f ca="1">IFERROR(__xludf.DUMMYFUNCTION("""COMPUTED_VALUE"""),"ASUNTOS INSTITUCIONALES, MUNICIPALES Y COMUNALES")</f>
        <v>ASUNTOS INSTITUCIONALES, MUNICIPALES Y COMUNALES</v>
      </c>
      <c r="G314" s="20">
        <f ca="1">IFERROR(__xludf.DUMMYFUNCTION("""COMPUTED_VALUE"""),1)</f>
        <v>1</v>
      </c>
      <c r="H314" s="20">
        <f ca="1">IFERROR(__xludf.DUMMYFUNCTION("""COMPUTED_VALUE"""),1)</f>
        <v>1</v>
      </c>
      <c r="I314" s="20">
        <f ca="1">IFERROR(__xludf.DUMMYFUNCTION("""COMPUTED_VALUE"""),1)</f>
        <v>1</v>
      </c>
      <c r="J314" s="20" t="str">
        <f ca="1">IFERROR(__xludf.DUMMYFUNCTION("""COMPUTED_VALUE"""),"Ley")</f>
        <v>Ley</v>
      </c>
      <c r="K314" s="20">
        <f ca="1">IFERROR(__xludf.DUMMYFUNCTION("""COMPUTED_VALUE"""),32609)</f>
        <v>32609</v>
      </c>
      <c r="L314" s="20" t="str">
        <f ca="1">IFERROR(__xludf.DUMMYFUNCTION("""COMPUTED_VALUE"""),"Poder Ejecutivo Provincial")</f>
        <v>Poder Ejecutivo Provincial</v>
      </c>
      <c r="M314" s="20" t="str">
        <f ca="1">IFERROR(__xludf.DUMMYFUNCTION("""COMPUTED_VALUE"""),"Modificando el radio municipal de la localidad de Manfredi, Departamento Río Segundo")</f>
        <v>Modificando el radio municipal de la localidad de Manfredi, Departamento Río Segundo</v>
      </c>
      <c r="N314" s="20" t="str">
        <f ca="1">IFERROR(__xludf.DUMMYFUNCTION("""COMPUTED_VALUE"""),"SI")</f>
        <v>SI</v>
      </c>
      <c r="O314" s="20" t="str">
        <f ca="1">IFERROR(__xludf.DUMMYFUNCTION("""COMPUTED_VALUE"""),"NO")</f>
        <v>NO</v>
      </c>
      <c r="P314" s="20">
        <f ca="1">IFERROR(__xludf.DUMMYFUNCTION("""COMPUTED_VALUE"""),0)</f>
        <v>0</v>
      </c>
      <c r="Q314" s="113" t="str">
        <f ca="1">IFERROR(__xludf.DUMMYFUNCTION("""COMPUTED_VALUE"""),"https://gld.legislaturacba.gob.ar/_cdd/api/Documento/descargar?guid=8d04724a-6fc3-4081-9266-ffd405ee4575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v>
      </c>
      <c r="R314" s="113" t="str">
        <f ca="1">IFERROR(__xludf.DUMMYFUNCTION("""COMPUTED_VALUE"""),"https://www.youtube.com/watch?v=rRZGZmMD6OA&amp;t")</f>
        <v>https://www.youtube.com/watch?v=rRZGZmMD6OA&amp;t</v>
      </c>
      <c r="S314" s="113" t="str">
        <f ca="1">IFERROR(__xludf.DUMMYFUNCTION("""COMPUTED_VALUE"""),"https://gld.legislaturacba.gob.ar/Publics/Actas.aspx?id=n9XOk3A1sfU=")</f>
        <v>https://gld.legislaturacba.gob.ar/Publics/Actas.aspx?id=n9XOk3A1sfU=</v>
      </c>
      <c r="T314" s="99">
        <f t="shared" ca="1" si="0"/>
        <v>0</v>
      </c>
    </row>
    <row r="315" spans="1:20">
      <c r="A315" s="20">
        <f ca="1">IFERROR(__xludf.DUMMYFUNCTION("""COMPUTED_VALUE"""),77)</f>
        <v>77</v>
      </c>
      <c r="B315" s="20">
        <f ca="1">IFERROR(__xludf.DUMMYFUNCTION("""COMPUTED_VALUE"""),2021)</f>
        <v>2021</v>
      </c>
      <c r="C315" s="20" t="str">
        <f ca="1">IFERROR(__xludf.DUMMYFUNCTION("""COMPUTED_VALUE"""),"VIRTUAL")</f>
        <v>VIRTUAL</v>
      </c>
      <c r="D315" s="96">
        <f ca="1">IFERROR(__xludf.DUMMYFUNCTION("""COMPUTED_VALUE"""),44308)</f>
        <v>44308</v>
      </c>
      <c r="E315" s="20" t="str">
        <f ca="1">IFERROR(__xludf.DUMMYFUNCTION("""COMPUTED_VALUE"""),"NO")</f>
        <v>NO</v>
      </c>
      <c r="F315" s="20" t="str">
        <f ca="1">IFERROR(__xludf.DUMMYFUNCTION("""COMPUTED_VALUE"""),"TURISMO Y SU RELACIÓN CON EL DESARROLLO REGIONAL")</f>
        <v>TURISMO Y SU RELACIÓN CON EL DESARROLLO REGIONAL</v>
      </c>
      <c r="G315" s="20">
        <f ca="1">IFERROR(__xludf.DUMMYFUNCTION("""COMPUTED_VALUE"""),1)</f>
        <v>1</v>
      </c>
      <c r="H315" s="20">
        <f ca="1">IFERROR(__xludf.DUMMYFUNCTION("""COMPUTED_VALUE"""),1)</f>
        <v>1</v>
      </c>
      <c r="I315" s="20">
        <f ca="1">IFERROR(__xludf.DUMMYFUNCTION("""COMPUTED_VALUE"""),1)</f>
        <v>1</v>
      </c>
      <c r="J315" s="20" t="str">
        <f ca="1">IFERROR(__xludf.DUMMYFUNCTION("""COMPUTED_VALUE"""),"NA")</f>
        <v>NA</v>
      </c>
      <c r="K315" s="20" t="str">
        <f ca="1">IFERROR(__xludf.DUMMYFUNCTION("""COMPUTED_VALUE"""),"NA")</f>
        <v>NA</v>
      </c>
      <c r="L315" s="20" t="str">
        <f ca="1">IFERROR(__xludf.DUMMYFUNCTION("""COMPUTED_VALUE"""),"NA")</f>
        <v>NA</v>
      </c>
      <c r="M315" s="20" t="str">
        <f ca="1">IFERROR(__xludf.DUMMYFUNCTION("""COMPUTED_VALUE"""),"Analisis y balance de la temporada turística 20/21")</f>
        <v>Analisis y balance de la temporada turística 20/21</v>
      </c>
      <c r="N315" s="20" t="str">
        <f ca="1">IFERROR(__xludf.DUMMYFUNCTION("""COMPUTED_VALUE"""),"NA")</f>
        <v>NA</v>
      </c>
      <c r="O315" s="20" t="str">
        <f ca="1">IFERROR(__xludf.DUMMYFUNCTION("""COMPUTED_VALUE"""),"SI")</f>
        <v>SI</v>
      </c>
      <c r="P315" s="20">
        <f ca="1">IFERROR(__xludf.DUMMYFUNCTION("""COMPUTED_VALUE"""),7)</f>
        <v>7</v>
      </c>
      <c r="Q315" s="113" t="str">
        <f ca="1">IFERROR(__xludf.DUMMYFUNCTION("""COMPUTED_VALUE"""),"https://gld.legislaturacba.gob.ar/_cdd/api/Documento/descargar?guid=96faf550-ebea-4676-8863-a875a34bde93&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v>
      </c>
      <c r="R315" s="113" t="str">
        <f ca="1">IFERROR(__xludf.DUMMYFUNCTION("""COMPUTED_VALUE"""),"https://www.youtube.com/watch?v=ktFA_525o48")</f>
        <v>https://www.youtube.com/watch?v=ktFA_525o48</v>
      </c>
      <c r="S315" s="113" t="str">
        <f ca="1">IFERROR(__xludf.DUMMYFUNCTION("""COMPUTED_VALUE"""),"https://gld.legislaturacba.gob.ar/Publics/Actas.aspx?id=BoEG8CMRxK8=")</f>
        <v>https://gld.legislaturacba.gob.ar/Publics/Actas.aspx?id=BoEG8CMRxK8=</v>
      </c>
      <c r="T315" s="99">
        <f t="shared" ca="1" si="0"/>
        <v>0</v>
      </c>
    </row>
    <row r="316" spans="1:20">
      <c r="A316" s="20">
        <f ca="1">IFERROR(__xludf.DUMMYFUNCTION("""COMPUTED_VALUE"""),78)</f>
        <v>78</v>
      </c>
      <c r="B316" s="20">
        <f ca="1">IFERROR(__xludf.DUMMYFUNCTION("""COMPUTED_VALUE"""),2021)</f>
        <v>2021</v>
      </c>
      <c r="C316" s="20" t="str">
        <f ca="1">IFERROR(__xludf.DUMMYFUNCTION("""COMPUTED_VALUE"""),"VIRTUAL")</f>
        <v>VIRTUAL</v>
      </c>
      <c r="D316" s="96">
        <f ca="1">IFERROR(__xludf.DUMMYFUNCTION("""COMPUTED_VALUE"""),44313)</f>
        <v>44313</v>
      </c>
      <c r="E316" s="20" t="str">
        <f ca="1">IFERROR(__xludf.DUMMYFUNCTION("""COMPUTED_VALUE"""),"NO")</f>
        <v>NO</v>
      </c>
      <c r="F316" s="20" t="str">
        <f ca="1">IFERROR(__xludf.DUMMYFUNCTION("""COMPUTED_VALUE"""),"LEGISLACIÓN DEL TRABAJO, PREVISIÓN Y SEGURIDAD SOCIAL")</f>
        <v>LEGISLACIÓN DEL TRABAJO, PREVISIÓN Y SEGURIDAD SOCIAL</v>
      </c>
      <c r="G316" s="20">
        <f ca="1">IFERROR(__xludf.DUMMYFUNCTION("""COMPUTED_VALUE"""),1)</f>
        <v>1</v>
      </c>
      <c r="H316" s="20">
        <f ca="1">IFERROR(__xludf.DUMMYFUNCTION("""COMPUTED_VALUE"""),1)</f>
        <v>1</v>
      </c>
      <c r="I316" s="20">
        <f ca="1">IFERROR(__xludf.DUMMYFUNCTION("""COMPUTED_VALUE"""),1)</f>
        <v>1</v>
      </c>
      <c r="J316" s="20" t="str">
        <f ca="1">IFERROR(__xludf.DUMMYFUNCTION("""COMPUTED_VALUE"""),"NA")</f>
        <v>NA</v>
      </c>
      <c r="K316" s="20" t="str">
        <f ca="1">IFERROR(__xludf.DUMMYFUNCTION("""COMPUTED_VALUE"""),"NA")</f>
        <v>NA</v>
      </c>
      <c r="L316" s="20" t="str">
        <f ca="1">IFERROR(__xludf.DUMMYFUNCTION("""COMPUTED_VALUE"""),"NA")</f>
        <v>NA</v>
      </c>
      <c r="M316" s="20" t="str">
        <f ca="1">IFERROR(__xludf.DUMMYFUNCTION("""COMPUTED_VALUE"""),"Elaboración de Proyecto de Declaración por la conmemoracón del 1° de Mayo del día de los Trabajadores")</f>
        <v>Elaboración de Proyecto de Declaración por la conmemoracón del 1° de Mayo del día de los Trabajadores</v>
      </c>
      <c r="N316" s="20" t="str">
        <f ca="1">IFERROR(__xludf.DUMMYFUNCTION("""COMPUTED_VALUE"""),"NA")</f>
        <v>NA</v>
      </c>
      <c r="O316" s="20" t="str">
        <f ca="1">IFERROR(__xludf.DUMMYFUNCTION("""COMPUTED_VALUE"""),"SI")</f>
        <v>SI</v>
      </c>
      <c r="P316" s="20">
        <f ca="1">IFERROR(__xludf.DUMMYFUNCTION("""COMPUTED_VALUE"""),1)</f>
        <v>1</v>
      </c>
      <c r="Q316" s="113" t="str">
        <f ca="1">IFERROR(__xludf.DUMMYFUNCTION("""COMPUTED_VALUE"""),"https://gld.legislaturacba.gob.ar/_cdd/api/Documento/descargar?guid=7a3aeb3c-2cfc-4b09-ad92-999067f69d4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v>
      </c>
      <c r="R316" s="113" t="str">
        <f ca="1">IFERROR(__xludf.DUMMYFUNCTION("""COMPUTED_VALUE"""),"https://www.youtube.com/watch?v=3YSZcKTchRM")</f>
        <v>https://www.youtube.com/watch?v=3YSZcKTchRM</v>
      </c>
      <c r="S316" s="113" t="str">
        <f ca="1">IFERROR(__xludf.DUMMYFUNCTION("""COMPUTED_VALUE"""),"https://gld.legislaturacba.gob.ar/Publics/Actas.aspx?id=UyVHJe5Ma78=")</f>
        <v>https://gld.legislaturacba.gob.ar/Publics/Actas.aspx?id=UyVHJe5Ma78=</v>
      </c>
      <c r="T316" s="99">
        <f t="shared" ca="1" si="0"/>
        <v>0</v>
      </c>
    </row>
    <row r="317" spans="1:20">
      <c r="A317" s="20">
        <f ca="1">IFERROR(__xludf.DUMMYFUNCTION("""COMPUTED_VALUE"""),79)</f>
        <v>79</v>
      </c>
      <c r="B317" s="20">
        <f ca="1">IFERROR(__xludf.DUMMYFUNCTION("""COMPUTED_VALUE"""),2021)</f>
        <v>2021</v>
      </c>
      <c r="C317" s="20" t="str">
        <f ca="1">IFERROR(__xludf.DUMMYFUNCTION("""COMPUTED_VALUE"""),"VIRTUAL")</f>
        <v>VIRTUAL</v>
      </c>
      <c r="D317" s="96">
        <f ca="1">IFERROR(__xludf.DUMMYFUNCTION("""COMPUTED_VALUE"""),44313)</f>
        <v>44313</v>
      </c>
      <c r="E317" s="20" t="str">
        <f ca="1">IFERROR(__xludf.DUMMYFUNCTION("""COMPUTED_VALUE"""),"SI")</f>
        <v>SI</v>
      </c>
      <c r="F317" s="20" t="str">
        <f ca="1">IFERROR(__xludf.DUMMYFUNCTION("""COMPUTED_VALUE"""),"LEGISLACIÓN GENERAL;PREVENCIÓN, TRATAMIENTO Y CONTROL DE LAS ADICCIONES;SALUD HUMANA")</f>
        <v>LEGISLACIÓN GENERAL;PREVENCIÓN, TRATAMIENTO Y CONTROL DE LAS ADICCIONES;SALUD HUMANA</v>
      </c>
      <c r="G317" s="20">
        <f ca="1">IFERROR(__xludf.DUMMYFUNCTION("""COMPUTED_VALUE"""),3)</f>
        <v>3</v>
      </c>
      <c r="H317" s="20">
        <f ca="1">IFERROR(__xludf.DUMMYFUNCTION("""COMPUTED_VALUE"""),3)</f>
        <v>3</v>
      </c>
      <c r="I317" s="20">
        <f ca="1">IFERROR(__xludf.DUMMYFUNCTION("""COMPUTED_VALUE"""),1)</f>
        <v>1</v>
      </c>
      <c r="J317" s="20" t="str">
        <f ca="1">IFERROR(__xludf.DUMMYFUNCTION("""COMPUTED_VALUE"""),"Ley")</f>
        <v>Ley</v>
      </c>
      <c r="K317" s="20">
        <f ca="1">IFERROR(__xludf.DUMMYFUNCTION("""COMPUTED_VALUE"""),32398)</f>
        <v>32398</v>
      </c>
      <c r="L317" s="20" t="str">
        <f ca="1">IFERROR(__xludf.DUMMYFUNCTION("""COMPUTED_VALUE"""),"Poder Ejecutivo Provincial")</f>
        <v>Poder Ejecutivo Provincial</v>
      </c>
      <c r="M317"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17" s="20" t="str">
        <f ca="1">IFERROR(__xludf.DUMMYFUNCTION("""COMPUTED_VALUE"""),"NO")</f>
        <v>NO</v>
      </c>
      <c r="O317" s="20" t="str">
        <f ca="1">IFERROR(__xludf.DUMMYFUNCTION("""COMPUTED_VALUE"""),"SI")</f>
        <v>SI</v>
      </c>
      <c r="P317" s="20">
        <f ca="1">IFERROR(__xludf.DUMMYFUNCTION("""COMPUTED_VALUE"""),3)</f>
        <v>3</v>
      </c>
      <c r="Q317" s="113" t="str">
        <f ca="1">IFERROR(__xludf.DUMMYFUNCTION("""COMPUTED_VALUE"""),"https://gld.legislaturacba.gob.ar/_cdd/api/Documento/descargar?guid=31d14d11-c650-4e9c-bab7-f52943456813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v>
      </c>
      <c r="R317" s="113" t="str">
        <f ca="1">IFERROR(__xludf.DUMMYFUNCTION("""COMPUTED_VALUE"""),"https://www.youtube.com/watch?v=CvwOBWJqGiM")</f>
        <v>https://www.youtube.com/watch?v=CvwOBWJqGiM</v>
      </c>
      <c r="S317" s="113" t="str">
        <f ca="1">IFERROR(__xludf.DUMMYFUNCTION("""COMPUTED_VALUE"""),"https://gld.legislaturacba.gob.ar/Publics/Actas.aspx?id=CzQDWN9zH6k=;https://gld.legislaturacba.gob.ar/Publics/Actas.aspx?id=IlbUj_uAWm4=;https://gld.legislaturacba.gob.ar/Publics/Actas.aspx?id=fgQCxotGL-Y=")</f>
        <v>https://gld.legislaturacba.gob.ar/Publics/Actas.aspx?id=CzQDWN9zH6k=;https://gld.legislaturacba.gob.ar/Publics/Actas.aspx?id=IlbUj_uAWm4=;https://gld.legislaturacba.gob.ar/Publics/Actas.aspx?id=fgQCxotGL-Y=</v>
      </c>
      <c r="T317" s="99">
        <f t="shared" ca="1" si="0"/>
        <v>0</v>
      </c>
    </row>
    <row r="318" spans="1:20">
      <c r="A318" s="20">
        <f ca="1">IFERROR(__xludf.DUMMYFUNCTION("""COMPUTED_VALUE"""),80)</f>
        <v>80</v>
      </c>
      <c r="B318" s="20">
        <f ca="1">IFERROR(__xludf.DUMMYFUNCTION("""COMPUTED_VALUE"""),2021)</f>
        <v>2021</v>
      </c>
      <c r="C318" s="20" t="str">
        <f ca="1">IFERROR(__xludf.DUMMYFUNCTION("""COMPUTED_VALUE"""),"VIRTUAL")</f>
        <v>VIRTUAL</v>
      </c>
      <c r="D318" s="96">
        <f ca="1">IFERROR(__xludf.DUMMYFUNCTION("""COMPUTED_VALUE"""),44313)</f>
        <v>44313</v>
      </c>
      <c r="E318" s="20" t="str">
        <f ca="1">IFERROR(__xludf.DUMMYFUNCTION("""COMPUTED_VALUE"""),"SI")</f>
        <v>SI</v>
      </c>
      <c r="F318" s="20" t="str">
        <f ca="1">IFERROR(__xludf.DUMMYFUNCTION("""COMPUTED_VALUE"""),"ECONOMÍA, PRESUPUESTO, GESTIÓN PÚBLICA E INNOVACIÓN;PROMOCIÓN Y DESARROLLO DE ECONOMÍAS REGIONALES Y PYMES")</f>
        <v>ECONOMÍA, PRESUPUESTO, GESTIÓN PÚBLICA E INNOVACIÓN;PROMOCIÓN Y DESARROLLO DE ECONOMÍAS REGIONALES Y PYMES</v>
      </c>
      <c r="G318" s="20">
        <f ca="1">IFERROR(__xludf.DUMMYFUNCTION("""COMPUTED_VALUE"""),2)</f>
        <v>2</v>
      </c>
      <c r="H318" s="20">
        <f ca="1">IFERROR(__xludf.DUMMYFUNCTION("""COMPUTED_VALUE"""),1)</f>
        <v>1</v>
      </c>
      <c r="I318" s="20">
        <f ca="1">IFERROR(__xludf.DUMMYFUNCTION("""COMPUTED_VALUE"""),1)</f>
        <v>1</v>
      </c>
      <c r="J318" s="20" t="str">
        <f ca="1">IFERROR(__xludf.DUMMYFUNCTION("""COMPUTED_VALUE"""),"NA")</f>
        <v>NA</v>
      </c>
      <c r="K318" s="20" t="str">
        <f ca="1">IFERROR(__xludf.DUMMYFUNCTION("""COMPUTED_VALUE"""),"NA")</f>
        <v>NA</v>
      </c>
      <c r="L318" s="20" t="str">
        <f ca="1">IFERROR(__xludf.DUMMYFUNCTION("""COMPUTED_VALUE"""),"NA")</f>
        <v>NA</v>
      </c>
      <c r="M318" s="20" t="str">
        <f ca="1">IFERROR(__xludf.DUMMYFUNCTION("""COMPUTED_VALUE"""),"Situación de Cámaras y Asociaciones empresariales en el marco de la Pandemia COVID-19")</f>
        <v>Situación de Cámaras y Asociaciones empresariales en el marco de la Pandemia COVID-19</v>
      </c>
      <c r="N318" s="20" t="str">
        <f ca="1">IFERROR(__xludf.DUMMYFUNCTION("""COMPUTED_VALUE"""),"NA")</f>
        <v>NA</v>
      </c>
      <c r="O318" s="20" t="str">
        <f ca="1">IFERROR(__xludf.DUMMYFUNCTION("""COMPUTED_VALUE"""),"SI")</f>
        <v>SI</v>
      </c>
      <c r="P318" s="20">
        <f ca="1">IFERROR(__xludf.DUMMYFUNCTION("""COMPUTED_VALUE"""),21)</f>
        <v>21</v>
      </c>
      <c r="Q318" s="113" t="str">
        <f ca="1">IFERROR(__xludf.DUMMYFUNCTION("""COMPUTED_VALUE"""),"https://gld.legislaturacba.gob.ar/_cdd/api/Documento/descargar?guid=8e729434-aa34-4161-97b8-92e7a2a51ef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v>
      </c>
      <c r="R318" s="113" t="str">
        <f ca="1">IFERROR(__xludf.DUMMYFUNCTION("""COMPUTED_VALUE"""),"https://www.youtube.com/watch?v=QIKPRxqxuxQ")</f>
        <v>https://www.youtube.com/watch?v=QIKPRxqxuxQ</v>
      </c>
      <c r="S318" s="113" t="str">
        <f ca="1">IFERROR(__xludf.DUMMYFUNCTION("""COMPUTED_VALUE"""),"https://gld.legislaturacba.gob.ar/Publics/Actas.aspx?id=r4vqO-mSg6w=;https://gld.legislaturacba.gob.ar/Publics/Actas.aspx?id=NMRiezrFvdQ=")</f>
        <v>https://gld.legislaturacba.gob.ar/Publics/Actas.aspx?id=r4vqO-mSg6w=;https://gld.legislaturacba.gob.ar/Publics/Actas.aspx?id=NMRiezrFvdQ=</v>
      </c>
      <c r="T318" s="99">
        <f t="shared" ca="1" si="0"/>
        <v>0</v>
      </c>
    </row>
    <row r="319" spans="1:20">
      <c r="A319" s="20">
        <f ca="1">IFERROR(__xludf.DUMMYFUNCTION("""COMPUTED_VALUE"""),81)</f>
        <v>81</v>
      </c>
      <c r="B319" s="20">
        <f ca="1">IFERROR(__xludf.DUMMYFUNCTION("""COMPUTED_VALUE"""),2021)</f>
        <v>2021</v>
      </c>
      <c r="C319" s="20" t="str">
        <f ca="1">IFERROR(__xludf.DUMMYFUNCTION("""COMPUTED_VALUE"""),"VIRTUAL")</f>
        <v>VIRTUAL</v>
      </c>
      <c r="D319" s="96">
        <f ca="1">IFERROR(__xludf.DUMMYFUNCTION("""COMPUTED_VALUE"""),44314)</f>
        <v>44314</v>
      </c>
      <c r="E319" s="20" t="str">
        <f ca="1">IFERROR(__xludf.DUMMYFUNCTION("""COMPUTED_VALUE"""),"NO")</f>
        <v>NO</v>
      </c>
      <c r="F319" s="20" t="str">
        <f ca="1">IFERROR(__xludf.DUMMYFUNCTION("""COMPUTED_VALUE"""),"LEGISLACIÓN GENERAL")</f>
        <v>LEGISLACIÓN GENERAL</v>
      </c>
      <c r="G319" s="20">
        <f ca="1">IFERROR(__xludf.DUMMYFUNCTION("""COMPUTED_VALUE"""),1)</f>
        <v>1</v>
      </c>
      <c r="H319" s="20">
        <f ca="1">IFERROR(__xludf.DUMMYFUNCTION("""COMPUTED_VALUE"""),1)</f>
        <v>1</v>
      </c>
      <c r="I319" s="20">
        <f ca="1">IFERROR(__xludf.DUMMYFUNCTION("""COMPUTED_VALUE"""),1)</f>
        <v>1</v>
      </c>
      <c r="J319" s="20" t="str">
        <f ca="1">IFERROR(__xludf.DUMMYFUNCTION("""COMPUTED_VALUE"""),"Ley")</f>
        <v>Ley</v>
      </c>
      <c r="K319" s="20">
        <f ca="1">IFERROR(__xludf.DUMMYFUNCTION("""COMPUTED_VALUE"""),32609)</f>
        <v>32609</v>
      </c>
      <c r="L319" s="20" t="str">
        <f ca="1">IFERROR(__xludf.DUMMYFUNCTION("""COMPUTED_VALUE"""),"Poder Ejecutivo Provincial")</f>
        <v>Poder Ejecutivo Provincial</v>
      </c>
      <c r="M319" s="20" t="str">
        <f ca="1">IFERROR(__xludf.DUMMYFUNCTION("""COMPUTED_VALUE"""),"Modificando el radio municipal de la localidad de Manfredi, Departamento Rio Segundo")</f>
        <v>Modificando el radio municipal de la localidad de Manfredi, Departamento Rio Segundo</v>
      </c>
      <c r="N319" s="20" t="str">
        <f ca="1">IFERROR(__xludf.DUMMYFUNCTION("""COMPUTED_VALUE"""),"SI")</f>
        <v>SI</v>
      </c>
      <c r="O319" s="20" t="str">
        <f ca="1">IFERROR(__xludf.DUMMYFUNCTION("""COMPUTED_VALUE"""),"NO")</f>
        <v>NO</v>
      </c>
      <c r="P319" s="20">
        <f ca="1">IFERROR(__xludf.DUMMYFUNCTION("""COMPUTED_VALUE"""),0)</f>
        <v>0</v>
      </c>
      <c r="Q319" s="113" t="str">
        <f ca="1">IFERROR(__xludf.DUMMYFUNCTION("""COMPUTED_VALUE"""),"https://gld.legislaturacba.gob.ar/_cdd/api/Documento/descargar?guid=6a26d020-37c2-4009-9185-64e20a660e03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v>
      </c>
      <c r="R319" s="113" t="str">
        <f ca="1">IFERROR(__xludf.DUMMYFUNCTION("""COMPUTED_VALUE"""),"https://www.youtube.com/watch?v=vVLOwgGTI_8")</f>
        <v>https://www.youtube.com/watch?v=vVLOwgGTI_8</v>
      </c>
      <c r="S319" s="113" t="str">
        <f ca="1">IFERROR(__xludf.DUMMYFUNCTION("""COMPUTED_VALUE"""),"https://gld.legislaturacba.gob.ar/Publics/Actas.aspx?id=x8k_b6kY8rg=")</f>
        <v>https://gld.legislaturacba.gob.ar/Publics/Actas.aspx?id=x8k_b6kY8rg=</v>
      </c>
      <c r="T319" s="99">
        <f t="shared" ca="1" si="0"/>
        <v>0</v>
      </c>
    </row>
    <row r="320" spans="1:20">
      <c r="A320" s="20">
        <f ca="1">IFERROR(__xludf.DUMMYFUNCTION("""COMPUTED_VALUE"""),82)</f>
        <v>82</v>
      </c>
      <c r="B320" s="20">
        <f ca="1">IFERROR(__xludf.DUMMYFUNCTION("""COMPUTED_VALUE"""),2021)</f>
        <v>2021</v>
      </c>
      <c r="C320" s="20" t="str">
        <f ca="1">IFERROR(__xludf.DUMMYFUNCTION("""COMPUTED_VALUE"""),"VIRTUAL")</f>
        <v>VIRTUAL</v>
      </c>
      <c r="D320" s="96">
        <f ca="1">IFERROR(__xludf.DUMMYFUNCTION("""COMPUTED_VALUE"""),44315)</f>
        <v>44315</v>
      </c>
      <c r="E320" s="20" t="str">
        <f ca="1">IFERROR(__xludf.DUMMYFUNCTION("""COMPUTED_VALUE"""),"SI")</f>
        <v>SI</v>
      </c>
      <c r="F320" s="20" t="str">
        <f ca="1">IFERROR(__xludf.DUMMYFUNCTION("""COMPUTED_VALUE"""),"PREVENCIÓN, TRATAMIENTO Y CONTROL DE LAS ADICCIONES;PROMOCIÓN Y DEFENSA DE LOS DERECHOS DE LA NIÑEZ, ADOLESCENCIA Y FAMILIA")</f>
        <v>PREVENCIÓN, TRATAMIENTO Y CONTROL DE LAS ADICCIONES;PROMOCIÓN Y DEFENSA DE LOS DERECHOS DE LA NIÑEZ, ADOLESCENCIA Y FAMILIA</v>
      </c>
      <c r="G320" s="20">
        <f ca="1">IFERROR(__xludf.DUMMYFUNCTION("""COMPUTED_VALUE"""),2)</f>
        <v>2</v>
      </c>
      <c r="H320" s="20">
        <f ca="1">IFERROR(__xludf.DUMMYFUNCTION("""COMPUTED_VALUE"""),1)</f>
        <v>1</v>
      </c>
      <c r="I320" s="20">
        <f ca="1">IFERROR(__xludf.DUMMYFUNCTION("""COMPUTED_VALUE"""),1)</f>
        <v>1</v>
      </c>
      <c r="J320" s="20" t="str">
        <f ca="1">IFERROR(__xludf.DUMMYFUNCTION("""COMPUTED_VALUE"""),"NA")</f>
        <v>NA</v>
      </c>
      <c r="K320" s="20" t="str">
        <f ca="1">IFERROR(__xludf.DUMMYFUNCTION("""COMPUTED_VALUE"""),"NA")</f>
        <v>NA</v>
      </c>
      <c r="L320" s="20" t="str">
        <f ca="1">IFERROR(__xludf.DUMMYFUNCTION("""COMPUTED_VALUE"""),"NA")</f>
        <v>NA</v>
      </c>
      <c r="M320" s="20" t="str">
        <f ca="1">IFERROR(__xludf.DUMMYFUNCTION("""COMPUTED_VALUE"""),"Relevamiento vinculado a situaciones de adicciones en adolescentes, realizado por la Defensoría de Niñas, Niños y Adolescentes")</f>
        <v>Relevamiento vinculado a situaciones de adicciones en adolescentes, realizado por la Defensoría de Niñas, Niños y Adolescentes</v>
      </c>
      <c r="N320" s="20" t="str">
        <f ca="1">IFERROR(__xludf.DUMMYFUNCTION("""COMPUTED_VALUE"""),"NA")</f>
        <v>NA</v>
      </c>
      <c r="O320" s="20" t="str">
        <f ca="1">IFERROR(__xludf.DUMMYFUNCTION("""COMPUTED_VALUE"""),"SI")</f>
        <v>SI</v>
      </c>
      <c r="P320" s="20">
        <f ca="1">IFERROR(__xludf.DUMMYFUNCTION("""COMPUTED_VALUE"""),1)</f>
        <v>1</v>
      </c>
      <c r="Q320" s="113" t="str">
        <f ca="1">IFERROR(__xludf.DUMMYFUNCTION("""COMPUTED_VALUE"""),"https://gld.legislaturacba.gob.ar/_cdd/api/Documento/descargar?guid=339abf36-37ea-4ab0-9cdd-a176ea5e8379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v>
      </c>
      <c r="R320" s="113" t="str">
        <f ca="1">IFERROR(__xludf.DUMMYFUNCTION("""COMPUTED_VALUE"""),"https://www.youtube.com/watch?v=JbPNr7M-dcU")</f>
        <v>https://www.youtube.com/watch?v=JbPNr7M-dcU</v>
      </c>
      <c r="S320" s="113" t="str">
        <f ca="1">IFERROR(__xludf.DUMMYFUNCTION("""COMPUTED_VALUE"""),"https://gld.legislaturacba.gob.ar/Publics/Actas.aspx?id=hDQAgBC1iYU=;https://gld.legislaturacba.gob.ar/Publics/Actas.aspx?id=V8GorilWYKs=")</f>
        <v>https://gld.legislaturacba.gob.ar/Publics/Actas.aspx?id=hDQAgBC1iYU=;https://gld.legislaturacba.gob.ar/Publics/Actas.aspx?id=V8GorilWYKs=</v>
      </c>
      <c r="T320" s="99">
        <f t="shared" ca="1" si="0"/>
        <v>0</v>
      </c>
    </row>
    <row r="321" spans="1:20">
      <c r="A321" s="20">
        <f ca="1">IFERROR(__xludf.DUMMYFUNCTION("""COMPUTED_VALUE"""),83)</f>
        <v>83</v>
      </c>
      <c r="B321" s="20">
        <f ca="1">IFERROR(__xludf.DUMMYFUNCTION("""COMPUTED_VALUE"""),2021)</f>
        <v>2021</v>
      </c>
      <c r="C321" s="20" t="str">
        <f ca="1">IFERROR(__xludf.DUMMYFUNCTION("""COMPUTED_VALUE"""),"VIRTUAL")</f>
        <v>VIRTUAL</v>
      </c>
      <c r="D321" s="96">
        <f ca="1">IFERROR(__xludf.DUMMYFUNCTION("""COMPUTED_VALUE"""),44315)</f>
        <v>44315</v>
      </c>
      <c r="E321" s="20" t="str">
        <f ca="1">IFERROR(__xludf.DUMMYFUNCTION("""COMPUTED_VALUE"""),"NO")</f>
        <v>NO</v>
      </c>
      <c r="F321" s="114" t="str">
        <f ca="1">IFERROR(__xludf.DUMMYFUNCTION("""COMPUTED_VALUE"""),"TURISMO Y SU RELACIÓN CON EL DESARROLLO REGIONAL")</f>
        <v>TURISMO Y SU RELACIÓN CON EL DESARROLLO REGIONAL</v>
      </c>
      <c r="G321" s="20">
        <f ca="1">IFERROR(__xludf.DUMMYFUNCTION("""COMPUTED_VALUE"""),1)</f>
        <v>1</v>
      </c>
      <c r="H321" s="20">
        <f ca="1">IFERROR(__xludf.DUMMYFUNCTION("""COMPUTED_VALUE"""),1)</f>
        <v>1</v>
      </c>
      <c r="I321" s="20">
        <f ca="1">IFERROR(__xludf.DUMMYFUNCTION("""COMPUTED_VALUE"""),1)</f>
        <v>1</v>
      </c>
      <c r="J321" s="20" t="str">
        <f ca="1">IFERROR(__xludf.DUMMYFUNCTION("""COMPUTED_VALUE"""),"Ley")</f>
        <v>Ley</v>
      </c>
      <c r="K321" s="20">
        <f ca="1">IFERROR(__xludf.DUMMYFUNCTION("""COMPUTED_VALUE"""),32460)</f>
        <v>32460</v>
      </c>
      <c r="L321" s="20" t="str">
        <f ca="1">IFERROR(__xludf.DUMMYFUNCTION("""COMPUTED_VALUE"""),"Poder Legislativo Provincial")</f>
        <v>Poder Legislativo Provincial</v>
      </c>
      <c r="M321"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321" s="20" t="str">
        <f ca="1">IFERROR(__xludf.DUMMYFUNCTION("""COMPUTED_VALUE"""),"NO")</f>
        <v>NO</v>
      </c>
      <c r="O321" s="20" t="str">
        <f ca="1">IFERROR(__xludf.DUMMYFUNCTION("""COMPUTED_VALUE"""),"SI")</f>
        <v>SI</v>
      </c>
      <c r="P321" s="20">
        <f ca="1">IFERROR(__xludf.DUMMYFUNCTION("""COMPUTED_VALUE"""),1)</f>
        <v>1</v>
      </c>
      <c r="Q321" s="113" t="str">
        <f ca="1">IFERROR(__xludf.DUMMYFUNCTION("""COMPUTED_VALUE"""),"https://gld.legislaturacba.gob.ar/_cdd/api/Documento/descargar?guid=811aeb13-5b9e-4c65-ab10-269e24992a23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v>
      </c>
      <c r="R321" s="113" t="str">
        <f ca="1">IFERROR(__xludf.DUMMYFUNCTION("""COMPUTED_VALUE"""),"https://www.youtube.com/watch?v=6oN8T79ooxM")</f>
        <v>https://www.youtube.com/watch?v=6oN8T79ooxM</v>
      </c>
      <c r="S321" s="113" t="str">
        <f ca="1">IFERROR(__xludf.DUMMYFUNCTION("""COMPUTED_VALUE"""),"https://gld.legislaturacba.gob.ar/Publics/Actas.aspx?id=nvL7mGMeKZU=")</f>
        <v>https://gld.legislaturacba.gob.ar/Publics/Actas.aspx?id=nvL7mGMeKZU=</v>
      </c>
      <c r="T321" s="99">
        <f t="shared" ca="1" si="0"/>
        <v>0</v>
      </c>
    </row>
    <row r="322" spans="1:20">
      <c r="A322" s="20">
        <f ca="1">IFERROR(__xludf.DUMMYFUNCTION("""COMPUTED_VALUE"""),84)</f>
        <v>84</v>
      </c>
      <c r="B322" s="20">
        <f ca="1">IFERROR(__xludf.DUMMYFUNCTION("""COMPUTED_VALUE"""),2021)</f>
        <v>2021</v>
      </c>
      <c r="C322" s="20" t="str">
        <f ca="1">IFERROR(__xludf.DUMMYFUNCTION("""COMPUTED_VALUE"""),"VIRTUAL")</f>
        <v>VIRTUAL</v>
      </c>
      <c r="D322" s="96">
        <f ca="1">IFERROR(__xludf.DUMMYFUNCTION("""COMPUTED_VALUE"""),44315)</f>
        <v>44315</v>
      </c>
      <c r="E322" s="20" t="str">
        <f ca="1">IFERROR(__xludf.DUMMYFUNCTION("""COMPUTED_VALUE"""),"NO")</f>
        <v>NO</v>
      </c>
      <c r="F322" s="20" t="str">
        <f ca="1">IFERROR(__xludf.DUMMYFUNCTION("""COMPUTED_VALUE"""),"AMBIENTE")</f>
        <v>AMBIENTE</v>
      </c>
      <c r="G322" s="20">
        <f ca="1">IFERROR(__xludf.DUMMYFUNCTION("""COMPUTED_VALUE"""),1)</f>
        <v>1</v>
      </c>
      <c r="H322" s="20">
        <f ca="1">IFERROR(__xludf.DUMMYFUNCTION("""COMPUTED_VALUE"""),3)</f>
        <v>3</v>
      </c>
      <c r="I322" s="20">
        <f ca="1">IFERROR(__xludf.DUMMYFUNCTION("""COMPUTED_VALUE"""),1)</f>
        <v>1</v>
      </c>
      <c r="J322" s="20" t="str">
        <f ca="1">IFERROR(__xludf.DUMMYFUNCTION("""COMPUTED_VALUE"""),"Ley")</f>
        <v>Ley</v>
      </c>
      <c r="K322" s="20">
        <f ca="1">IFERROR(__xludf.DUMMYFUNCTION("""COMPUTED_VALUE"""),31811)</f>
        <v>31811</v>
      </c>
      <c r="L322" s="20" t="str">
        <f ca="1">IFERROR(__xludf.DUMMYFUNCTION("""COMPUTED_VALUE"""),"Poder Legislativo Provincial")</f>
        <v>Poder Legislativo Provincial</v>
      </c>
      <c r="M322"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22" s="20" t="str">
        <f ca="1">IFERROR(__xludf.DUMMYFUNCTION("""COMPUTED_VALUE"""),"NO")</f>
        <v>NO</v>
      </c>
      <c r="O322" s="20" t="str">
        <f ca="1">IFERROR(__xludf.DUMMYFUNCTION("""COMPUTED_VALUE"""),"SI")</f>
        <v>SI</v>
      </c>
      <c r="P322" s="20">
        <f ca="1">IFERROR(__xludf.DUMMYFUNCTION("""COMPUTED_VALUE"""),7)</f>
        <v>7</v>
      </c>
      <c r="Q322" s="20" t="str">
        <f ca="1">IFERROR(__xludf.DUMMYFUNCTION("""COMPUTED_VALUE"""),"NA")</f>
        <v>NA</v>
      </c>
      <c r="R322" s="113" t="str">
        <f ca="1">IFERROR(__xludf.DUMMYFUNCTION("""COMPUTED_VALUE"""),"https://www.youtube.com/watch?v=tXGIgKFQmBU")</f>
        <v>https://www.youtube.com/watch?v=tXGIgKFQmBU</v>
      </c>
      <c r="S322" s="113" t="str">
        <f ca="1">IFERROR(__xludf.DUMMYFUNCTION("""COMPUTED_VALUE"""),"https://gld.legislaturacba.gob.ar/Publics/Actas.aspx?id=Ph909DpZrKc=")</f>
        <v>https://gld.legislaturacba.gob.ar/Publics/Actas.aspx?id=Ph909DpZrKc=</v>
      </c>
      <c r="T322" s="99">
        <f t="shared" ca="1" si="0"/>
        <v>0</v>
      </c>
    </row>
    <row r="323" spans="1:20">
      <c r="A323" s="20">
        <f ca="1">IFERROR(__xludf.DUMMYFUNCTION("""COMPUTED_VALUE"""),85)</f>
        <v>85</v>
      </c>
      <c r="B323" s="20">
        <f ca="1">IFERROR(__xludf.DUMMYFUNCTION("""COMPUTED_VALUE"""),2021)</f>
        <v>2021</v>
      </c>
      <c r="C323" s="20" t="str">
        <f ca="1">IFERROR(__xludf.DUMMYFUNCTION("""COMPUTED_VALUE"""),"VIRTUAL")</f>
        <v>VIRTUAL</v>
      </c>
      <c r="D323" s="96">
        <f ca="1">IFERROR(__xludf.DUMMYFUNCTION("""COMPUTED_VALUE"""),44315)</f>
        <v>44315</v>
      </c>
      <c r="E323" s="20" t="str">
        <f ca="1">IFERROR(__xludf.DUMMYFUNCTION("""COMPUTED_VALUE"""),"SI")</f>
        <v>SI</v>
      </c>
      <c r="F323" s="20" t="str">
        <f ca="1">IFERROR(__xludf.DUMMYFUNCTION("""COMPUTED_VALUE"""),"LEGISLACIÓN GENERAL;PREVENCIÓN, TRATAMIENTO Y CONTROL DE LAS ADICCIONES;SALUD HUMANA")</f>
        <v>LEGISLACIÓN GENERAL;PREVENCIÓN, TRATAMIENTO Y CONTROL DE LAS ADICCIONES;SALUD HUMANA</v>
      </c>
      <c r="G323" s="20">
        <f ca="1">IFERROR(__xludf.DUMMYFUNCTION("""COMPUTED_VALUE"""),3)</f>
        <v>3</v>
      </c>
      <c r="H323" s="20">
        <f ca="1">IFERROR(__xludf.DUMMYFUNCTION("""COMPUTED_VALUE"""),3)</f>
        <v>3</v>
      </c>
      <c r="I323" s="20">
        <f ca="1">IFERROR(__xludf.DUMMYFUNCTION("""COMPUTED_VALUE"""),1)</f>
        <v>1</v>
      </c>
      <c r="J323" s="20" t="str">
        <f ca="1">IFERROR(__xludf.DUMMYFUNCTION("""COMPUTED_VALUE"""),"Ley")</f>
        <v>Ley</v>
      </c>
      <c r="K323" s="20">
        <f ca="1">IFERROR(__xludf.DUMMYFUNCTION("""COMPUTED_VALUE"""),32398)</f>
        <v>32398</v>
      </c>
      <c r="L323" s="20" t="str">
        <f ca="1">IFERROR(__xludf.DUMMYFUNCTION("""COMPUTED_VALUE"""),"Poder Ejecutivo Provincial")</f>
        <v>Poder Ejecutivo Provincial</v>
      </c>
      <c r="M323"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23" s="20" t="str">
        <f ca="1">IFERROR(__xludf.DUMMYFUNCTION("""COMPUTED_VALUE"""),"NO")</f>
        <v>NO</v>
      </c>
      <c r="O323" s="20" t="str">
        <f ca="1">IFERROR(__xludf.DUMMYFUNCTION("""COMPUTED_VALUE"""),"SI")</f>
        <v>SI</v>
      </c>
      <c r="P323" s="20">
        <f ca="1">IFERROR(__xludf.DUMMYFUNCTION("""COMPUTED_VALUE"""),6)</f>
        <v>6</v>
      </c>
      <c r="Q323" s="113" t="str">
        <f ca="1">IFERROR(__xludf.DUMMYFUNCTION("""COMPUTED_VALUE"""),"https://gld.legislaturacba.gob.ar/_cdd/api/Documento/descargar?guid=299eb978-702b-48b8-9333-07e19d280b11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v>
      </c>
      <c r="R323" s="113" t="str">
        <f ca="1">IFERROR(__xludf.DUMMYFUNCTION("""COMPUTED_VALUE"""),"https://www.youtube.com/watch?v=U0fNxLbYOME")</f>
        <v>https://www.youtube.com/watch?v=U0fNxLbYOME</v>
      </c>
      <c r="S323" s="113" t="str">
        <f ca="1">IFERROR(__xludf.DUMMYFUNCTION("""COMPUTED_VALUE"""),"https://gld.legislaturacba.gob.ar/Publics/Actas.aspx?id=JmMC8RWgeaE=;https://gld.legislaturacba.gob.ar/Publics/Actas.aspx?id=4CE3EZ8Ua_A=;https://gld.legislaturacba.gob.ar/Publics/Actas.aspx?id=5PS398s0pFA=")</f>
        <v>https://gld.legislaturacba.gob.ar/Publics/Actas.aspx?id=JmMC8RWgeaE=;https://gld.legislaturacba.gob.ar/Publics/Actas.aspx?id=4CE3EZ8Ua_A=;https://gld.legislaturacba.gob.ar/Publics/Actas.aspx?id=5PS398s0pFA=</v>
      </c>
      <c r="T323" s="99">
        <f t="shared" ca="1" si="0"/>
        <v>0</v>
      </c>
    </row>
    <row r="324" spans="1:20">
      <c r="A324" s="20">
        <f ca="1">IFERROR(__xludf.DUMMYFUNCTION("""COMPUTED_VALUE"""),86)</f>
        <v>86</v>
      </c>
      <c r="B324" s="20">
        <f ca="1">IFERROR(__xludf.DUMMYFUNCTION("""COMPUTED_VALUE"""),2021)</f>
        <v>2021</v>
      </c>
      <c r="C324" s="20" t="str">
        <f ca="1">IFERROR(__xludf.DUMMYFUNCTION("""COMPUTED_VALUE"""),"VIRTUAL")</f>
        <v>VIRTUAL</v>
      </c>
      <c r="D324" s="96">
        <f ca="1">IFERROR(__xludf.DUMMYFUNCTION("""COMPUTED_VALUE"""),44320)</f>
        <v>44320</v>
      </c>
      <c r="E324" s="20" t="str">
        <f ca="1">IFERROR(__xludf.DUMMYFUNCTION("""COMPUTED_VALUE"""),"SI")</f>
        <v>SI</v>
      </c>
      <c r="F324" s="20" t="str">
        <f ca="1">IFERROR(__xludf.DUMMYFUNCTION("""COMPUTED_VALUE"""),"LEGISLACIÓN DEL TRABAJO, PREVISIÓN Y SEGURIDAD SOCIAL;LEGISLACIÓN GENERAL")</f>
        <v>LEGISLACIÓN DEL TRABAJO, PREVISIÓN Y SEGURIDAD SOCIAL;LEGISLACIÓN GENERAL</v>
      </c>
      <c r="G324" s="20">
        <f ca="1">IFERROR(__xludf.DUMMYFUNCTION("""COMPUTED_VALUE"""),2)</f>
        <v>2</v>
      </c>
      <c r="H324" s="20">
        <f ca="1">IFERROR(__xludf.DUMMYFUNCTION("""COMPUTED_VALUE"""),1)</f>
        <v>1</v>
      </c>
      <c r="I324" s="20">
        <f ca="1">IFERROR(__xludf.DUMMYFUNCTION("""COMPUTED_VALUE"""),1)</f>
        <v>1</v>
      </c>
      <c r="J324" s="20" t="str">
        <f ca="1">IFERROR(__xludf.DUMMYFUNCTION("""COMPUTED_VALUE"""),"Ley")</f>
        <v>Ley</v>
      </c>
      <c r="K324" s="20">
        <f ca="1">IFERROR(__xludf.DUMMYFUNCTION("""COMPUTED_VALUE"""),32275)</f>
        <v>32275</v>
      </c>
      <c r="L324" s="20" t="str">
        <f ca="1">IFERROR(__xludf.DUMMYFUNCTION("""COMPUTED_VALUE"""),"Poder Legislativo Provincial")</f>
        <v>Poder Legislativo Provincial</v>
      </c>
      <c r="M324" s="20" t="str">
        <f ca="1">IFERROR(__xludf.DUMMYFUNCTION("""COMPUTED_VALUE"""),"Modificando el inciso b) del Articulo 1° de la Ley 1483, Orgánica Notarial")</f>
        <v>Modificando el inciso b) del Articulo 1° de la Ley 1483, Orgánica Notarial</v>
      </c>
      <c r="N324" s="20" t="str">
        <f ca="1">IFERROR(__xludf.DUMMYFUNCTION("""COMPUTED_VALUE"""),"NO")</f>
        <v>NO</v>
      </c>
      <c r="O324" s="20" t="str">
        <f ca="1">IFERROR(__xludf.DUMMYFUNCTION("""COMPUTED_VALUE"""),"NO")</f>
        <v>NO</v>
      </c>
      <c r="P324" s="20">
        <f ca="1">IFERROR(__xludf.DUMMYFUNCTION("""COMPUTED_VALUE"""),0)</f>
        <v>0</v>
      </c>
      <c r="Q324" s="113" t="str">
        <f ca="1">IFERROR(__xludf.DUMMYFUNCTION("""COMPUTED_VALUE"""),"https://gld.legislaturacba.gob.ar/_cdd/api/Documento/descargar?guid=e9904867-6942-4084-8d8d-3a513f11075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v>
      </c>
      <c r="R324" s="113" t="str">
        <f ca="1">IFERROR(__xludf.DUMMYFUNCTION("""COMPUTED_VALUE"""),"https://www.youtube.com/watch?v=8hmDJuMvLhI")</f>
        <v>https://www.youtube.com/watch?v=8hmDJuMvLhI</v>
      </c>
      <c r="S324" s="113" t="str">
        <f ca="1">IFERROR(__xludf.DUMMYFUNCTION("""COMPUTED_VALUE"""),"https://gld.legislaturacba.gob.ar/Publics/Actas.aspx?id=O68jA3lgyQ4=;https://gld.legislaturacba.gob.ar/Publics/Actas.aspx?id=V5B3-COl4E8=")</f>
        <v>https://gld.legislaturacba.gob.ar/Publics/Actas.aspx?id=O68jA3lgyQ4=;https://gld.legislaturacba.gob.ar/Publics/Actas.aspx?id=V5B3-COl4E8=</v>
      </c>
      <c r="T324" s="99">
        <f t="shared" ca="1" si="0"/>
        <v>0</v>
      </c>
    </row>
    <row r="325" spans="1:20">
      <c r="A325" s="20">
        <f ca="1">IFERROR(__xludf.DUMMYFUNCTION("""COMPUTED_VALUE"""),87)</f>
        <v>87</v>
      </c>
      <c r="B325" s="20">
        <f ca="1">IFERROR(__xludf.DUMMYFUNCTION("""COMPUTED_VALUE"""),2021)</f>
        <v>2021</v>
      </c>
      <c r="C325" s="20" t="str">
        <f ca="1">IFERROR(__xludf.DUMMYFUNCTION("""COMPUTED_VALUE"""),"VIRTUAL")</f>
        <v>VIRTUAL</v>
      </c>
      <c r="D325" s="96">
        <f ca="1">IFERROR(__xludf.DUMMYFUNCTION("""COMPUTED_VALUE"""),44320)</f>
        <v>44320</v>
      </c>
      <c r="E325" s="20" t="str">
        <f ca="1">IFERROR(__xludf.DUMMYFUNCTION("""COMPUTED_VALUE"""),"SI")</f>
        <v>SI</v>
      </c>
      <c r="F325" s="20" t="str">
        <f ca="1">IFERROR(__xludf.DUMMYFUNCTION("""COMPUTED_VALUE"""),"LEGISLACIÓN GENERAL;PREVENCIÓN, TRATAMIENTO Y CONTROL DE LAS ADICCIONES;SALUD HUMANA")</f>
        <v>LEGISLACIÓN GENERAL;PREVENCIÓN, TRATAMIENTO Y CONTROL DE LAS ADICCIONES;SALUD HUMANA</v>
      </c>
      <c r="G325" s="20">
        <f ca="1">IFERROR(__xludf.DUMMYFUNCTION("""COMPUTED_VALUE"""),3)</f>
        <v>3</v>
      </c>
      <c r="H325" s="20">
        <f ca="1">IFERROR(__xludf.DUMMYFUNCTION("""COMPUTED_VALUE"""),3)</f>
        <v>3</v>
      </c>
      <c r="I325" s="20">
        <f ca="1">IFERROR(__xludf.DUMMYFUNCTION("""COMPUTED_VALUE"""),1)</f>
        <v>1</v>
      </c>
      <c r="J325" s="20" t="str">
        <f ca="1">IFERROR(__xludf.DUMMYFUNCTION("""COMPUTED_VALUE"""),"Ley")</f>
        <v>Ley</v>
      </c>
      <c r="K325" s="20">
        <f ca="1">IFERROR(__xludf.DUMMYFUNCTION("""COMPUTED_VALUE"""),32398)</f>
        <v>32398</v>
      </c>
      <c r="L325" s="20" t="str">
        <f ca="1">IFERROR(__xludf.DUMMYFUNCTION("""COMPUTED_VALUE"""),"Poder Ejecutivo Provincial")</f>
        <v>Poder Ejecutivo Provincial</v>
      </c>
      <c r="M325"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25" s="20" t="str">
        <f ca="1">IFERROR(__xludf.DUMMYFUNCTION("""COMPUTED_VALUE"""),"NO")</f>
        <v>NO</v>
      </c>
      <c r="O325" s="20" t="str">
        <f ca="1">IFERROR(__xludf.DUMMYFUNCTION("""COMPUTED_VALUE"""),"NO")</f>
        <v>NO</v>
      </c>
      <c r="P325" s="20">
        <f ca="1">IFERROR(__xludf.DUMMYFUNCTION("""COMPUTED_VALUE"""),0)</f>
        <v>0</v>
      </c>
      <c r="Q325" s="113" t="str">
        <f ca="1">IFERROR(__xludf.DUMMYFUNCTION("""COMPUTED_VALUE"""),"https://gld.legislaturacba.gob.ar/_cdd/api/Documento/descargar?guid=db3f2a72-d3c4-47fe-b628-5e9467c3f3e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v>
      </c>
      <c r="R325" s="113" t="str">
        <f ca="1">IFERROR(__xludf.DUMMYFUNCTION("""COMPUTED_VALUE"""),"https://www.youtube.com/watch?v=82avDn8HpcE")</f>
        <v>https://www.youtube.com/watch?v=82avDn8HpcE</v>
      </c>
      <c r="S325" s="113" t="str">
        <f ca="1">IFERROR(__xludf.DUMMYFUNCTION("""COMPUTED_VALUE"""),"https://gld.legislaturacba.gob.ar/Publics/Actas.aspx?id=oJxTXY-b8OE=;https://gld.legislaturacba.gob.ar/Publics/Actas.aspx?id=41nRW7RKMSI=;https://gld.legislaturacba.gob.ar/Publics/Actas.aspx?id=6IvQYaQj_jI=")</f>
        <v>https://gld.legislaturacba.gob.ar/Publics/Actas.aspx?id=oJxTXY-b8OE=;https://gld.legislaturacba.gob.ar/Publics/Actas.aspx?id=41nRW7RKMSI=;https://gld.legislaturacba.gob.ar/Publics/Actas.aspx?id=6IvQYaQj_jI=</v>
      </c>
      <c r="T325" s="99">
        <f t="shared" ca="1" si="0"/>
        <v>0</v>
      </c>
    </row>
    <row r="326" spans="1:20">
      <c r="A326" s="20">
        <f ca="1">IFERROR(__xludf.DUMMYFUNCTION("""COMPUTED_VALUE"""),88)</f>
        <v>88</v>
      </c>
      <c r="B326" s="20">
        <f ca="1">IFERROR(__xludf.DUMMYFUNCTION("""COMPUTED_VALUE"""),2021)</f>
        <v>2021</v>
      </c>
      <c r="C326" s="20" t="str">
        <f ca="1">IFERROR(__xludf.DUMMYFUNCTION("""COMPUTED_VALUE"""),"VIRTUAL")</f>
        <v>VIRTUAL</v>
      </c>
      <c r="D326" s="96">
        <f ca="1">IFERROR(__xludf.DUMMYFUNCTION("""COMPUTED_VALUE"""),44320)</f>
        <v>44320</v>
      </c>
      <c r="E326" s="20" t="str">
        <f ca="1">IFERROR(__xludf.DUMMYFUNCTION("""COMPUTED_VALUE"""),"NO")</f>
        <v>NO</v>
      </c>
      <c r="F326" s="20" t="str">
        <f ca="1">IFERROR(__xludf.DUMMYFUNCTION("""COMPUTED_VALUE"""),"DEPORTES Y RECREACIÓN")</f>
        <v>DEPORTES Y RECREACIÓN</v>
      </c>
      <c r="G326" s="20">
        <f ca="1">IFERROR(__xludf.DUMMYFUNCTION("""COMPUTED_VALUE"""),1)</f>
        <v>1</v>
      </c>
      <c r="H326" s="20">
        <f ca="1">IFERROR(__xludf.DUMMYFUNCTION("""COMPUTED_VALUE"""),1)</f>
        <v>1</v>
      </c>
      <c r="I326" s="20">
        <f ca="1">IFERROR(__xludf.DUMMYFUNCTION("""COMPUTED_VALUE"""),1)</f>
        <v>1</v>
      </c>
      <c r="J326" s="20" t="str">
        <f ca="1">IFERROR(__xludf.DUMMYFUNCTION("""COMPUTED_VALUE"""),"NA")</f>
        <v>NA</v>
      </c>
      <c r="K326" s="20" t="str">
        <f ca="1">IFERROR(__xludf.DUMMYFUNCTION("""COMPUTED_VALUE"""),"NA")</f>
        <v>NA</v>
      </c>
      <c r="L326" s="20" t="str">
        <f ca="1">IFERROR(__xludf.DUMMYFUNCTION("""COMPUTED_VALUE"""),"NA")</f>
        <v>NA</v>
      </c>
      <c r="M326" s="20" t="str">
        <f ca="1">IFERROR(__xludf.DUMMYFUNCTION("""COMPUTED_VALUE"""),"Anteproyecto Código de Convivencia Deportivo")</f>
        <v>Anteproyecto Código de Convivencia Deportivo</v>
      </c>
      <c r="N326" s="20" t="str">
        <f ca="1">IFERROR(__xludf.DUMMYFUNCTION("""COMPUTED_VALUE"""),"NA")</f>
        <v>NA</v>
      </c>
      <c r="O326" s="20" t="str">
        <f ca="1">IFERROR(__xludf.DUMMYFUNCTION("""COMPUTED_VALUE"""),"SI")</f>
        <v>SI</v>
      </c>
      <c r="P326" s="20">
        <f ca="1">IFERROR(__xludf.DUMMYFUNCTION("""COMPUTED_VALUE"""),1)</f>
        <v>1</v>
      </c>
      <c r="Q326" s="113" t="str">
        <f ca="1">IFERROR(__xludf.DUMMYFUNCTION("""COMPUTED_VALUE"""),"https://gld.legislaturacba.gob.ar/_cdd/api/Documento/descargar?guid=d747d798-e16b-47fe-ad0c-ece481340fc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v>
      </c>
      <c r="R326" s="113" t="str">
        <f ca="1">IFERROR(__xludf.DUMMYFUNCTION("""COMPUTED_VALUE"""),"https://www.youtube.com/watch?v=P6KXhreJH_g")</f>
        <v>https://www.youtube.com/watch?v=P6KXhreJH_g</v>
      </c>
      <c r="S326" s="113" t="str">
        <f ca="1">IFERROR(__xludf.DUMMYFUNCTION("""COMPUTED_VALUE"""),"https://gld.legislaturacba.gob.ar/Publics/Actas.aspx?id=QmOQjDADpv8=")</f>
        <v>https://gld.legislaturacba.gob.ar/Publics/Actas.aspx?id=QmOQjDADpv8=</v>
      </c>
      <c r="T326" s="99">
        <f t="shared" ca="1" si="0"/>
        <v>0</v>
      </c>
    </row>
    <row r="327" spans="1:20">
      <c r="A327" s="20">
        <f ca="1">IFERROR(__xludf.DUMMYFUNCTION("""COMPUTED_VALUE"""),89)</f>
        <v>89</v>
      </c>
      <c r="B327" s="20">
        <f ca="1">IFERROR(__xludf.DUMMYFUNCTION("""COMPUTED_VALUE"""),2021)</f>
        <v>2021</v>
      </c>
      <c r="C327" s="20" t="str">
        <f ca="1">IFERROR(__xludf.DUMMYFUNCTION("""COMPUTED_VALUE"""),"VIRTUAL")</f>
        <v>VIRTUAL</v>
      </c>
      <c r="D327" s="96">
        <f ca="1">IFERROR(__xludf.DUMMYFUNCTION("""COMPUTED_VALUE"""),44321)</f>
        <v>44321</v>
      </c>
      <c r="E327" s="20" t="str">
        <f ca="1">IFERROR(__xludf.DUMMYFUNCTION("""COMPUTED_VALUE"""),"SI")</f>
        <v>SI</v>
      </c>
      <c r="F327" s="20" t="str">
        <f ca="1">IFERROR(__xludf.DUMMYFUNCTION("""COMPUTED_VALUE"""),"LEGISLACIÓN GENERAL;PREVENCIÓN, TRATAMIENTO Y CONTROL DE LAS ADICCIONES;SALUD HUMANA")</f>
        <v>LEGISLACIÓN GENERAL;PREVENCIÓN, TRATAMIENTO Y CONTROL DE LAS ADICCIONES;SALUD HUMANA</v>
      </c>
      <c r="G327" s="20">
        <f ca="1">IFERROR(__xludf.DUMMYFUNCTION("""COMPUTED_VALUE"""),3)</f>
        <v>3</v>
      </c>
      <c r="H327" s="20">
        <f ca="1">IFERROR(__xludf.DUMMYFUNCTION("""COMPUTED_VALUE"""),3)</f>
        <v>3</v>
      </c>
      <c r="I327" s="20">
        <f ca="1">IFERROR(__xludf.DUMMYFUNCTION("""COMPUTED_VALUE"""),1)</f>
        <v>1</v>
      </c>
      <c r="J327" s="20" t="str">
        <f ca="1">IFERROR(__xludf.DUMMYFUNCTION("""COMPUTED_VALUE"""),"Ley")</f>
        <v>Ley</v>
      </c>
      <c r="K327" s="20">
        <f ca="1">IFERROR(__xludf.DUMMYFUNCTION("""COMPUTED_VALUE"""),32398)</f>
        <v>32398</v>
      </c>
      <c r="L327" s="20" t="str">
        <f ca="1">IFERROR(__xludf.DUMMYFUNCTION("""COMPUTED_VALUE"""),"Poder Ejecutivo Provincial")</f>
        <v>Poder Ejecutivo Provincial</v>
      </c>
      <c r="M327" s="20" t="str">
        <f ca="1">IFERROR(__xludf.DUMMYFUNCTION("""COMPUTED_VALUE"""),"Adhiriendo a las disposiciones de la Ley Nacional N° 27350 de uso medicinal de la planta de cannabis y sus derivados")</f>
        <v>Adhiriendo a las disposiciones de la Ley Nacional N° 27350 de uso medicinal de la planta de cannabis y sus derivados</v>
      </c>
      <c r="N327" s="20" t="str">
        <f ca="1">IFERROR(__xludf.DUMMYFUNCTION("""COMPUTED_VALUE"""),"SI")</f>
        <v>SI</v>
      </c>
      <c r="O327" s="20" t="str">
        <f ca="1">IFERROR(__xludf.DUMMYFUNCTION("""COMPUTED_VALUE"""),"NO")</f>
        <v>NO</v>
      </c>
      <c r="P327" s="20">
        <f ca="1">IFERROR(__xludf.DUMMYFUNCTION("""COMPUTED_VALUE"""),0)</f>
        <v>0</v>
      </c>
      <c r="Q327" s="113" t="str">
        <f ca="1">IFERROR(__xludf.DUMMYFUNCTION("""COMPUTED_VALUE"""),"https://gld.legislaturacba.gob.ar/_cdd/api/Documento/descargar?guid=58c1aabe-3171-4c10-86bf-08e1e926fd96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v>
      </c>
      <c r="R327" s="113" t="str">
        <f ca="1">IFERROR(__xludf.DUMMYFUNCTION("""COMPUTED_VALUE"""),"https://www.youtube.com/watch?v=ZX748qaI8so")</f>
        <v>https://www.youtube.com/watch?v=ZX748qaI8so</v>
      </c>
      <c r="S327" s="113" t="str">
        <f ca="1">IFERROR(__xludf.DUMMYFUNCTION("""COMPUTED_VALUE"""),"https://gld.legislaturacba.gob.ar/Publics/Actas.aspx?id=9fTB4fDGh98=;https://gld.legislaturacba.gob.ar/Publics/Actas.aspx?id=02cMHhIZHjY=;https://gld.legislaturacba.gob.ar/Publics/Actas.aspx?id=TQ0VOZYKfW0=")</f>
        <v>https://gld.legislaturacba.gob.ar/Publics/Actas.aspx?id=9fTB4fDGh98=;https://gld.legislaturacba.gob.ar/Publics/Actas.aspx?id=02cMHhIZHjY=;https://gld.legislaturacba.gob.ar/Publics/Actas.aspx?id=TQ0VOZYKfW0=</v>
      </c>
      <c r="T327" s="99">
        <f t="shared" ca="1" si="0"/>
        <v>0</v>
      </c>
    </row>
    <row r="328" spans="1:20">
      <c r="A328" s="20">
        <f ca="1">IFERROR(__xludf.DUMMYFUNCTION("""COMPUTED_VALUE"""),90)</f>
        <v>90</v>
      </c>
      <c r="B328" s="20">
        <f ca="1">IFERROR(__xludf.DUMMYFUNCTION("""COMPUTED_VALUE"""),2021)</f>
        <v>2021</v>
      </c>
      <c r="C328" s="20" t="str">
        <f ca="1">IFERROR(__xludf.DUMMYFUNCTION("""COMPUTED_VALUE"""),"VIRTUAL")</f>
        <v>VIRTUAL</v>
      </c>
      <c r="D328" s="96">
        <f ca="1">IFERROR(__xludf.DUMMYFUNCTION("""COMPUTED_VALUE"""),44322)</f>
        <v>44322</v>
      </c>
      <c r="E328" s="20" t="str">
        <f ca="1">IFERROR(__xludf.DUMMYFUNCTION("""COMPUTED_VALUE"""),"SI")</f>
        <v>SI</v>
      </c>
      <c r="F328" s="20" t="str">
        <f ca="1">IFERROR(__xludf.DUMMYFUNCTION("""COMPUTED_VALUE"""),"ECONOMÍA, PRESUPUESTO, GESTIÓN PÚBLICA E INNOVACIÓN;INDUSTRIA Y MINERÍA;PROMOCIÓN Y DESARROLLO DE ECONOMÍAS REGIONALES Y PYMES")</f>
        <v>ECONOMÍA, PRESUPUESTO, GESTIÓN PÚBLICA E INNOVACIÓN;INDUSTRIA Y MINERÍA;PROMOCIÓN Y DESARROLLO DE ECONOMÍAS REGIONALES Y PYMES</v>
      </c>
      <c r="G328" s="20">
        <f ca="1">IFERROR(__xludf.DUMMYFUNCTION("""COMPUTED_VALUE"""),3)</f>
        <v>3</v>
      </c>
      <c r="H328" s="20">
        <f ca="1">IFERROR(__xludf.DUMMYFUNCTION("""COMPUTED_VALUE"""),1)</f>
        <v>1</v>
      </c>
      <c r="I328" s="20">
        <f ca="1">IFERROR(__xludf.DUMMYFUNCTION("""COMPUTED_VALUE"""),1)</f>
        <v>1</v>
      </c>
      <c r="J328" s="20" t="str">
        <f ca="1">IFERROR(__xludf.DUMMYFUNCTION("""COMPUTED_VALUE"""),"NA")</f>
        <v>NA</v>
      </c>
      <c r="K328" s="20" t="str">
        <f ca="1">IFERROR(__xludf.DUMMYFUNCTION("""COMPUTED_VALUE"""),"NA")</f>
        <v>NA</v>
      </c>
      <c r="L328" s="20" t="str">
        <f ca="1">IFERROR(__xludf.DUMMYFUNCTION("""COMPUTED_VALUE"""),"NA")</f>
        <v>NA</v>
      </c>
      <c r="M328" s="20" t="str">
        <f ca="1">IFERROR(__xludf.DUMMYFUNCTION("""COMPUTED_VALUE"""),"Informe sobre el Consejo Consultivo del Régimen de Promoción de la Economía del Conocimiento (Ley N° 10649)")</f>
        <v>Informe sobre el Consejo Consultivo del Régimen de Promoción de la Economía del Conocimiento (Ley N° 10649)</v>
      </c>
      <c r="N328" s="20" t="str">
        <f ca="1">IFERROR(__xludf.DUMMYFUNCTION("""COMPUTED_VALUE"""),"NA")</f>
        <v>NA</v>
      </c>
      <c r="O328" s="20" t="str">
        <f ca="1">IFERROR(__xludf.DUMMYFUNCTION("""COMPUTED_VALUE"""),"SI")</f>
        <v>SI</v>
      </c>
      <c r="P328" s="20">
        <f ca="1">IFERROR(__xludf.DUMMYFUNCTION("""COMPUTED_VALUE"""),1)</f>
        <v>1</v>
      </c>
      <c r="Q328" s="113" t="str">
        <f ca="1">IFERROR(__xludf.DUMMYFUNCTION("""COMPUTED_VALUE"""),"https://gld.legislaturacba.gob.ar/_cdd/api/Documento/descargar?guid=9592e417-6eea-47af-8584-5028fe3f796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v>
      </c>
      <c r="R328" s="113" t="str">
        <f ca="1">IFERROR(__xludf.DUMMYFUNCTION("""COMPUTED_VALUE"""),"https://www.youtube.com/watch?v=Q9mMCl9k2-c")</f>
        <v>https://www.youtube.com/watch?v=Q9mMCl9k2-c</v>
      </c>
      <c r="S328" s="113" t="str">
        <f ca="1">IFERROR(__xludf.DUMMYFUNCTION("""COMPUTED_VALUE"""),"https://gld.legislaturacba.gob.ar/Publics/Actas.aspx?id=iG3-1t_wbxo=;https://gld.legislaturacba.gob.ar/Publics/Actas.aspx?id=69MnFF4iAqc=;https://gld.legislaturacba.gob.ar/Publics/Actas.aspx?id=l314TrmqjLI=")</f>
        <v>https://gld.legislaturacba.gob.ar/Publics/Actas.aspx?id=iG3-1t_wbxo=;https://gld.legislaturacba.gob.ar/Publics/Actas.aspx?id=69MnFF4iAqc=;https://gld.legislaturacba.gob.ar/Publics/Actas.aspx?id=l314TrmqjLI=</v>
      </c>
      <c r="T328" s="99">
        <f t="shared" ca="1" si="0"/>
        <v>0</v>
      </c>
    </row>
    <row r="329" spans="1:20">
      <c r="A329" s="20">
        <f ca="1">IFERROR(__xludf.DUMMYFUNCTION("""COMPUTED_VALUE"""),91)</f>
        <v>91</v>
      </c>
      <c r="B329" s="20">
        <f ca="1">IFERROR(__xludf.DUMMYFUNCTION("""COMPUTED_VALUE"""),2021)</f>
        <v>2021</v>
      </c>
      <c r="C329" s="20" t="str">
        <f ca="1">IFERROR(__xludf.DUMMYFUNCTION("""COMPUTED_VALUE"""),"VIRTUAL")</f>
        <v>VIRTUAL</v>
      </c>
      <c r="D329" s="96">
        <f ca="1">IFERROR(__xludf.DUMMYFUNCTION("""COMPUTED_VALUE"""),44322)</f>
        <v>44322</v>
      </c>
      <c r="E329" s="20" t="str">
        <f ca="1">IFERROR(__xludf.DUMMYFUNCTION("""COMPUTED_VALUE"""),"NO")</f>
        <v>NO</v>
      </c>
      <c r="F329" s="20" t="str">
        <f ca="1">IFERROR(__xludf.DUMMYFUNCTION("""COMPUTED_VALUE"""),"EDUCACIÓN, CULTURA, CIENCIA, TECNOLOGÍA E INFORMÁTICA")</f>
        <v>EDUCACIÓN, CULTURA, CIENCIA, TECNOLOGÍA E INFORMÁTICA</v>
      </c>
      <c r="G329" s="20">
        <f ca="1">IFERROR(__xludf.DUMMYFUNCTION("""COMPUTED_VALUE"""),1)</f>
        <v>1</v>
      </c>
      <c r="H329" s="20">
        <f ca="1">IFERROR(__xludf.DUMMYFUNCTION("""COMPUTED_VALUE"""),2)</f>
        <v>2</v>
      </c>
      <c r="I329" s="20">
        <f ca="1">IFERROR(__xludf.DUMMYFUNCTION("""COMPUTED_VALUE"""),1)</f>
        <v>1</v>
      </c>
      <c r="J329" s="20" t="str">
        <f ca="1">IFERROR(__xludf.DUMMYFUNCTION("""COMPUTED_VALUE"""),"Ley")</f>
        <v>Ley</v>
      </c>
      <c r="K329" s="20">
        <f ca="1">IFERROR(__xludf.DUMMYFUNCTION("""COMPUTED_VALUE"""),32472)</f>
        <v>32472</v>
      </c>
      <c r="L329" s="20" t="str">
        <f ca="1">IFERROR(__xludf.DUMMYFUNCTION("""COMPUTED_VALUE"""),"Poder Legislativo Provincial")</f>
        <v>Poder Legislativo Provincial</v>
      </c>
      <c r="M329" s="20" t="str">
        <f ca="1">IFERROR(__xludf.DUMMYFUNCTION("""COMPUTED_VALUE"""),"Estableciendo el 18 de Junio de cada año como Día Provincial de la Jota Cordobesa")</f>
        <v>Estableciendo el 18 de Junio de cada año como Día Provincial de la Jota Cordobesa</v>
      </c>
      <c r="N329" s="20" t="str">
        <f ca="1">IFERROR(__xludf.DUMMYFUNCTION("""COMPUTED_VALUE"""),"NO")</f>
        <v>NO</v>
      </c>
      <c r="O329" s="20" t="str">
        <f ca="1">IFERROR(__xludf.DUMMYFUNCTION("""COMPUTED_VALUE"""),"NO")</f>
        <v>NO</v>
      </c>
      <c r="P329" s="20">
        <f ca="1">IFERROR(__xludf.DUMMYFUNCTION("""COMPUTED_VALUE"""),0)</f>
        <v>0</v>
      </c>
      <c r="Q329" s="113" t="str">
        <f ca="1">IFERROR(__xludf.DUMMYFUNCTION("""COMPUTED_VALUE"""),"https://gld.legislaturacba.gob.ar/_cdd/api/Documento/descargar?guid=53e18f60-cf86-40c4-b554-0728b18e2d24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v>
      </c>
      <c r="R329" s="113" t="str">
        <f ca="1">IFERROR(__xludf.DUMMYFUNCTION("""COMPUTED_VALUE"""),"https://www.youtube.com/watch?v=oaBZUsu-7_s")</f>
        <v>https://www.youtube.com/watch?v=oaBZUsu-7_s</v>
      </c>
      <c r="S329" s="113" t="str">
        <f ca="1">IFERROR(__xludf.DUMMYFUNCTION("""COMPUTED_VALUE"""),"https://gld.legislaturacba.gob.ar/Publics/Actas.aspx?id=CisuF8bNJ_Q=")</f>
        <v>https://gld.legislaturacba.gob.ar/Publics/Actas.aspx?id=CisuF8bNJ_Q=</v>
      </c>
      <c r="T329" s="99">
        <f t="shared" ca="1" si="0"/>
        <v>0</v>
      </c>
    </row>
    <row r="330" spans="1:20">
      <c r="A330" s="20">
        <f ca="1">IFERROR(__xludf.DUMMYFUNCTION("""COMPUTED_VALUE"""),92)</f>
        <v>92</v>
      </c>
      <c r="B330" s="20">
        <f ca="1">IFERROR(__xludf.DUMMYFUNCTION("""COMPUTED_VALUE"""),2021)</f>
        <v>2021</v>
      </c>
      <c r="C330" s="20" t="str">
        <f ca="1">IFERROR(__xludf.DUMMYFUNCTION("""COMPUTED_VALUE"""),"VIRTUAL")</f>
        <v>VIRTUAL</v>
      </c>
      <c r="D330" s="96">
        <f ca="1">IFERROR(__xludf.DUMMYFUNCTION("""COMPUTED_VALUE"""),44322)</f>
        <v>44322</v>
      </c>
      <c r="E330" s="20" t="str">
        <f ca="1">IFERROR(__xludf.DUMMYFUNCTION("""COMPUTED_VALUE"""),"NO")</f>
        <v>NO</v>
      </c>
      <c r="F330" s="20" t="str">
        <f ca="1">IFERROR(__xludf.DUMMYFUNCTION("""COMPUTED_VALUE"""),"AMBIENTE")</f>
        <v>AMBIENTE</v>
      </c>
      <c r="G330" s="20">
        <f ca="1">IFERROR(__xludf.DUMMYFUNCTION("""COMPUTED_VALUE"""),1)</f>
        <v>1</v>
      </c>
      <c r="H330" s="20">
        <f ca="1">IFERROR(__xludf.DUMMYFUNCTION("""COMPUTED_VALUE"""),3)</f>
        <v>3</v>
      </c>
      <c r="I330" s="20">
        <f ca="1">IFERROR(__xludf.DUMMYFUNCTION("""COMPUTED_VALUE"""),1)</f>
        <v>1</v>
      </c>
      <c r="J330" s="20" t="str">
        <f ca="1">IFERROR(__xludf.DUMMYFUNCTION("""COMPUTED_VALUE"""),"Ley")</f>
        <v>Ley</v>
      </c>
      <c r="K330" s="20">
        <f ca="1">IFERROR(__xludf.DUMMYFUNCTION("""COMPUTED_VALUE"""),31811)</f>
        <v>31811</v>
      </c>
      <c r="L330" s="20" t="str">
        <f ca="1">IFERROR(__xludf.DUMMYFUNCTION("""COMPUTED_VALUE"""),"Poder Legislativo Provincial")</f>
        <v>Poder Legislativo Provincial</v>
      </c>
      <c r="M330"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30" s="20" t="str">
        <f ca="1">IFERROR(__xludf.DUMMYFUNCTION("""COMPUTED_VALUE"""),"NO")</f>
        <v>NO</v>
      </c>
      <c r="O330" s="20" t="str">
        <f ca="1">IFERROR(__xludf.DUMMYFUNCTION("""COMPUTED_VALUE"""),"SI")</f>
        <v>SI</v>
      </c>
      <c r="P330" s="20">
        <f ca="1">IFERROR(__xludf.DUMMYFUNCTION("""COMPUTED_VALUE"""),8)</f>
        <v>8</v>
      </c>
      <c r="Q330" s="113" t="str">
        <f ca="1">IFERROR(__xludf.DUMMYFUNCTION("""COMPUTED_VALUE"""),"https://gld.legislaturacba.gob.ar/_cdd/api/Documento/descargar?guid=d8c667a1-b08c-4004-8da0-3ae39ed78238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v>
      </c>
      <c r="R330" s="113" t="str">
        <f ca="1">IFERROR(__xludf.DUMMYFUNCTION("""COMPUTED_VALUE"""),"https://www.youtube.com/watch?v=XiOYPZA_jxg")</f>
        <v>https://www.youtube.com/watch?v=XiOYPZA_jxg</v>
      </c>
      <c r="S330" s="113" t="str">
        <f ca="1">IFERROR(__xludf.DUMMYFUNCTION("""COMPUTED_VALUE"""),"https://gld.legislaturacba.gob.ar/Publics/Actas.aspx?id=7LyYSUFO544=")</f>
        <v>https://gld.legislaturacba.gob.ar/Publics/Actas.aspx?id=7LyYSUFO544=</v>
      </c>
      <c r="T330" s="99">
        <f t="shared" ca="1" si="0"/>
        <v>0</v>
      </c>
    </row>
    <row r="331" spans="1:20">
      <c r="A331" s="20">
        <f ca="1">IFERROR(__xludf.DUMMYFUNCTION("""COMPUTED_VALUE"""),93)</f>
        <v>93</v>
      </c>
      <c r="B331" s="20">
        <f ca="1">IFERROR(__xludf.DUMMYFUNCTION("""COMPUTED_VALUE"""),2021)</f>
        <v>2021</v>
      </c>
      <c r="C331" s="20" t="str">
        <f ca="1">IFERROR(__xludf.DUMMYFUNCTION("""COMPUTED_VALUE"""),"VIRTUAL")</f>
        <v>VIRTUAL</v>
      </c>
      <c r="D331" s="96">
        <f ca="1">IFERROR(__xludf.DUMMYFUNCTION("""COMPUTED_VALUE"""),44327)</f>
        <v>44327</v>
      </c>
      <c r="E331" s="20" t="str">
        <f ca="1">IFERROR(__xludf.DUMMYFUNCTION("""COMPUTED_VALUE"""),"NO")</f>
        <v>NO</v>
      </c>
      <c r="F331" s="20" t="str">
        <f ca="1">IFERROR(__xludf.DUMMYFUNCTION("""COMPUTED_VALUE"""),"AGRICULTURA, GANADERÍA Y RECURSOS RENOVABLES")</f>
        <v>AGRICULTURA, GANADERÍA Y RECURSOS RENOVABLES</v>
      </c>
      <c r="G331" s="20">
        <f ca="1">IFERROR(__xludf.DUMMYFUNCTION("""COMPUTED_VALUE"""),1)</f>
        <v>1</v>
      </c>
      <c r="H331" s="20">
        <f ca="1">IFERROR(__xludf.DUMMYFUNCTION("""COMPUTED_VALUE"""),1)</f>
        <v>1</v>
      </c>
      <c r="I331" s="20">
        <f ca="1">IFERROR(__xludf.DUMMYFUNCTION("""COMPUTED_VALUE"""),1)</f>
        <v>1</v>
      </c>
      <c r="J331" s="20" t="str">
        <f ca="1">IFERROR(__xludf.DUMMYFUNCTION("""COMPUTED_VALUE"""),"NA")</f>
        <v>NA</v>
      </c>
      <c r="K331" s="20" t="str">
        <f ca="1">IFERROR(__xludf.DUMMYFUNCTION("""COMPUTED_VALUE"""),"NA")</f>
        <v>NA</v>
      </c>
      <c r="L331" s="20" t="str">
        <f ca="1">IFERROR(__xludf.DUMMYFUNCTION("""COMPUTED_VALUE"""),"NA")</f>
        <v>NA</v>
      </c>
      <c r="M331" s="20" t="str">
        <f ca="1">IFERROR(__xludf.DUMMYFUNCTION("""COMPUTED_VALUE"""),"Brindar respuesta a pedidos de informe existentes en la Comisión y comunicar las actividades programadas del Ministerio de Agricultura y Ganadería previstas para el año 2021")</f>
        <v>Brindar respuesta a pedidos de informe existentes en la Comisión y comunicar las actividades programadas del Ministerio de Agricultura y Ganadería previstas para el año 2021</v>
      </c>
      <c r="N331" s="20" t="str">
        <f ca="1">IFERROR(__xludf.DUMMYFUNCTION("""COMPUTED_VALUE"""),"NA")</f>
        <v>NA</v>
      </c>
      <c r="O331" s="20" t="str">
        <f ca="1">IFERROR(__xludf.DUMMYFUNCTION("""COMPUTED_VALUE"""),"SI")</f>
        <v>SI</v>
      </c>
      <c r="P331" s="20">
        <f ca="1">IFERROR(__xludf.DUMMYFUNCTION("""COMPUTED_VALUE"""),1)</f>
        <v>1</v>
      </c>
      <c r="Q331" s="113" t="str">
        <f ca="1">IFERROR(__xludf.DUMMYFUNCTION("""COMPUTED_VALUE"""),"https://gld.legislaturacba.gob.ar/_cdd/api/Documento/descargar?guid=3e9666b3-70c6-4c38-b245-f9278c1e5365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v>
      </c>
      <c r="R331" s="113" t="str">
        <f ca="1">IFERROR(__xludf.DUMMYFUNCTION("""COMPUTED_VALUE"""),"https://www.youtube.com/watch?v=LaH-cBur8W8")</f>
        <v>https://www.youtube.com/watch?v=LaH-cBur8W8</v>
      </c>
      <c r="S331" s="113" t="str">
        <f ca="1">IFERROR(__xludf.DUMMYFUNCTION("""COMPUTED_VALUE"""),"https://gld.legislaturacba.gob.ar/Publics/Actas.aspx?id=c2sy20-TxxE=")</f>
        <v>https://gld.legislaturacba.gob.ar/Publics/Actas.aspx?id=c2sy20-TxxE=</v>
      </c>
      <c r="T331" s="99">
        <f t="shared" ca="1" si="0"/>
        <v>0</v>
      </c>
    </row>
    <row r="332" spans="1:20">
      <c r="A332" s="20">
        <f ca="1">IFERROR(__xludf.DUMMYFUNCTION("""COMPUTED_VALUE"""),94)</f>
        <v>94</v>
      </c>
      <c r="B332" s="20">
        <f ca="1">IFERROR(__xludf.DUMMYFUNCTION("""COMPUTED_VALUE"""),2021)</f>
        <v>2021</v>
      </c>
      <c r="C332" s="20" t="str">
        <f ca="1">IFERROR(__xludf.DUMMYFUNCTION("""COMPUTED_VALUE"""),"VIRTUAL")</f>
        <v>VIRTUAL</v>
      </c>
      <c r="D332" s="96">
        <f ca="1">IFERROR(__xludf.DUMMYFUNCTION("""COMPUTED_VALUE"""),44327)</f>
        <v>44327</v>
      </c>
      <c r="E332" s="20" t="str">
        <f ca="1">IFERROR(__xludf.DUMMYFUNCTION("""COMPUTED_VALUE"""),"NO")</f>
        <v>NO</v>
      </c>
      <c r="F332" s="20" t="str">
        <f ca="1">IFERROR(__xludf.DUMMYFUNCTION("""COMPUTED_VALUE"""),"ASUNTOS INSTITUCIONALES, MUNICIPALES Y COMUNALES")</f>
        <v>ASUNTOS INSTITUCIONALES, MUNICIPALES Y COMUNALES</v>
      </c>
      <c r="G332" s="20">
        <f ca="1">IFERROR(__xludf.DUMMYFUNCTION("""COMPUTED_VALUE"""),1)</f>
        <v>1</v>
      </c>
      <c r="H332" s="20">
        <f ca="1">IFERROR(__xludf.DUMMYFUNCTION("""COMPUTED_VALUE"""),1)</f>
        <v>1</v>
      </c>
      <c r="I332" s="20">
        <f ca="1">IFERROR(__xludf.DUMMYFUNCTION("""COMPUTED_VALUE"""),1)</f>
        <v>1</v>
      </c>
      <c r="J332" s="20" t="str">
        <f ca="1">IFERROR(__xludf.DUMMYFUNCTION("""COMPUTED_VALUE"""),"Ley")</f>
        <v>Ley</v>
      </c>
      <c r="K332" s="20">
        <f ca="1">IFERROR(__xludf.DUMMYFUNCTION("""COMPUTED_VALUE"""),32726)</f>
        <v>32726</v>
      </c>
      <c r="L332" s="20" t="str">
        <f ca="1">IFERROR(__xludf.DUMMYFUNCTION("""COMPUTED_VALUE"""),"Poder Ejecutivo Provincial")</f>
        <v>Poder Ejecutivo Provincial</v>
      </c>
      <c r="M332" s="20" t="str">
        <f ca="1">IFERROR(__xludf.DUMMYFUNCTION("""COMPUTED_VALUE"""),"Modificando el radio municipal de la localidad de Despeñaderos, Departamento Santa Maria y en consecuencia el límite departamental entre los departamentos Santa María y Calamuchita")</f>
        <v>Modificando el radio municipal de la localidad de Despeñaderos, Departamento Santa Maria y en consecuencia el límite departamental entre los departamentos Santa María y Calamuchita</v>
      </c>
      <c r="N332" s="20" t="str">
        <f ca="1">IFERROR(__xludf.DUMMYFUNCTION("""COMPUTED_VALUE"""),"SI")</f>
        <v>SI</v>
      </c>
      <c r="O332" s="20" t="str">
        <f ca="1">IFERROR(__xludf.DUMMYFUNCTION("""COMPUTED_VALUE"""),"NO")</f>
        <v>NO</v>
      </c>
      <c r="P332" s="20">
        <f ca="1">IFERROR(__xludf.DUMMYFUNCTION("""COMPUTED_VALUE"""),0)</f>
        <v>0</v>
      </c>
      <c r="Q332" s="113" t="str">
        <f ca="1">IFERROR(__xludf.DUMMYFUNCTION("""COMPUTED_VALUE"""),"https://gld.legislaturacba.gob.ar/_cdd/api/Documento/descargar?guid=773d90fd-2795-48ad-9ef1-7ec25172c29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v>
      </c>
      <c r="R332" s="113" t="str">
        <f ca="1">IFERROR(__xludf.DUMMYFUNCTION("""COMPUTED_VALUE"""),"https://www.youtube.com/watch?v=H_zet5Ehoyc&amp;t")</f>
        <v>https://www.youtube.com/watch?v=H_zet5Ehoyc&amp;t</v>
      </c>
      <c r="S332" s="113" t="str">
        <f ca="1">IFERROR(__xludf.DUMMYFUNCTION("""COMPUTED_VALUE"""),"https://gld.legislaturacba.gob.ar/Publics/Actas.aspx?id=Jbxxo5bUc3s=")</f>
        <v>https://gld.legislaturacba.gob.ar/Publics/Actas.aspx?id=Jbxxo5bUc3s=</v>
      </c>
      <c r="T332" s="99">
        <f t="shared" ca="1" si="0"/>
        <v>0</v>
      </c>
    </row>
    <row r="333" spans="1:20">
      <c r="A333" s="20">
        <f ca="1">IFERROR(__xludf.DUMMYFUNCTION("""COMPUTED_VALUE"""),95)</f>
        <v>95</v>
      </c>
      <c r="B333" s="20">
        <f ca="1">IFERROR(__xludf.DUMMYFUNCTION("""COMPUTED_VALUE"""),2021)</f>
        <v>2021</v>
      </c>
      <c r="C333" s="20" t="str">
        <f ca="1">IFERROR(__xludf.DUMMYFUNCTION("""COMPUTED_VALUE"""),"VIRTUAL")</f>
        <v>VIRTUAL</v>
      </c>
      <c r="D333" s="96">
        <f ca="1">IFERROR(__xludf.DUMMYFUNCTION("""COMPUTED_VALUE"""),44327)</f>
        <v>44327</v>
      </c>
      <c r="E333" s="20" t="str">
        <f ca="1">IFERROR(__xludf.DUMMYFUNCTION("""COMPUTED_VALUE"""),"NO")</f>
        <v>NO</v>
      </c>
      <c r="F333" s="20" t="str">
        <f ca="1">IFERROR(__xludf.DUMMYFUNCTION("""COMPUTED_VALUE"""),"ASUNTOS CONSTITUCIONALES, JUSTICIA Y ACUERDOS")</f>
        <v>ASUNTOS CONSTITUCIONALES, JUSTICIA Y ACUERDOS</v>
      </c>
      <c r="G333" s="20">
        <f ca="1">IFERROR(__xludf.DUMMYFUNCTION("""COMPUTED_VALUE"""),1)</f>
        <v>1</v>
      </c>
      <c r="H333" s="20">
        <f ca="1">IFERROR(__xludf.DUMMYFUNCTION("""COMPUTED_VALUE"""),3)</f>
        <v>3</v>
      </c>
      <c r="I333" s="20">
        <f ca="1">IFERROR(__xludf.DUMMYFUNCTION("""COMPUTED_VALUE"""),1)</f>
        <v>1</v>
      </c>
      <c r="J333" s="20" t="str">
        <f ca="1">IFERROR(__xludf.DUMMYFUNCTION("""COMPUTED_VALUE"""),"Pliego")</f>
        <v>Pliego</v>
      </c>
      <c r="K333" s="20">
        <f ca="1">IFERROR(__xludf.DUMMYFUNCTION("""COMPUTED_VALUE"""),32668)</f>
        <v>32668</v>
      </c>
      <c r="L333" s="20" t="str">
        <f ca="1">IFERROR(__xludf.DUMMYFUNCTION("""COMPUTED_VALUE"""),"Poder Ejecutivo Provincial")</f>
        <v>Poder Ejecutivo Provincial</v>
      </c>
      <c r="M333" s="20" t="str">
        <f ca="1">IFERROR(__xludf.DUMMYFUNCTION("""COMPUTED_VALUE"""),"Pliego, remitido por el Poder Ejecutivo, solicitando acuerdo para designar al abogado Luis Edgard Belitzky Juez de Primera Instancia en lo Civil y Comercial, Conciliación y Familia de Primera Nominación de la Primera Circunscripción Judicial con asiento e"&amp;"n la ciudad de Jesús María")</f>
        <v>Pliego, remitido por el Poder Ejecutivo, solicitando acuerdo para designar al abogado Luis Edgard Belitzky Juez de Primera Instancia en lo Civil y Comercial, Conciliación y Familia de Primera Nominación de la Primera Circunscripción Judicial con asiento en la ciudad de Jesús María</v>
      </c>
      <c r="N333" s="20" t="str">
        <f ca="1">IFERROR(__xludf.DUMMYFUNCTION("""COMPUTED_VALUE"""),"SI")</f>
        <v>SI</v>
      </c>
      <c r="O333" s="20" t="str">
        <f ca="1">IFERROR(__xludf.DUMMYFUNCTION("""COMPUTED_VALUE"""),"NO")</f>
        <v>NO</v>
      </c>
      <c r="P333" s="20">
        <f ca="1">IFERROR(__xludf.DUMMYFUNCTION("""COMPUTED_VALUE"""),0)</f>
        <v>0</v>
      </c>
      <c r="Q333" s="113" t="str">
        <f ca="1">IFERROR(__xludf.DUMMYFUNCTION("""COMPUTED_VALUE"""),"https://gld.legislaturacba.gob.ar/_cdd/api/Documento/descargar?guid=a0ee56a7-ce98-44b6-9518-a50b96767b1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v>
      </c>
      <c r="R333" s="113" t="str">
        <f ca="1">IFERROR(__xludf.DUMMYFUNCTION("""COMPUTED_VALUE"""),"https://www.youtube.com/watch?v=J5md5YQNBGM")</f>
        <v>https://www.youtube.com/watch?v=J5md5YQNBGM</v>
      </c>
      <c r="S333" s="113" t="str">
        <f ca="1">IFERROR(__xludf.DUMMYFUNCTION("""COMPUTED_VALUE"""),"https://gld.legislaturacba.gob.ar/Publics/Actas.aspx?id=8sXuhTUWCtU=")</f>
        <v>https://gld.legislaturacba.gob.ar/Publics/Actas.aspx?id=8sXuhTUWCtU=</v>
      </c>
      <c r="T333" s="99">
        <f t="shared" ca="1" si="0"/>
        <v>0</v>
      </c>
    </row>
    <row r="334" spans="1:20">
      <c r="A334" s="20">
        <f ca="1">IFERROR(__xludf.DUMMYFUNCTION("""COMPUTED_VALUE"""),96)</f>
        <v>96</v>
      </c>
      <c r="B334" s="20">
        <f ca="1">IFERROR(__xludf.DUMMYFUNCTION("""COMPUTED_VALUE"""),2021)</f>
        <v>2021</v>
      </c>
      <c r="C334" s="20" t="str">
        <f ca="1">IFERROR(__xludf.DUMMYFUNCTION("""COMPUTED_VALUE"""),"VIRTUAL")</f>
        <v>VIRTUAL</v>
      </c>
      <c r="D334" s="96">
        <f ca="1">IFERROR(__xludf.DUMMYFUNCTION("""COMPUTED_VALUE"""),44329)</f>
        <v>44329</v>
      </c>
      <c r="E334" s="20" t="str">
        <f ca="1">IFERROR(__xludf.DUMMYFUNCTION("""COMPUTED_VALUE"""),"SI")</f>
        <v>SI</v>
      </c>
      <c r="F334" s="20" t="str">
        <f ca="1">IFERROR(__xludf.DUMMYFUNCTION("""COMPUTED_VALUE"""),"EQUIDAD Y LUCHA CONTRA LA VIOLENCIA DE GÉNERO;TURISMO Y SU RELACIÓN CON EL DESARROLLO REGIONAL")</f>
        <v>EQUIDAD Y LUCHA CONTRA LA VIOLENCIA DE GÉNERO;TURISMO Y SU RELACIÓN CON EL DESARROLLO REGIONAL</v>
      </c>
      <c r="G334" s="20">
        <f ca="1">IFERROR(__xludf.DUMMYFUNCTION("""COMPUTED_VALUE"""),2)</f>
        <v>2</v>
      </c>
      <c r="H334" s="20">
        <f ca="1">IFERROR(__xludf.DUMMYFUNCTION("""COMPUTED_VALUE"""),1)</f>
        <v>1</v>
      </c>
      <c r="I334" s="20">
        <f ca="1">IFERROR(__xludf.DUMMYFUNCTION("""COMPUTED_VALUE"""),1)</f>
        <v>1</v>
      </c>
      <c r="J334" s="20" t="str">
        <f ca="1">IFERROR(__xludf.DUMMYFUNCTION("""COMPUTED_VALUE"""),"NA")</f>
        <v>NA</v>
      </c>
      <c r="K334" s="20" t="str">
        <f ca="1">IFERROR(__xludf.DUMMYFUNCTION("""COMPUTED_VALUE"""),"NA")</f>
        <v>NA</v>
      </c>
      <c r="L334" s="20" t="str">
        <f ca="1">IFERROR(__xludf.DUMMYFUNCTION("""COMPUTED_VALUE"""),"NA")</f>
        <v>NA</v>
      </c>
      <c r="M334" s="20" t="str">
        <f ca="1">IFERROR(__xludf.DUMMYFUNCTION("""COMPUTED_VALUE"""),"Mujeres operadoras de distintos sectores de la actividad turistica")</f>
        <v>Mujeres operadoras de distintos sectores de la actividad turistica</v>
      </c>
      <c r="N334" s="20" t="str">
        <f ca="1">IFERROR(__xludf.DUMMYFUNCTION("""COMPUTED_VALUE"""),"NA")</f>
        <v>NA</v>
      </c>
      <c r="O334" s="20" t="str">
        <f ca="1">IFERROR(__xludf.DUMMYFUNCTION("""COMPUTED_VALUE"""),"SI")</f>
        <v>SI</v>
      </c>
      <c r="P334" s="20">
        <f ca="1">IFERROR(__xludf.DUMMYFUNCTION("""COMPUTED_VALUE"""),6)</f>
        <v>6</v>
      </c>
      <c r="Q334" s="113" t="str">
        <f ca="1">IFERROR(__xludf.DUMMYFUNCTION("""COMPUTED_VALUE"""),"https://gld.legislaturacba.gob.ar/_cdd/api/Documento/descargar?guid=e3911fab-76d9-4452-ba04-b899d6f95a13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v>
      </c>
      <c r="R334" s="113" t="str">
        <f ca="1">IFERROR(__xludf.DUMMYFUNCTION("""COMPUTED_VALUE"""),"https://www.youtube.com/watch?v=hVHDGGx3SLU")</f>
        <v>https://www.youtube.com/watch?v=hVHDGGx3SLU</v>
      </c>
      <c r="S334" s="113" t="str">
        <f ca="1">IFERROR(__xludf.DUMMYFUNCTION("""COMPUTED_VALUE"""),"https://gld.legislaturacba.gob.ar/Publics/Actas.aspx?id=4uhqqiSZEQY=;https://gld.legislaturacba.gob.ar/Publics/Actas.aspx?id=nzR3oamYFuw=")</f>
        <v>https://gld.legislaturacba.gob.ar/Publics/Actas.aspx?id=4uhqqiSZEQY=;https://gld.legislaturacba.gob.ar/Publics/Actas.aspx?id=nzR3oamYFuw=</v>
      </c>
      <c r="T334" s="99">
        <f t="shared" ca="1" si="0"/>
        <v>0</v>
      </c>
    </row>
    <row r="335" spans="1:20">
      <c r="A335" s="20">
        <f ca="1">IFERROR(__xludf.DUMMYFUNCTION("""COMPUTED_VALUE"""),97)</f>
        <v>97</v>
      </c>
      <c r="B335" s="20">
        <f ca="1">IFERROR(__xludf.DUMMYFUNCTION("""COMPUTED_VALUE"""),2021)</f>
        <v>2021</v>
      </c>
      <c r="C335" s="20" t="str">
        <f ca="1">IFERROR(__xludf.DUMMYFUNCTION("""COMPUTED_VALUE"""),"VIRTUAL")</f>
        <v>VIRTUAL</v>
      </c>
      <c r="D335" s="96">
        <f ca="1">IFERROR(__xludf.DUMMYFUNCTION("""COMPUTED_VALUE"""),44329)</f>
        <v>44329</v>
      </c>
      <c r="E335" s="20" t="str">
        <f ca="1">IFERROR(__xludf.DUMMYFUNCTION("""COMPUTED_VALUE"""),"NO")</f>
        <v>NO</v>
      </c>
      <c r="F335" s="20" t="str">
        <f ca="1">IFERROR(__xludf.DUMMYFUNCTION("""COMPUTED_VALUE"""),"DERECHOS HUMANOS Y DESARROLLO SOCIAL")</f>
        <v>DERECHOS HUMANOS Y DESARROLLO SOCIAL</v>
      </c>
      <c r="G335" s="20">
        <f ca="1">IFERROR(__xludf.DUMMYFUNCTION("""COMPUTED_VALUE"""),1)</f>
        <v>1</v>
      </c>
      <c r="H335" s="20">
        <f ca="1">IFERROR(__xludf.DUMMYFUNCTION("""COMPUTED_VALUE"""),2)</f>
        <v>2</v>
      </c>
      <c r="I335" s="20">
        <f ca="1">IFERROR(__xludf.DUMMYFUNCTION("""COMPUTED_VALUE"""),1)</f>
        <v>1</v>
      </c>
      <c r="J335" s="20" t="str">
        <f ca="1">IFERROR(__xludf.DUMMYFUNCTION("""COMPUTED_VALUE"""),"NA")</f>
        <v>NA</v>
      </c>
      <c r="K335" s="20" t="str">
        <f ca="1">IFERROR(__xludf.DUMMYFUNCTION("""COMPUTED_VALUE"""),"NA")</f>
        <v>NA</v>
      </c>
      <c r="L335" s="20" t="str">
        <f ca="1">IFERROR(__xludf.DUMMYFUNCTION("""COMPUTED_VALUE"""),"NA")</f>
        <v>NA</v>
      </c>
      <c r="M335" s="20" t="str">
        <f ca="1">IFERROR(__xludf.DUMMYFUNCTION("""COMPUTED_VALUE"""),"Propuesta de suspensión de la protección de los derechos de propiedad intelectual de productos médicos, inclusive las vacunas, necesarios para la prevención y tratamiento del COVID-19. Análisis de antecedentes similares y proyecciones del proceso de vacun"&amp;"ación en el escenario mundial y regional")</f>
        <v>Propuesta de suspensión de la protección de los derechos de propiedad intelectual de productos médicos, inclusive las vacunas, necesarios para la prevención y tratamiento del COVID-19. Análisis de antecedentes similares y proyecciones del proceso de vacunación en el escenario mundial y regional</v>
      </c>
      <c r="N335" s="20" t="str">
        <f ca="1">IFERROR(__xludf.DUMMYFUNCTION("""COMPUTED_VALUE"""),"NA")</f>
        <v>NA</v>
      </c>
      <c r="O335" s="20" t="str">
        <f ca="1">IFERROR(__xludf.DUMMYFUNCTION("""COMPUTED_VALUE"""),"SI")</f>
        <v>SI</v>
      </c>
      <c r="P335" s="20">
        <f ca="1">IFERROR(__xludf.DUMMYFUNCTION("""COMPUTED_VALUE"""),1)</f>
        <v>1</v>
      </c>
      <c r="Q335" s="113" t="str">
        <f ca="1">IFERROR(__xludf.DUMMYFUNCTION("""COMPUTED_VALUE"""),"https://gld.legislaturacba.gob.ar/_cdd/api/Documento/descargar?guid=11748caa-deaa-4f14-a7a1-2cabd2dac448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v>
      </c>
      <c r="R335" s="113" t="str">
        <f ca="1">IFERROR(__xludf.DUMMYFUNCTION("""COMPUTED_VALUE"""),"https://www.youtube.com/watch?v=78hWTluA1AM")</f>
        <v>https://www.youtube.com/watch?v=78hWTluA1AM</v>
      </c>
      <c r="S335" s="113" t="str">
        <f ca="1">IFERROR(__xludf.DUMMYFUNCTION("""COMPUTED_VALUE"""),"https://gld.legislaturacba.gob.ar/Publics/Actas.aspx?id=YKFZbA3sJvU=")</f>
        <v>https://gld.legislaturacba.gob.ar/Publics/Actas.aspx?id=YKFZbA3sJvU=</v>
      </c>
      <c r="T335" s="99">
        <f t="shared" ca="1" si="0"/>
        <v>0</v>
      </c>
    </row>
    <row r="336" spans="1:20">
      <c r="A336" s="20">
        <f ca="1">IFERROR(__xludf.DUMMYFUNCTION("""COMPUTED_VALUE"""),98)</f>
        <v>98</v>
      </c>
      <c r="B336" s="20">
        <f ca="1">IFERROR(__xludf.DUMMYFUNCTION("""COMPUTED_VALUE"""),2021)</f>
        <v>2021</v>
      </c>
      <c r="C336" s="20" t="str">
        <f ca="1">IFERROR(__xludf.DUMMYFUNCTION("""COMPUTED_VALUE"""),"VIRTUAL")</f>
        <v>VIRTUAL</v>
      </c>
      <c r="D336" s="96">
        <f ca="1">IFERROR(__xludf.DUMMYFUNCTION("""COMPUTED_VALUE"""),44329)</f>
        <v>44329</v>
      </c>
      <c r="E336" s="20" t="str">
        <f ca="1">IFERROR(__xludf.DUMMYFUNCTION("""COMPUTED_VALUE"""),"NO")</f>
        <v>NO</v>
      </c>
      <c r="F336" s="20" t="str">
        <f ca="1">IFERROR(__xludf.DUMMYFUNCTION("""COMPUTED_VALUE"""),"AMBIENTE")</f>
        <v>AMBIENTE</v>
      </c>
      <c r="G336" s="20">
        <f ca="1">IFERROR(__xludf.DUMMYFUNCTION("""COMPUTED_VALUE"""),1)</f>
        <v>1</v>
      </c>
      <c r="H336" s="20">
        <f ca="1">IFERROR(__xludf.DUMMYFUNCTION("""COMPUTED_VALUE"""),3)</f>
        <v>3</v>
      </c>
      <c r="I336" s="20">
        <f ca="1">IFERROR(__xludf.DUMMYFUNCTION("""COMPUTED_VALUE"""),1)</f>
        <v>1</v>
      </c>
      <c r="J336" s="20" t="str">
        <f ca="1">IFERROR(__xludf.DUMMYFUNCTION("""COMPUTED_VALUE"""),"Ley")</f>
        <v>Ley</v>
      </c>
      <c r="K336" s="20">
        <f ca="1">IFERROR(__xludf.DUMMYFUNCTION("""COMPUTED_VALUE"""),31811)</f>
        <v>31811</v>
      </c>
      <c r="L336" s="20" t="str">
        <f ca="1">IFERROR(__xludf.DUMMYFUNCTION("""COMPUTED_VALUE"""),"Poder Legislativo Provincial")</f>
        <v>Poder Legislativo Provincial</v>
      </c>
      <c r="M336"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36" s="20" t="str">
        <f ca="1">IFERROR(__xludf.DUMMYFUNCTION("""COMPUTED_VALUE"""),"NO")</f>
        <v>NO</v>
      </c>
      <c r="O336" s="20" t="str">
        <f ca="1">IFERROR(__xludf.DUMMYFUNCTION("""COMPUTED_VALUE"""),"NO")</f>
        <v>NO</v>
      </c>
      <c r="P336" s="20">
        <f ca="1">IFERROR(__xludf.DUMMYFUNCTION("""COMPUTED_VALUE"""),0)</f>
        <v>0</v>
      </c>
      <c r="Q336" s="113" t="str">
        <f ca="1">IFERROR(__xludf.DUMMYFUNCTION("""COMPUTED_VALUE"""),"https://gld.legislaturacba.gob.ar/_cdd/api/Documento/descargar?guid=52856ee5-09ef-4132-970e-ee160dee2ab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v>
      </c>
      <c r="R336" s="113" t="str">
        <f ca="1">IFERROR(__xludf.DUMMYFUNCTION("""COMPUTED_VALUE"""),"https://www.youtube.com/watch?v=xq5VKCXjp8s")</f>
        <v>https://www.youtube.com/watch?v=xq5VKCXjp8s</v>
      </c>
      <c r="S336" s="113" t="str">
        <f ca="1">IFERROR(__xludf.DUMMYFUNCTION("""COMPUTED_VALUE"""),"https://gld.legislaturacba.gob.ar/Publics/Actas.aspx?id=eaEIQ6Z2JKY=")</f>
        <v>https://gld.legislaturacba.gob.ar/Publics/Actas.aspx?id=eaEIQ6Z2JKY=</v>
      </c>
      <c r="T336" s="99">
        <f t="shared" ca="1" si="0"/>
        <v>0</v>
      </c>
    </row>
    <row r="337" spans="1:20">
      <c r="A337" s="20">
        <f ca="1">IFERROR(__xludf.DUMMYFUNCTION("""COMPUTED_VALUE"""),99)</f>
        <v>99</v>
      </c>
      <c r="B337" s="20">
        <f ca="1">IFERROR(__xludf.DUMMYFUNCTION("""COMPUTED_VALUE"""),2021)</f>
        <v>2021</v>
      </c>
      <c r="C337" s="20" t="str">
        <f ca="1">IFERROR(__xludf.DUMMYFUNCTION("""COMPUTED_VALUE"""),"VIRTUAL")</f>
        <v>VIRTUAL</v>
      </c>
      <c r="D337" s="96">
        <f ca="1">IFERROR(__xludf.DUMMYFUNCTION("""COMPUTED_VALUE"""),44329)</f>
        <v>44329</v>
      </c>
      <c r="E337" s="20" t="str">
        <f ca="1">IFERROR(__xludf.DUMMYFUNCTION("""COMPUTED_VALUE"""),"NO")</f>
        <v>NO</v>
      </c>
      <c r="F337" s="20" t="str">
        <f ca="1">IFERROR(__xludf.DUMMYFUNCTION("""COMPUTED_VALUE"""),"ASUNTOS CONSTITUCIONALES, JUSTICIA Y ACUERDOS")</f>
        <v>ASUNTOS CONSTITUCIONALES, JUSTICIA Y ACUERDOS</v>
      </c>
      <c r="G337" s="20">
        <f ca="1">IFERROR(__xludf.DUMMYFUNCTION("""COMPUTED_VALUE"""),1)</f>
        <v>1</v>
      </c>
      <c r="H337" s="20">
        <f ca="1">IFERROR(__xludf.DUMMYFUNCTION("""COMPUTED_VALUE"""),1)</f>
        <v>1</v>
      </c>
      <c r="I337" s="20">
        <f ca="1">IFERROR(__xludf.DUMMYFUNCTION("""COMPUTED_VALUE"""),1)</f>
        <v>1</v>
      </c>
      <c r="J337" s="20" t="str">
        <f ca="1">IFERROR(__xludf.DUMMYFUNCTION("""COMPUTED_VALUE"""),"Nota")</f>
        <v>Nota</v>
      </c>
      <c r="K337" s="20">
        <f ca="1">IFERROR(__xludf.DUMMYFUNCTION("""COMPUTED_VALUE"""),32805)</f>
        <v>32805</v>
      </c>
      <c r="L337" s="20" t="str">
        <f ca="1">IFERROR(__xludf.DUMMYFUNCTION("""COMPUTED_VALUE"""),"Ciudadanía")</f>
        <v>Ciudadanía</v>
      </c>
      <c r="M337" s="20" t="str">
        <f ca="1">IFERROR(__xludf.DUMMYFUNCTION("""COMPUTED_VALUE"""),"Solicitando juicio político al Vicegobernador de la Provincia de Córdoba Ctdor. Manuel Calvo")</f>
        <v>Solicitando juicio político al Vicegobernador de la Provincia de Córdoba Ctdor. Manuel Calvo</v>
      </c>
      <c r="N337" s="20" t="str">
        <f ca="1">IFERROR(__xludf.DUMMYFUNCTION("""COMPUTED_VALUE"""),"SI")</f>
        <v>SI</v>
      </c>
      <c r="O337" s="20" t="str">
        <f ca="1">IFERROR(__xludf.DUMMYFUNCTION("""COMPUTED_VALUE"""),"NO")</f>
        <v>NO</v>
      </c>
      <c r="P337" s="20">
        <f ca="1">IFERROR(__xludf.DUMMYFUNCTION("""COMPUTED_VALUE"""),0)</f>
        <v>0</v>
      </c>
      <c r="Q337" s="113" t="str">
        <f ca="1">IFERROR(__xludf.DUMMYFUNCTION("""COMPUTED_VALUE"""),"https://gld.legislaturacba.gob.ar/_cdd/api/Documento/descargar?guid=16bce9d5-3da7-49e4-b004-e2d22000c271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v>
      </c>
      <c r="R337" s="113" t="str">
        <f ca="1">IFERROR(__xludf.DUMMYFUNCTION("""COMPUTED_VALUE"""),"https://www.youtube.com/watch?v=4vq6tw2gLJg")</f>
        <v>https://www.youtube.com/watch?v=4vq6tw2gLJg</v>
      </c>
      <c r="S337" s="113" t="str">
        <f ca="1">IFERROR(__xludf.DUMMYFUNCTION("""COMPUTED_VALUE"""),"https://gld.legislaturacba.gob.ar/Publics/Actas.aspx?id=rX_ETWh42s8=")</f>
        <v>https://gld.legislaturacba.gob.ar/Publics/Actas.aspx?id=rX_ETWh42s8=</v>
      </c>
      <c r="T337" s="99">
        <f t="shared" ca="1" si="0"/>
        <v>0</v>
      </c>
    </row>
    <row r="338" spans="1:20">
      <c r="A338" s="20">
        <f ca="1">IFERROR(__xludf.DUMMYFUNCTION("""COMPUTED_VALUE"""),100)</f>
        <v>100</v>
      </c>
      <c r="B338" s="20">
        <f ca="1">IFERROR(__xludf.DUMMYFUNCTION("""COMPUTED_VALUE"""),2021)</f>
        <v>2021</v>
      </c>
      <c r="C338" s="20" t="str">
        <f ca="1">IFERROR(__xludf.DUMMYFUNCTION("""COMPUTED_VALUE"""),"VIRTUAL")</f>
        <v>VIRTUAL</v>
      </c>
      <c r="D338" s="96">
        <f ca="1">IFERROR(__xludf.DUMMYFUNCTION("""COMPUTED_VALUE"""),44334)</f>
        <v>44334</v>
      </c>
      <c r="E338" s="20" t="str">
        <f ca="1">IFERROR(__xludf.DUMMYFUNCTION("""COMPUTED_VALUE"""),"NO")</f>
        <v>NO</v>
      </c>
      <c r="F338" s="20" t="str">
        <f ca="1">IFERROR(__xludf.DUMMYFUNCTION("""COMPUTED_VALUE"""),"ECONOMÍA SOCIAL, COOPERATIVAS Y MUTUALES")</f>
        <v>ECONOMÍA SOCIAL, COOPERATIVAS Y MUTUALES</v>
      </c>
      <c r="G338" s="20">
        <f ca="1">IFERROR(__xludf.DUMMYFUNCTION("""COMPUTED_VALUE"""),1)</f>
        <v>1</v>
      </c>
      <c r="H338" s="20">
        <f ca="1">IFERROR(__xludf.DUMMYFUNCTION("""COMPUTED_VALUE"""),1)</f>
        <v>1</v>
      </c>
      <c r="I338" s="20">
        <f ca="1">IFERROR(__xludf.DUMMYFUNCTION("""COMPUTED_VALUE"""),1)</f>
        <v>1</v>
      </c>
      <c r="J338" s="20" t="str">
        <f ca="1">IFERROR(__xludf.DUMMYFUNCTION("""COMPUTED_VALUE"""),"NA")</f>
        <v>NA</v>
      </c>
      <c r="K338" s="20" t="str">
        <f ca="1">IFERROR(__xludf.DUMMYFUNCTION("""COMPUTED_VALUE"""),"NA")</f>
        <v>NA</v>
      </c>
      <c r="L338" s="20" t="str">
        <f ca="1">IFERROR(__xludf.DUMMYFUNCTION("""COMPUTED_VALUE"""),"NA")</f>
        <v>NA</v>
      </c>
      <c r="M338" s="20" t="str">
        <f ca="1">IFERROR(__xludf.DUMMYFUNCTION("""COMPUTED_VALUE"""),"Monedas virtuales creadas por cooperativas, con el fin de intercambiar productos y servicios entre productores y consumidores")</f>
        <v>Monedas virtuales creadas por cooperativas, con el fin de intercambiar productos y servicios entre productores y consumidores</v>
      </c>
      <c r="N338" s="20" t="str">
        <f ca="1">IFERROR(__xludf.DUMMYFUNCTION("""COMPUTED_VALUE"""),"NA")</f>
        <v>NA</v>
      </c>
      <c r="O338" s="20" t="str">
        <f ca="1">IFERROR(__xludf.DUMMYFUNCTION("""COMPUTED_VALUE"""),"NO")</f>
        <v>NO</v>
      </c>
      <c r="P338" s="20">
        <f ca="1">IFERROR(__xludf.DUMMYFUNCTION("""COMPUTED_VALUE"""),0)</f>
        <v>0</v>
      </c>
      <c r="Q338" s="113" t="str">
        <f ca="1">IFERROR(__xludf.DUMMYFUNCTION("""COMPUTED_VALUE"""),"https://gld.legislaturacba.gob.ar/_cdd/api/Documento/descargar?guid=92922642-88dc-4a75-9cf4-8cdbaff346b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v>
      </c>
      <c r="R338" s="113" t="str">
        <f ca="1">IFERROR(__xludf.DUMMYFUNCTION("""COMPUTED_VALUE"""),"https://www.youtube.com/watch?v=e70yOiW7dGE")</f>
        <v>https://www.youtube.com/watch?v=e70yOiW7dGE</v>
      </c>
      <c r="S338" s="113" t="str">
        <f ca="1">IFERROR(__xludf.DUMMYFUNCTION("""COMPUTED_VALUE"""),"https://gld.legislaturacba.gob.ar/Publics/Actas.aspx?id=itqRWHlE_eM=")</f>
        <v>https://gld.legislaturacba.gob.ar/Publics/Actas.aspx?id=itqRWHlE_eM=</v>
      </c>
      <c r="T338" s="99">
        <f t="shared" ca="1" si="0"/>
        <v>0</v>
      </c>
    </row>
    <row r="339" spans="1:20">
      <c r="A339" s="20">
        <f ca="1">IFERROR(__xludf.DUMMYFUNCTION("""COMPUTED_VALUE"""),101)</f>
        <v>101</v>
      </c>
      <c r="B339" s="20">
        <f ca="1">IFERROR(__xludf.DUMMYFUNCTION("""COMPUTED_VALUE"""),2021)</f>
        <v>2021</v>
      </c>
      <c r="C339" s="20" t="str">
        <f ca="1">IFERROR(__xludf.DUMMYFUNCTION("""COMPUTED_VALUE"""),"VIRTUAL")</f>
        <v>VIRTUAL</v>
      </c>
      <c r="D339" s="96">
        <f ca="1">IFERROR(__xludf.DUMMYFUNCTION("""COMPUTED_VALUE"""),44334)</f>
        <v>44334</v>
      </c>
      <c r="E339" s="20" t="str">
        <f ca="1">IFERROR(__xludf.DUMMYFUNCTION("""COMPUTED_VALUE"""),"NO")</f>
        <v>NO</v>
      </c>
      <c r="F339" s="20" t="str">
        <f ca="1">IFERROR(__xludf.DUMMYFUNCTION("""COMPUTED_VALUE"""),"AMBIENTE")</f>
        <v>AMBIENTE</v>
      </c>
      <c r="G339" s="20">
        <f ca="1">IFERROR(__xludf.DUMMYFUNCTION("""COMPUTED_VALUE"""),1)</f>
        <v>1</v>
      </c>
      <c r="H339" s="20">
        <f ca="1">IFERROR(__xludf.DUMMYFUNCTION("""COMPUTED_VALUE"""),3)</f>
        <v>3</v>
      </c>
      <c r="I339" s="20">
        <f ca="1">IFERROR(__xludf.DUMMYFUNCTION("""COMPUTED_VALUE"""),1)</f>
        <v>1</v>
      </c>
      <c r="J339" s="20" t="str">
        <f ca="1">IFERROR(__xludf.DUMMYFUNCTION("""COMPUTED_VALUE"""),"Ley")</f>
        <v>Ley</v>
      </c>
      <c r="K339" s="20">
        <f ca="1">IFERROR(__xludf.DUMMYFUNCTION("""COMPUTED_VALUE"""),31811)</f>
        <v>31811</v>
      </c>
      <c r="L339" s="20" t="str">
        <f ca="1">IFERROR(__xludf.DUMMYFUNCTION("""COMPUTED_VALUE"""),"Poder Legislativo Provincial")</f>
        <v>Poder Legislativo Provincial</v>
      </c>
      <c r="M339"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39" s="20" t="str">
        <f ca="1">IFERROR(__xludf.DUMMYFUNCTION("""COMPUTED_VALUE"""),"NO")</f>
        <v>NO</v>
      </c>
      <c r="O339" s="20" t="str">
        <f ca="1">IFERROR(__xludf.DUMMYFUNCTION("""COMPUTED_VALUE"""),"NO")</f>
        <v>NO</v>
      </c>
      <c r="P339" s="20">
        <f ca="1">IFERROR(__xludf.DUMMYFUNCTION("""COMPUTED_VALUE"""),0)</f>
        <v>0</v>
      </c>
      <c r="Q339" s="113" t="str">
        <f ca="1">IFERROR(__xludf.DUMMYFUNCTION("""COMPUTED_VALUE"""),"https://gld.legislaturacba.gob.ar/_cdd/api/Documento/descargar?guid=1c63bc70-473a-40e7-99e6-8bc74b7b8465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v>
      </c>
      <c r="R339" s="113" t="str">
        <f ca="1">IFERROR(__xludf.DUMMYFUNCTION("""COMPUTED_VALUE"""),"https://www.youtube.com/watch?v=OdgLXQ17aRo")</f>
        <v>https://www.youtube.com/watch?v=OdgLXQ17aRo</v>
      </c>
      <c r="S339" s="113" t="str">
        <f ca="1">IFERROR(__xludf.DUMMYFUNCTION("""COMPUTED_VALUE"""),"https://gld.legislaturacba.gob.ar/Publics/Actas.aspx?id=YPCfw0f7iDc=")</f>
        <v>https://gld.legislaturacba.gob.ar/Publics/Actas.aspx?id=YPCfw0f7iDc=</v>
      </c>
      <c r="T339" s="99">
        <f t="shared" ca="1" si="0"/>
        <v>0</v>
      </c>
    </row>
    <row r="340" spans="1:20">
      <c r="A340" s="20">
        <f ca="1">IFERROR(__xludf.DUMMYFUNCTION("""COMPUTED_VALUE"""),102)</f>
        <v>102</v>
      </c>
      <c r="B340" s="20">
        <f ca="1">IFERROR(__xludf.DUMMYFUNCTION("""COMPUTED_VALUE"""),2021)</f>
        <v>2021</v>
      </c>
      <c r="C340" s="20" t="str">
        <f ca="1">IFERROR(__xludf.DUMMYFUNCTION("""COMPUTED_VALUE"""),"VIRTUAL")</f>
        <v>VIRTUAL</v>
      </c>
      <c r="D340" s="96">
        <f ca="1">IFERROR(__xludf.DUMMYFUNCTION("""COMPUTED_VALUE"""),44334)</f>
        <v>44334</v>
      </c>
      <c r="E340" s="20" t="str">
        <f ca="1">IFERROR(__xludf.DUMMYFUNCTION("""COMPUTED_VALUE"""),"NO")</f>
        <v>NO</v>
      </c>
      <c r="F340" s="20" t="str">
        <f ca="1">IFERROR(__xludf.DUMMYFUNCTION("""COMPUTED_VALUE"""),"ASUNTOS CONSTITUCIONALES, JUSTICIA Y ACUERDOS")</f>
        <v>ASUNTOS CONSTITUCIONALES, JUSTICIA Y ACUERDOS</v>
      </c>
      <c r="G340" s="20">
        <f ca="1">IFERROR(__xludf.DUMMYFUNCTION("""COMPUTED_VALUE"""),1)</f>
        <v>1</v>
      </c>
      <c r="H340" s="20">
        <f ca="1">IFERROR(__xludf.DUMMYFUNCTION("""COMPUTED_VALUE"""),1)</f>
        <v>1</v>
      </c>
      <c r="I340" s="20">
        <f ca="1">IFERROR(__xludf.DUMMYFUNCTION("""COMPUTED_VALUE"""),1)</f>
        <v>1</v>
      </c>
      <c r="J340" s="20" t="str">
        <f ca="1">IFERROR(__xludf.DUMMYFUNCTION("""COMPUTED_VALUE"""),"Ley")</f>
        <v>Ley</v>
      </c>
      <c r="K340" s="20">
        <f ca="1">IFERROR(__xludf.DUMMYFUNCTION("""COMPUTED_VALUE"""),32554)</f>
        <v>32554</v>
      </c>
      <c r="L340" s="20" t="str">
        <f ca="1">IFERROR(__xludf.DUMMYFUNCTION("""COMPUTED_VALUE"""),"Poder Legislativo Provincial")</f>
        <v>Poder Legislativo Provincial</v>
      </c>
      <c r="M340" s="20" t="str">
        <f ca="1">IFERROR(__xludf.DUMMYFUNCTION("""COMPUTED_VALUE"""),"Modificando e incorporando artículos a la Ley N° 8465, Código Procesal Civil y Comercial, referidos a los plazos procesales")</f>
        <v>Modificando e incorporando artículos a la Ley N° 8465, Código Procesal Civil y Comercial, referidos a los plazos procesales</v>
      </c>
      <c r="N340" s="20" t="str">
        <f ca="1">IFERROR(__xludf.DUMMYFUNCTION("""COMPUTED_VALUE"""),"NO")</f>
        <v>NO</v>
      </c>
      <c r="O340" s="20" t="str">
        <f ca="1">IFERROR(__xludf.DUMMYFUNCTION("""COMPUTED_VALUE"""),"SI")</f>
        <v>SI</v>
      </c>
      <c r="P340" s="20">
        <f ca="1">IFERROR(__xludf.DUMMYFUNCTION("""COMPUTED_VALUE"""),5)</f>
        <v>5</v>
      </c>
      <c r="Q340" s="113" t="str">
        <f ca="1">IFERROR(__xludf.DUMMYFUNCTION("""COMPUTED_VALUE"""),"https://gld.legislaturacba.gob.ar/_cdd/api/Documento/descargar?guid=f31c5aa6-b661-4c75-b584-8f0b07ca8141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v>
      </c>
      <c r="R340" s="113" t="str">
        <f ca="1">IFERROR(__xludf.DUMMYFUNCTION("""COMPUTED_VALUE"""),"https://www.youtube.com/watch?v=MpshRlup8iE")</f>
        <v>https://www.youtube.com/watch?v=MpshRlup8iE</v>
      </c>
      <c r="S340" s="113" t="str">
        <f ca="1">IFERROR(__xludf.DUMMYFUNCTION("""COMPUTED_VALUE"""),"https://gld.legislaturacba.gob.ar/Publics/Actas.aspx?id=C82d0ruZVDM=")</f>
        <v>https://gld.legislaturacba.gob.ar/Publics/Actas.aspx?id=C82d0ruZVDM=</v>
      </c>
      <c r="T340" s="99">
        <f t="shared" ca="1" si="0"/>
        <v>0</v>
      </c>
    </row>
    <row r="341" spans="1:20">
      <c r="A341" s="20">
        <f ca="1">IFERROR(__xludf.DUMMYFUNCTION("""COMPUTED_VALUE"""),103)</f>
        <v>103</v>
      </c>
      <c r="B341" s="20">
        <f ca="1">IFERROR(__xludf.DUMMYFUNCTION("""COMPUTED_VALUE"""),2021)</f>
        <v>2021</v>
      </c>
      <c r="C341" s="20" t="str">
        <f ca="1">IFERROR(__xludf.DUMMYFUNCTION("""COMPUTED_VALUE"""),"VIRTUAL")</f>
        <v>VIRTUAL</v>
      </c>
      <c r="D341" s="96">
        <f ca="1">IFERROR(__xludf.DUMMYFUNCTION("""COMPUTED_VALUE"""),44335)</f>
        <v>44335</v>
      </c>
      <c r="E341" s="20" t="str">
        <f ca="1">IFERROR(__xludf.DUMMYFUNCTION("""COMPUTED_VALUE"""),"NO")</f>
        <v>NO</v>
      </c>
      <c r="F341" s="20" t="str">
        <f ca="1">IFERROR(__xludf.DUMMYFUNCTION("""COMPUTED_VALUE"""),"LEGISLACIÓN GENERAL")</f>
        <v>LEGISLACIÓN GENERAL</v>
      </c>
      <c r="G341" s="20">
        <f ca="1">IFERROR(__xludf.DUMMYFUNCTION("""COMPUTED_VALUE"""),1)</f>
        <v>1</v>
      </c>
      <c r="H341" s="20">
        <f ca="1">IFERROR(__xludf.DUMMYFUNCTION("""COMPUTED_VALUE"""),4)</f>
        <v>4</v>
      </c>
      <c r="I341" s="20">
        <f ca="1">IFERROR(__xludf.DUMMYFUNCTION("""COMPUTED_VALUE"""),1)</f>
        <v>1</v>
      </c>
      <c r="J341" s="20" t="str">
        <f ca="1">IFERROR(__xludf.DUMMYFUNCTION("""COMPUTED_VALUE"""),"Ley")</f>
        <v>Ley</v>
      </c>
      <c r="K341" s="20">
        <f ca="1">IFERROR(__xludf.DUMMYFUNCTION("""COMPUTED_VALUE"""),31811)</f>
        <v>31811</v>
      </c>
      <c r="L341" s="20" t="str">
        <f ca="1">IFERROR(__xludf.DUMMYFUNCTION("""COMPUTED_VALUE"""),"Poder Legislativo Provincial")</f>
        <v>Poder Legislativo Provincial</v>
      </c>
      <c r="M341" s="20" t="str">
        <f ca="1">IFERROR(__xludf.DUMMYFUNCTION("""COMPUTED_VALUE"""),"Adhiriendo la provincia de Córdoba a la Ley Nacional Nº 27592 - Ley Yolanda - de formación integral en ambiente, con perspectiva de desarrollo sostenible y con especial énfasis en cambio climático para las personas que se desempeñen en la función pública")</f>
        <v>Adhiriendo la provincia de Córdoba a la Ley Nacional Nº 27592 - Ley Yolanda - de formación integral en ambiente, con perspectiva de desarrollo sostenible y con especial énfasis en cambio climático para las personas que se desempeñen en la función pública</v>
      </c>
      <c r="N341" s="20" t="str">
        <f ca="1">IFERROR(__xludf.DUMMYFUNCTION("""COMPUTED_VALUE"""),"SI")</f>
        <v>SI</v>
      </c>
      <c r="O341" s="20" t="str">
        <f ca="1">IFERROR(__xludf.DUMMYFUNCTION("""COMPUTED_VALUE"""),"NO")</f>
        <v>NO</v>
      </c>
      <c r="P341" s="20">
        <f ca="1">IFERROR(__xludf.DUMMYFUNCTION("""COMPUTED_VALUE"""),0)</f>
        <v>0</v>
      </c>
      <c r="Q341" s="113" t="str">
        <f ca="1">IFERROR(__xludf.DUMMYFUNCTION("""COMPUTED_VALUE"""),"https://gld.legislaturacba.gob.ar/_cdd/api/Documento/descargar?guid=b007234b-726b-4abd-8cb6-1448f29f3c69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v>
      </c>
      <c r="R341" s="113" t="str">
        <f ca="1">IFERROR(__xludf.DUMMYFUNCTION("""COMPUTED_VALUE"""),"https://www.youtube.com/watch?v=zxgQj20ydWs")</f>
        <v>https://www.youtube.com/watch?v=zxgQj20ydWs</v>
      </c>
      <c r="S341" s="113" t="str">
        <f ca="1">IFERROR(__xludf.DUMMYFUNCTION("""COMPUTED_VALUE"""),"https://gld.legislaturacba.gob.ar/Publics/Actas.aspx?id=iWGObTgdoVg=")</f>
        <v>https://gld.legislaturacba.gob.ar/Publics/Actas.aspx?id=iWGObTgdoVg=</v>
      </c>
      <c r="T341" s="99">
        <f t="shared" ca="1" si="0"/>
        <v>0</v>
      </c>
    </row>
    <row r="342" spans="1:20">
      <c r="A342" s="20">
        <f ca="1">IFERROR(__xludf.DUMMYFUNCTION("""COMPUTED_VALUE"""),104)</f>
        <v>104</v>
      </c>
      <c r="B342" s="20">
        <f ca="1">IFERROR(__xludf.DUMMYFUNCTION("""COMPUTED_VALUE"""),2021)</f>
        <v>2021</v>
      </c>
      <c r="C342" s="20" t="str">
        <f ca="1">IFERROR(__xludf.DUMMYFUNCTION("""COMPUTED_VALUE"""),"VIRTUAL")</f>
        <v>VIRTUAL</v>
      </c>
      <c r="D342" s="96">
        <f ca="1">IFERROR(__xludf.DUMMYFUNCTION("""COMPUTED_VALUE"""),44336)</f>
        <v>44336</v>
      </c>
      <c r="E342" s="20" t="str">
        <f ca="1">IFERROR(__xludf.DUMMYFUNCTION("""COMPUTED_VALUE"""),"NO")</f>
        <v>NO</v>
      </c>
      <c r="F342" s="20" t="str">
        <f ca="1">IFERROR(__xludf.DUMMYFUNCTION("""COMPUTED_VALUE"""),"ASUNTOS CONSTITUCIONALES, JUSTICIA Y ACUERDOS")</f>
        <v>ASUNTOS CONSTITUCIONALES, JUSTICIA Y ACUERDOS</v>
      </c>
      <c r="G342" s="20">
        <f ca="1">IFERROR(__xludf.DUMMYFUNCTION("""COMPUTED_VALUE"""),1)</f>
        <v>1</v>
      </c>
      <c r="H342" s="20">
        <f ca="1">IFERROR(__xludf.DUMMYFUNCTION("""COMPUTED_VALUE"""),1)</f>
        <v>1</v>
      </c>
      <c r="I342" s="20">
        <f ca="1">IFERROR(__xludf.DUMMYFUNCTION("""COMPUTED_VALUE"""),1)</f>
        <v>1</v>
      </c>
      <c r="J342" s="20" t="str">
        <f ca="1">IFERROR(__xludf.DUMMYFUNCTION("""COMPUTED_VALUE"""),"Pliego")</f>
        <v>Pliego</v>
      </c>
      <c r="K342" s="20">
        <f ca="1">IFERROR(__xludf.DUMMYFUNCTION("""COMPUTED_VALUE"""),32610)</f>
        <v>32610</v>
      </c>
      <c r="L342" s="20" t="str">
        <f ca="1">IFERROR(__xludf.DUMMYFUNCTION("""COMPUTED_VALUE"""),"Poder Ejecutivo Provincial")</f>
        <v>Poder Ejecutivo Provincial</v>
      </c>
      <c r="M342" s="20" t="str">
        <f ca="1">IFERROR(__xludf.DUMMYFUNCTION("""COMPUTED_VALUE"""),"Solicitando acuerdo para designar al abogado Roberto Julio Markoni como Síndico titular por el sector público de la Agencia Córdoba de Inversión y Financiamiento Sociedad Economica Mixta (ACIF SEM)")</f>
        <v>Solicitando acuerdo para designar al abogado Roberto Julio Markoni como Síndico titular por el sector público de la Agencia Córdoba de Inversión y Financiamiento Sociedad Economica Mixta (ACIF SEM)</v>
      </c>
      <c r="N342" s="20" t="str">
        <f ca="1">IFERROR(__xludf.DUMMYFUNCTION("""COMPUTED_VALUE"""),"SI")</f>
        <v>SI</v>
      </c>
      <c r="O342" s="20" t="str">
        <f ca="1">IFERROR(__xludf.DUMMYFUNCTION("""COMPUTED_VALUE"""),"NO")</f>
        <v>NO</v>
      </c>
      <c r="P342" s="20">
        <f ca="1">IFERROR(__xludf.DUMMYFUNCTION("""COMPUTED_VALUE"""),0)</f>
        <v>0</v>
      </c>
      <c r="Q342" s="113" t="str">
        <f ca="1">IFERROR(__xludf.DUMMYFUNCTION("""COMPUTED_VALUE"""),"https://gld.legislaturacba.gob.ar/_cdd/api/Documento/descargar?guid=272293d6-7874-4c02-908c-365cf69253c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v>
      </c>
      <c r="R342" s="113" t="str">
        <f ca="1">IFERROR(__xludf.DUMMYFUNCTION("""COMPUTED_VALUE"""),"https://www.youtube.com/watch?v=vGwbGM_oa2g")</f>
        <v>https://www.youtube.com/watch?v=vGwbGM_oa2g</v>
      </c>
      <c r="S342" s="113" t="str">
        <f ca="1">IFERROR(__xludf.DUMMYFUNCTION("""COMPUTED_VALUE"""),"https://gld.legislaturacba.gob.ar/Publics/Actas.aspx?id=DmUn-kxaOX0=")</f>
        <v>https://gld.legislaturacba.gob.ar/Publics/Actas.aspx?id=DmUn-kxaOX0=</v>
      </c>
      <c r="T342" s="99">
        <f t="shared" ca="1" si="0"/>
        <v>0</v>
      </c>
    </row>
    <row r="343" spans="1:20">
      <c r="A343" s="20">
        <f ca="1">IFERROR(__xludf.DUMMYFUNCTION("""COMPUTED_VALUE"""),105)</f>
        <v>105</v>
      </c>
      <c r="B343" s="20">
        <f ca="1">IFERROR(__xludf.DUMMYFUNCTION("""COMPUTED_VALUE"""),2021)</f>
        <v>2021</v>
      </c>
      <c r="C343" s="20" t="str">
        <f ca="1">IFERROR(__xludf.DUMMYFUNCTION("""COMPUTED_VALUE"""),"VIRTUAL")</f>
        <v>VIRTUAL</v>
      </c>
      <c r="D343" s="96">
        <f ca="1">IFERROR(__xludf.DUMMYFUNCTION("""COMPUTED_VALUE"""),44336)</f>
        <v>44336</v>
      </c>
      <c r="E343" s="20" t="str">
        <f ca="1">IFERROR(__xludf.DUMMYFUNCTION("""COMPUTED_VALUE"""),"NO")</f>
        <v>NO</v>
      </c>
      <c r="F343" s="20" t="str">
        <f ca="1">IFERROR(__xludf.DUMMYFUNCTION("""COMPUTED_VALUE"""),"RELACIONES INTERNACIONALES, MERCOSUR Y COMERCIO EXTERIOR")</f>
        <v>RELACIONES INTERNACIONALES, MERCOSUR Y COMERCIO EXTERIOR</v>
      </c>
      <c r="G343" s="20">
        <f ca="1">IFERROR(__xludf.DUMMYFUNCTION("""COMPUTED_VALUE"""),1)</f>
        <v>1</v>
      </c>
      <c r="H343" s="20">
        <f ca="1">IFERROR(__xludf.DUMMYFUNCTION("""COMPUTED_VALUE"""),1)</f>
        <v>1</v>
      </c>
      <c r="I343" s="20">
        <f ca="1">IFERROR(__xludf.DUMMYFUNCTION("""COMPUTED_VALUE"""),1)</f>
        <v>1</v>
      </c>
      <c r="J343" s="20" t="str">
        <f ca="1">IFERROR(__xludf.DUMMYFUNCTION("""COMPUTED_VALUE"""),"NA")</f>
        <v>NA</v>
      </c>
      <c r="K343" s="20" t="str">
        <f ca="1">IFERROR(__xludf.DUMMYFUNCTION("""COMPUTED_VALUE"""),"NA")</f>
        <v>NA</v>
      </c>
      <c r="L343" s="20" t="str">
        <f ca="1">IFERROR(__xludf.DUMMYFUNCTION("""COMPUTED_VALUE"""),"NA")</f>
        <v>NA</v>
      </c>
      <c r="M343" s="20" t="str">
        <f ca="1">IFERROR(__xludf.DUMMYFUNCTION("""COMPUTED_VALUE"""),"Invitación a participar al V Foro Mundial de Desarrollo Económico Local")</f>
        <v>Invitación a participar al V Foro Mundial de Desarrollo Económico Local</v>
      </c>
      <c r="N343" s="20" t="str">
        <f ca="1">IFERROR(__xludf.DUMMYFUNCTION("""COMPUTED_VALUE"""),"NA")</f>
        <v>NA</v>
      </c>
      <c r="O343" s="20" t="str">
        <f ca="1">IFERROR(__xludf.DUMMYFUNCTION("""COMPUTED_VALUE"""),"SI")</f>
        <v>SI</v>
      </c>
      <c r="P343" s="20">
        <f ca="1">IFERROR(__xludf.DUMMYFUNCTION("""COMPUTED_VALUE"""),1)</f>
        <v>1</v>
      </c>
      <c r="Q343" s="113" t="str">
        <f ca="1">IFERROR(__xludf.DUMMYFUNCTION("""COMPUTED_VALUE"""),"https://gld.legislaturacba.gob.ar/_cdd/api/Documento/descargar?guid=9af23cf2-4c15-4a6a-8f05-1a11b686f25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v>
      </c>
      <c r="R343" s="113" t="str">
        <f ca="1">IFERROR(__xludf.DUMMYFUNCTION("""COMPUTED_VALUE"""),"https://www.youtube.com/watch?v=WBA9I6x_gBU")</f>
        <v>https://www.youtube.com/watch?v=WBA9I6x_gBU</v>
      </c>
      <c r="S343" s="113" t="str">
        <f ca="1">IFERROR(__xludf.DUMMYFUNCTION("""COMPUTED_VALUE"""),"https://gld.legislaturacba.gob.ar/Publics/Actas.aspx?id=Q4eyR8Wa4JM=")</f>
        <v>https://gld.legislaturacba.gob.ar/Publics/Actas.aspx?id=Q4eyR8Wa4JM=</v>
      </c>
      <c r="T343" s="99">
        <f t="shared" ca="1" si="0"/>
        <v>0</v>
      </c>
    </row>
    <row r="344" spans="1:20">
      <c r="A344" s="20">
        <f ca="1">IFERROR(__xludf.DUMMYFUNCTION("""COMPUTED_VALUE"""),106)</f>
        <v>106</v>
      </c>
      <c r="B344" s="20">
        <f ca="1">IFERROR(__xludf.DUMMYFUNCTION("""COMPUTED_VALUE"""),2021)</f>
        <v>2021</v>
      </c>
      <c r="C344" s="20" t="str">
        <f ca="1">IFERROR(__xludf.DUMMYFUNCTION("""COMPUTED_VALUE"""),"VIRTUAL")</f>
        <v>VIRTUAL</v>
      </c>
      <c r="D344" s="96">
        <f ca="1">IFERROR(__xludf.DUMMYFUNCTION("""COMPUTED_VALUE"""),44336)</f>
        <v>44336</v>
      </c>
      <c r="E344" s="20" t="str">
        <f ca="1">IFERROR(__xludf.DUMMYFUNCTION("""COMPUTED_VALUE"""),"SI")</f>
        <v>SI</v>
      </c>
      <c r="F344" s="20" t="str">
        <f ca="1">IFERROR(__xludf.DUMMYFUNCTION("""COMPUTED_VALUE"""),"ECONOMÍA, PRESUPUESTO, GESTIÓN PÚBLICA E INNOVACIÓN;OBRAS PÚBLICAS, VIVIENDA Y COMUNICACIONES")</f>
        <v>ECONOMÍA, PRESUPUESTO, GESTIÓN PÚBLICA E INNOVACIÓN;OBRAS PÚBLICAS, VIVIENDA Y COMUNICACIONES</v>
      </c>
      <c r="G344" s="20">
        <f ca="1">IFERROR(__xludf.DUMMYFUNCTION("""COMPUTED_VALUE"""),2)</f>
        <v>2</v>
      </c>
      <c r="H344" s="20">
        <f ca="1">IFERROR(__xludf.DUMMYFUNCTION("""COMPUTED_VALUE"""),1)</f>
        <v>1</v>
      </c>
      <c r="I344" s="20">
        <f ca="1">IFERROR(__xludf.DUMMYFUNCTION("""COMPUTED_VALUE"""),1)</f>
        <v>1</v>
      </c>
      <c r="J344" s="20" t="str">
        <f ca="1">IFERROR(__xludf.DUMMYFUNCTION("""COMPUTED_VALUE"""),"NA")</f>
        <v>NA</v>
      </c>
      <c r="K344" s="20" t="str">
        <f ca="1">IFERROR(__xludf.DUMMYFUNCTION("""COMPUTED_VALUE"""),"NA")</f>
        <v>NA</v>
      </c>
      <c r="L344" s="20" t="str">
        <f ca="1">IFERROR(__xludf.DUMMYFUNCTION("""COMPUTED_VALUE"""),"NA")</f>
        <v>NA</v>
      </c>
      <c r="M344" s="20" t="str">
        <f ca="1">IFERROR(__xludf.DUMMYFUNCTION("""COMPUTED_VALUE"""),"Modificación Anexo Unico de la Ley N° 10708")</f>
        <v>Modificación Anexo Unico de la Ley N° 10708</v>
      </c>
      <c r="N344" s="20" t="str">
        <f ca="1">IFERROR(__xludf.DUMMYFUNCTION("""COMPUTED_VALUE"""),"NA")</f>
        <v>NA</v>
      </c>
      <c r="O344" s="20" t="str">
        <f ca="1">IFERROR(__xludf.DUMMYFUNCTION("""COMPUTED_VALUE"""),"SI")</f>
        <v>SI</v>
      </c>
      <c r="P344" s="20">
        <f ca="1">IFERROR(__xludf.DUMMYFUNCTION("""COMPUTED_VALUE"""),1)</f>
        <v>1</v>
      </c>
      <c r="Q344" s="113" t="str">
        <f ca="1">IFERROR(__xludf.DUMMYFUNCTION("""COMPUTED_VALUE"""),"https://gld.legislaturacba.gob.ar/_cdd/api/Documento/descargar?guid=cc9f06b4-ed70-4132-ad8b-415ca437b74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v>
      </c>
      <c r="R344" s="113" t="str">
        <f ca="1">IFERROR(__xludf.DUMMYFUNCTION("""COMPUTED_VALUE"""),"https://www.youtube.com/watch?v=K36CMgqIzFM")</f>
        <v>https://www.youtube.com/watch?v=K36CMgqIzFM</v>
      </c>
      <c r="S344" s="113" t="str">
        <f ca="1">IFERROR(__xludf.DUMMYFUNCTION("""COMPUTED_VALUE"""),"https://gld.legislaturacba.gob.ar/Publics/Actas.aspx?id=CCUUyWsOkAs=;https://gld.legislaturacba.gob.ar/Publics/Actas.aspx?id=L4WSyb76hh8=")</f>
        <v>https://gld.legislaturacba.gob.ar/Publics/Actas.aspx?id=CCUUyWsOkAs=;https://gld.legislaturacba.gob.ar/Publics/Actas.aspx?id=L4WSyb76hh8=</v>
      </c>
      <c r="T344" s="99">
        <f t="shared" ca="1" si="0"/>
        <v>0</v>
      </c>
    </row>
    <row r="345" spans="1:20">
      <c r="A345" s="20">
        <f ca="1">IFERROR(__xludf.DUMMYFUNCTION("""COMPUTED_VALUE"""),107)</f>
        <v>107</v>
      </c>
      <c r="B345" s="20">
        <f ca="1">IFERROR(__xludf.DUMMYFUNCTION("""COMPUTED_VALUE"""),2021)</f>
        <v>2021</v>
      </c>
      <c r="C345" s="20" t="str">
        <f ca="1">IFERROR(__xludf.DUMMYFUNCTION("""COMPUTED_VALUE"""),"VIRTUAL")</f>
        <v>VIRTUAL</v>
      </c>
      <c r="D345" s="96">
        <f ca="1">IFERROR(__xludf.DUMMYFUNCTION("""COMPUTED_VALUE"""),44348)</f>
        <v>44348</v>
      </c>
      <c r="E345" s="20" t="str">
        <f ca="1">IFERROR(__xludf.DUMMYFUNCTION("""COMPUTED_VALUE"""),"SI")</f>
        <v>SI</v>
      </c>
      <c r="F345" s="20" t="str">
        <f ca="1">IFERROR(__xludf.DUMMYFUNCTION("""COMPUTED_VALUE"""),"LEGISLACIÓN DEL TRABAJO, PREVISIÓN Y SEGURIDAD SOCIAL;LEGISLACIÓN GENERAL")</f>
        <v>LEGISLACIÓN DEL TRABAJO, PREVISIÓN Y SEGURIDAD SOCIAL;LEGISLACIÓN GENERAL</v>
      </c>
      <c r="G345" s="20">
        <f ca="1">IFERROR(__xludf.DUMMYFUNCTION("""COMPUTED_VALUE"""),2)</f>
        <v>2</v>
      </c>
      <c r="H345" s="20">
        <f ca="1">IFERROR(__xludf.DUMMYFUNCTION("""COMPUTED_VALUE"""),1)</f>
        <v>1</v>
      </c>
      <c r="I345" s="20">
        <f ca="1">IFERROR(__xludf.DUMMYFUNCTION("""COMPUTED_VALUE"""),1)</f>
        <v>1</v>
      </c>
      <c r="J345" s="20" t="str">
        <f ca="1">IFERROR(__xludf.DUMMYFUNCTION("""COMPUTED_VALUE"""),"Ley")</f>
        <v>Ley</v>
      </c>
      <c r="K345" s="20">
        <f ca="1">IFERROR(__xludf.DUMMYFUNCTION("""COMPUTED_VALUE"""),32275)</f>
        <v>32275</v>
      </c>
      <c r="L345" s="20" t="str">
        <f ca="1">IFERROR(__xludf.DUMMYFUNCTION("""COMPUTED_VALUE"""),"Poder Legislativo Provincial")</f>
        <v>Poder Legislativo Provincial</v>
      </c>
      <c r="M345" s="20" t="str">
        <f ca="1">IFERROR(__xludf.DUMMYFUNCTION("""COMPUTED_VALUE"""),"Modificando el inciso b) del Articulo 1° de Ley N° 4183, Organica Notarial del despacho emitido el 04 de mayo de 2021")</f>
        <v>Modificando el inciso b) del Articulo 1° de Ley N° 4183, Organica Notarial del despacho emitido el 04 de mayo de 2021</v>
      </c>
      <c r="N345" s="20" t="str">
        <f ca="1">IFERROR(__xludf.DUMMYFUNCTION("""COMPUTED_VALUE"""),"SI")</f>
        <v>SI</v>
      </c>
      <c r="O345" s="20" t="str">
        <f ca="1">IFERROR(__xludf.DUMMYFUNCTION("""COMPUTED_VALUE"""),"NO")</f>
        <v>NO</v>
      </c>
      <c r="P345" s="20">
        <f ca="1">IFERROR(__xludf.DUMMYFUNCTION("""COMPUTED_VALUE"""),0)</f>
        <v>0</v>
      </c>
      <c r="Q345" s="113" t="str">
        <f ca="1">IFERROR(__xludf.DUMMYFUNCTION("""COMPUTED_VALUE"""),"https://gld.legislaturacba.gob.ar/_cdd/api/Documento/descargar?guid=2250a053-937f-4117-be6a-2d13b051bf36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v>
      </c>
      <c r="R345" s="113" t="str">
        <f ca="1">IFERROR(__xludf.DUMMYFUNCTION("""COMPUTED_VALUE"""),"https://www.youtube.com/watch?v=_ajJWdFlkas")</f>
        <v>https://www.youtube.com/watch?v=_ajJWdFlkas</v>
      </c>
      <c r="S345" s="113" t="str">
        <f ca="1">IFERROR(__xludf.DUMMYFUNCTION("""COMPUTED_VALUE"""),"https://gld.legislaturacba.gob.ar/Publics/Actas.aspx?id=YJsJ6sKs3fk=;https://gld.legislaturacba.gob.ar/Publics/Actas.aspx?id=GYihDPwAGQ0=")</f>
        <v>https://gld.legislaturacba.gob.ar/Publics/Actas.aspx?id=YJsJ6sKs3fk=;https://gld.legislaturacba.gob.ar/Publics/Actas.aspx?id=GYihDPwAGQ0=</v>
      </c>
      <c r="T345" s="99">
        <f t="shared" ca="1" si="0"/>
        <v>0</v>
      </c>
    </row>
    <row r="346" spans="1:20">
      <c r="A346" s="20">
        <f ca="1">IFERROR(__xludf.DUMMYFUNCTION("""COMPUTED_VALUE"""),108)</f>
        <v>108</v>
      </c>
      <c r="B346" s="20">
        <f ca="1">IFERROR(__xludf.DUMMYFUNCTION("""COMPUTED_VALUE"""),2021)</f>
        <v>2021</v>
      </c>
      <c r="C346" s="20" t="str">
        <f ca="1">IFERROR(__xludf.DUMMYFUNCTION("""COMPUTED_VALUE"""),"VIRTUAL")</f>
        <v>VIRTUAL</v>
      </c>
      <c r="D346" s="96">
        <f ca="1">IFERROR(__xludf.DUMMYFUNCTION("""COMPUTED_VALUE"""),44348)</f>
        <v>44348</v>
      </c>
      <c r="E346" s="20" t="str">
        <f ca="1">IFERROR(__xludf.DUMMYFUNCTION("""COMPUTED_VALUE"""),"SI")</f>
        <v>SI</v>
      </c>
      <c r="F346" s="20" t="str">
        <f ca="1">IFERROR(__xludf.DUMMYFUNCTION("""COMPUTED_VALUE"""),"ECONOMÍA, PRESUPUESTO, GESTIÓN PÚBLICA E INNOVACIÓN;OBRAS PÚBLICAS, VIVIENDA Y COMUNICACIONES")</f>
        <v>ECONOMÍA, PRESUPUESTO, GESTIÓN PÚBLICA E INNOVACIÓN;OBRAS PÚBLICAS, VIVIENDA Y COMUNICACIONES</v>
      </c>
      <c r="G346" s="20">
        <f ca="1">IFERROR(__xludf.DUMMYFUNCTION("""COMPUTED_VALUE"""),2)</f>
        <v>2</v>
      </c>
      <c r="H346" s="20">
        <f ca="1">IFERROR(__xludf.DUMMYFUNCTION("""COMPUTED_VALUE"""),1)</f>
        <v>1</v>
      </c>
      <c r="I346" s="20">
        <f ca="1">IFERROR(__xludf.DUMMYFUNCTION("""COMPUTED_VALUE"""),1)</f>
        <v>1</v>
      </c>
      <c r="J346" s="20" t="str">
        <f ca="1">IFERROR(__xludf.DUMMYFUNCTION("""COMPUTED_VALUE"""),"Ley")</f>
        <v>Ley</v>
      </c>
      <c r="K346" s="20">
        <f ca="1">IFERROR(__xludf.DUMMYFUNCTION("""COMPUTED_VALUE"""),32827)</f>
        <v>32827</v>
      </c>
      <c r="L346" s="20" t="str">
        <f ca="1">IFERROR(__xludf.DUMMYFUNCTION("""COMPUTED_VALUE"""),"Poder Ejecutivo Provincial")</f>
        <v>Poder Ejecutivo Provincial</v>
      </c>
      <c r="M346" s="20" t="str">
        <f ca="1">IFERROR(__xludf.DUMMYFUNCTION("""COMPUTED_VALUE"""),"Eximiendo del Impuesto de Sellos a los actos, contratos y/o instrumentos celebrados entre quienes asuman el carácter de desarrolladores, constructores o vehículos de inversión de los proyectos inmobiliarios comprendidos en la Ley Nacional Nº 27613 -de Inc"&amp;"entivo a la Construcción Federal y Acceso a la Vivienda-y los inversores con el objeto de la construcción, ejecución, transferencias y/o cesiones de obras y/o inmuebles")</f>
        <v>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v>
      </c>
      <c r="N346" s="20" t="str">
        <f ca="1">IFERROR(__xludf.DUMMYFUNCTION("""COMPUTED_VALUE"""),"NO")</f>
        <v>NO</v>
      </c>
      <c r="O346" s="20" t="str">
        <f ca="1">IFERROR(__xludf.DUMMYFUNCTION("""COMPUTED_VALUE"""),"NO")</f>
        <v>NO</v>
      </c>
      <c r="P346" s="20">
        <f ca="1">IFERROR(__xludf.DUMMYFUNCTION("""COMPUTED_VALUE"""),0)</f>
        <v>0</v>
      </c>
      <c r="Q346" s="113" t="str">
        <f ca="1">IFERROR(__xludf.DUMMYFUNCTION("""COMPUTED_VALUE"""),"https://gld.legislaturacba.gob.ar/_cdd/api/Documento/descargar?guid=ff4e9f59-e60a-4fdd-852f-329ef184c552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v>
      </c>
      <c r="R346" s="113" t="str">
        <f ca="1">IFERROR(__xludf.DUMMYFUNCTION("""COMPUTED_VALUE"""),"https://www.youtube.com/watch?v=YEnc-B_sUzY")</f>
        <v>https://www.youtube.com/watch?v=YEnc-B_sUzY</v>
      </c>
      <c r="S346" s="113" t="str">
        <f ca="1">IFERROR(__xludf.DUMMYFUNCTION("""COMPUTED_VALUE"""),"https://gld.legislaturacba.gob.ar/Publics/Actas.aspx?id=tLfP-fmigYA=;https://gld.legislaturacba.gob.ar/Publics/Actas.aspx?id=D1eDff2wPQA=")</f>
        <v>https://gld.legislaturacba.gob.ar/Publics/Actas.aspx?id=tLfP-fmigYA=;https://gld.legislaturacba.gob.ar/Publics/Actas.aspx?id=D1eDff2wPQA=</v>
      </c>
      <c r="T346" s="99">
        <f t="shared" ca="1" si="0"/>
        <v>0</v>
      </c>
    </row>
    <row r="347" spans="1:20">
      <c r="A347" s="20">
        <f ca="1">IFERROR(__xludf.DUMMYFUNCTION("""COMPUTED_VALUE"""),109)</f>
        <v>109</v>
      </c>
      <c r="B347" s="20">
        <f ca="1">IFERROR(__xludf.DUMMYFUNCTION("""COMPUTED_VALUE"""),2021)</f>
        <v>2021</v>
      </c>
      <c r="C347" s="20" t="str">
        <f ca="1">IFERROR(__xludf.DUMMYFUNCTION("""COMPUTED_VALUE"""),"VIRTUAL")</f>
        <v>VIRTUAL</v>
      </c>
      <c r="D347" s="96">
        <f ca="1">IFERROR(__xludf.DUMMYFUNCTION("""COMPUTED_VALUE"""),44348)</f>
        <v>44348</v>
      </c>
      <c r="E347" s="20" t="str">
        <f ca="1">IFERROR(__xludf.DUMMYFUNCTION("""COMPUTED_VALUE"""),"NO")</f>
        <v>NO</v>
      </c>
      <c r="F347" s="20" t="str">
        <f ca="1">IFERROR(__xludf.DUMMYFUNCTION("""COMPUTED_VALUE"""),"AMBIENTE")</f>
        <v>AMBIENTE</v>
      </c>
      <c r="G347" s="20">
        <f ca="1">IFERROR(__xludf.DUMMYFUNCTION("""COMPUTED_VALUE"""),1)</f>
        <v>1</v>
      </c>
      <c r="H347" s="20">
        <f ca="1">IFERROR(__xludf.DUMMYFUNCTION("""COMPUTED_VALUE"""),1)</f>
        <v>1</v>
      </c>
      <c r="I347" s="20">
        <f ca="1">IFERROR(__xludf.DUMMYFUNCTION("""COMPUTED_VALUE"""),1)</f>
        <v>1</v>
      </c>
      <c r="J347" s="20" t="str">
        <f ca="1">IFERROR(__xludf.DUMMYFUNCTION("""COMPUTED_VALUE"""),"NA")</f>
        <v>NA</v>
      </c>
      <c r="K347" s="20" t="str">
        <f ca="1">IFERROR(__xludf.DUMMYFUNCTION("""COMPUTED_VALUE"""),"NA")</f>
        <v>NA</v>
      </c>
      <c r="L347" s="20" t="str">
        <f ca="1">IFERROR(__xludf.DUMMYFUNCTION("""COMPUTED_VALUE"""),"NA")</f>
        <v>NA</v>
      </c>
      <c r="M347" s="20" t="str">
        <f ca="1">IFERROR(__xludf.DUMMYFUNCTION("""COMPUTED_VALUE"""),"Anteproyecto de Declaración por el dia mundial del Medio Ambiente")</f>
        <v>Anteproyecto de Declaración por el dia mundial del Medio Ambiente</v>
      </c>
      <c r="N347" s="20" t="str">
        <f ca="1">IFERROR(__xludf.DUMMYFUNCTION("""COMPUTED_VALUE"""),"NA")</f>
        <v>NA</v>
      </c>
      <c r="O347" s="20" t="str">
        <f ca="1">IFERROR(__xludf.DUMMYFUNCTION("""COMPUTED_VALUE"""),"SI")</f>
        <v>SI</v>
      </c>
      <c r="P347" s="20">
        <f ca="1">IFERROR(__xludf.DUMMYFUNCTION("""COMPUTED_VALUE"""),1)</f>
        <v>1</v>
      </c>
      <c r="Q347" s="113" t="str">
        <f ca="1">IFERROR(__xludf.DUMMYFUNCTION("""COMPUTED_VALUE"""),"https://gld.legislaturacba.gob.ar/_cdd/api/Documento/descargar?guid=b0271a77-9b13-4f49-95ed-04cd79cd2e11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v>
      </c>
      <c r="R347" s="113" t="str">
        <f ca="1">IFERROR(__xludf.DUMMYFUNCTION("""COMPUTED_VALUE"""),"https://www.youtube.com/watch?v=EifmVOKnLsc")</f>
        <v>https://www.youtube.com/watch?v=EifmVOKnLsc</v>
      </c>
      <c r="S347" s="113" t="str">
        <f ca="1">IFERROR(__xludf.DUMMYFUNCTION("""COMPUTED_VALUE"""),"https://gld.legislaturacba.gob.ar/Publics/Actas.aspx?id=iaG4wEkbmTs=")</f>
        <v>https://gld.legislaturacba.gob.ar/Publics/Actas.aspx?id=iaG4wEkbmTs=</v>
      </c>
      <c r="T347" s="99">
        <f t="shared" ca="1" si="0"/>
        <v>0</v>
      </c>
    </row>
    <row r="348" spans="1:20">
      <c r="A348" s="20">
        <f ca="1">IFERROR(__xludf.DUMMYFUNCTION("""COMPUTED_VALUE"""),110)</f>
        <v>110</v>
      </c>
      <c r="B348" s="20">
        <f ca="1">IFERROR(__xludf.DUMMYFUNCTION("""COMPUTED_VALUE"""),2021)</f>
        <v>2021</v>
      </c>
      <c r="C348" s="20" t="str">
        <f ca="1">IFERROR(__xludf.DUMMYFUNCTION("""COMPUTED_VALUE"""),"VIRTUAL")</f>
        <v>VIRTUAL</v>
      </c>
      <c r="D348" s="96">
        <f ca="1">IFERROR(__xludf.DUMMYFUNCTION("""COMPUTED_VALUE"""),44350)</f>
        <v>44350</v>
      </c>
      <c r="E348" s="20" t="str">
        <f ca="1">IFERROR(__xludf.DUMMYFUNCTION("""COMPUTED_VALUE"""),"SI")</f>
        <v>SI</v>
      </c>
      <c r="F348" s="20" t="str">
        <f ca="1">IFERROR(__xludf.DUMMYFUNCTION("""COMPUTED_VALUE"""),"ECONOMÍA, PRESUPUESTO, GESTIÓN PÚBLICA E INNOVACIÓN;OBRAS PÚBLICAS, VIVIENDA Y COMUNICACIONES")</f>
        <v>ECONOMÍA, PRESUPUESTO, GESTIÓN PÚBLICA E INNOVACIÓN;OBRAS PÚBLICAS, VIVIENDA Y COMUNICACIONES</v>
      </c>
      <c r="G348" s="20">
        <f ca="1">IFERROR(__xludf.DUMMYFUNCTION("""COMPUTED_VALUE"""),2)</f>
        <v>2</v>
      </c>
      <c r="H348" s="20">
        <f ca="1">IFERROR(__xludf.DUMMYFUNCTION("""COMPUTED_VALUE"""),1)</f>
        <v>1</v>
      </c>
      <c r="I348" s="20">
        <f ca="1">IFERROR(__xludf.DUMMYFUNCTION("""COMPUTED_VALUE"""),1)</f>
        <v>1</v>
      </c>
      <c r="J348" s="20" t="str">
        <f ca="1">IFERROR(__xludf.DUMMYFUNCTION("""COMPUTED_VALUE"""),"Ley")</f>
        <v>Ley</v>
      </c>
      <c r="K348" s="20">
        <f ca="1">IFERROR(__xludf.DUMMYFUNCTION("""COMPUTED_VALUE"""),32928)</f>
        <v>32928</v>
      </c>
      <c r="L348" s="20" t="str">
        <f ca="1">IFERROR(__xludf.DUMMYFUNCTION("""COMPUTED_VALUE"""),"Poder Legislativo Provincial")</f>
        <v>Poder Legislativo Provincial</v>
      </c>
      <c r="M348" s="20" t="str">
        <f ca="1">IFERROR(__xludf.DUMMYFUNCTION("""COMPUTED_VALUE"""),"Declarando de utilidad pública y sujetos a expropiación los inmuebles necesarios para la ejecución de la obra “Mejoramiento y Rehabilitación Vial e Hidráulica de Ruta Provincial A-104 - Camino San Antonio, y derogando la Ley N° 10708")</f>
        <v>Declarando de utilidad pública y sujetos a expropiación los inmuebles necesarios para la ejecución de la obra “Mejoramiento y Rehabilitación Vial e Hidráulica de Ruta Provincial A-104 - Camino San Antonio, y derogando la Ley N° 10708</v>
      </c>
      <c r="N348" s="20" t="str">
        <f ca="1">IFERROR(__xludf.DUMMYFUNCTION("""COMPUTED_VALUE"""),"SI")</f>
        <v>SI</v>
      </c>
      <c r="O348" s="20" t="str">
        <f ca="1">IFERROR(__xludf.DUMMYFUNCTION("""COMPUTED_VALUE"""),"NO")</f>
        <v>NO</v>
      </c>
      <c r="P348" s="20">
        <f ca="1">IFERROR(__xludf.DUMMYFUNCTION("""COMPUTED_VALUE"""),0)</f>
        <v>0</v>
      </c>
      <c r="Q348" s="113" t="str">
        <f ca="1">IFERROR(__xludf.DUMMYFUNCTION("""COMPUTED_VALUE"""),"https://gld.legislaturacba.gob.ar/_cdd/api/Documento/descargar?guid=959dbcb6-f10f-40e9-a96f-0e10cbe9f969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v>
      </c>
      <c r="R348" s="113" t="str">
        <f ca="1">IFERROR(__xludf.DUMMYFUNCTION("""COMPUTED_VALUE"""),"https://www.youtube.com/watch?v=i5wrOaQ_mYg")</f>
        <v>https://www.youtube.com/watch?v=i5wrOaQ_mYg</v>
      </c>
      <c r="S348" s="113" t="str">
        <f ca="1">IFERROR(__xludf.DUMMYFUNCTION("""COMPUTED_VALUE"""),"https://gld.legislaturacba.gob.ar/Publics/Actas.aspx?id=OzkubSl0BBM=;https://gld.legislaturacba.gob.ar/Publics/Actas.aspx?id=oqGD5vZovfA=")</f>
        <v>https://gld.legislaturacba.gob.ar/Publics/Actas.aspx?id=OzkubSl0BBM=;https://gld.legislaturacba.gob.ar/Publics/Actas.aspx?id=oqGD5vZovfA=</v>
      </c>
      <c r="T348" s="99">
        <f t="shared" ca="1" si="0"/>
        <v>0</v>
      </c>
    </row>
    <row r="349" spans="1:20">
      <c r="A349" s="20">
        <f ca="1">IFERROR(__xludf.DUMMYFUNCTION("""COMPUTED_VALUE"""),111)</f>
        <v>111</v>
      </c>
      <c r="B349" s="20">
        <f ca="1">IFERROR(__xludf.DUMMYFUNCTION("""COMPUTED_VALUE"""),2021)</f>
        <v>2021</v>
      </c>
      <c r="C349" s="20" t="str">
        <f ca="1">IFERROR(__xludf.DUMMYFUNCTION("""COMPUTED_VALUE"""),"VIRTUAL")</f>
        <v>VIRTUAL</v>
      </c>
      <c r="D349" s="96">
        <f ca="1">IFERROR(__xludf.DUMMYFUNCTION("""COMPUTED_VALUE"""),44350)</f>
        <v>44350</v>
      </c>
      <c r="E349" s="20" t="str">
        <f ca="1">IFERROR(__xludf.DUMMYFUNCTION("""COMPUTED_VALUE"""),"SI")</f>
        <v>SI</v>
      </c>
      <c r="F349" s="20" t="str">
        <f ca="1">IFERROR(__xludf.DUMMYFUNCTION("""COMPUTED_VALUE"""),"ECONOMÍA, PRESUPUESTO, GESTIÓN PÚBLICA E INNOVACIÓN;LEGISLACIÓN GENERAL;SALUD HUMANA")</f>
        <v>ECONOMÍA, PRESUPUESTO, GESTIÓN PÚBLICA E INNOVACIÓN;LEGISLACIÓN GENERAL;SALUD HUMANA</v>
      </c>
      <c r="G349" s="20">
        <f ca="1">IFERROR(__xludf.DUMMYFUNCTION("""COMPUTED_VALUE"""),3)</f>
        <v>3</v>
      </c>
      <c r="H349" s="20">
        <f ca="1">IFERROR(__xludf.DUMMYFUNCTION("""COMPUTED_VALUE"""),1)</f>
        <v>1</v>
      </c>
      <c r="I349" s="20">
        <f ca="1">IFERROR(__xludf.DUMMYFUNCTION("""COMPUTED_VALUE"""),1)</f>
        <v>1</v>
      </c>
      <c r="J349" s="20" t="str">
        <f ca="1">IFERROR(__xludf.DUMMYFUNCTION("""COMPUTED_VALUE"""),"Ley")</f>
        <v>Ley</v>
      </c>
      <c r="K349" s="20">
        <f ca="1">IFERROR(__xludf.DUMMYFUNCTION("""COMPUTED_VALUE"""),32954)</f>
        <v>32954</v>
      </c>
      <c r="L349" s="20" t="str">
        <f ca="1">IFERROR(__xludf.DUMMYFUNCTION("""COMPUTED_VALUE"""),"Poder Ejecutivo Provincial")</f>
        <v>Poder Ejecutivo Provincial</v>
      </c>
      <c r="M349" s="20" t="str">
        <f ca="1">IFERROR(__xludf.DUMMYFUNCTION("""COMPUTED_VALUE"""),"Autorizando a gestionar la adquisición de vacunas destinadas a generar inmunidad adquirida contra el Covid-19, eximiendo de todo tributo a los contratos respectivos y creando la Comisión de Seguimiento en la Legislatura para el control de la compra y dist"&amp;"ribución")</f>
        <v>Autorizando a gestionar la adquisición de vacunas destinadas a generar inmunidad adquirida contra el Covid-19, eximiendo de todo tributo a los contratos respectivos y creando la Comisión de Seguimiento en la Legislatura para el control de la compra y distribución</v>
      </c>
      <c r="N349" s="20" t="str">
        <f ca="1">IFERROR(__xludf.DUMMYFUNCTION("""COMPUTED_VALUE"""),"NO")</f>
        <v>NO</v>
      </c>
      <c r="O349" s="20" t="str">
        <f ca="1">IFERROR(__xludf.DUMMYFUNCTION("""COMPUTED_VALUE"""),"NO")</f>
        <v>NO</v>
      </c>
      <c r="P349" s="20">
        <f ca="1">IFERROR(__xludf.DUMMYFUNCTION("""COMPUTED_VALUE"""),0)</f>
        <v>0</v>
      </c>
      <c r="Q349" s="113" t="str">
        <f ca="1">IFERROR(__xludf.DUMMYFUNCTION("""COMPUTED_VALUE"""),"https://gld.legislaturacba.gob.ar/_cdd/api/Documento/descargar?guid=e340341c-c7c8-4187-af1d-be320dc0cf61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v>
      </c>
      <c r="R349" s="113" t="str">
        <f ca="1">IFERROR(__xludf.DUMMYFUNCTION("""COMPUTED_VALUE"""),"https://www.youtube.com/watch?v=ipPhH4x6s5s")</f>
        <v>https://www.youtube.com/watch?v=ipPhH4x6s5s</v>
      </c>
      <c r="S349" s="113" t="str">
        <f ca="1">IFERROR(__xludf.DUMMYFUNCTION("""COMPUTED_VALUE"""),"https://gld.legislaturacba.gob.ar/Publics/Actas.aspx?id=sBt_QC4D32I=;https://gld.legislaturacba.gob.ar/Publics/Actas.aspx?id=8ysqMhlsbW8=;https://gld.legislaturacba.gob.ar/Publics/Actas.aspx?id=1g4-lm1-H3w=")</f>
        <v>https://gld.legislaturacba.gob.ar/Publics/Actas.aspx?id=sBt_QC4D32I=;https://gld.legislaturacba.gob.ar/Publics/Actas.aspx?id=8ysqMhlsbW8=;https://gld.legislaturacba.gob.ar/Publics/Actas.aspx?id=1g4-lm1-H3w=</v>
      </c>
      <c r="T349" s="99">
        <f t="shared" ca="1" si="0"/>
        <v>0</v>
      </c>
    </row>
    <row r="350" spans="1:20">
      <c r="A350" s="20">
        <f ca="1">IFERROR(__xludf.DUMMYFUNCTION("""COMPUTED_VALUE"""),112)</f>
        <v>112</v>
      </c>
      <c r="B350" s="20">
        <f ca="1">IFERROR(__xludf.DUMMYFUNCTION("""COMPUTED_VALUE"""),2021)</f>
        <v>2021</v>
      </c>
      <c r="C350" s="20" t="str">
        <f ca="1">IFERROR(__xludf.DUMMYFUNCTION("""COMPUTED_VALUE"""),"VIRTUAL")</f>
        <v>VIRTUAL</v>
      </c>
      <c r="D350" s="96">
        <f ca="1">IFERROR(__xludf.DUMMYFUNCTION("""COMPUTED_VALUE"""),44350)</f>
        <v>44350</v>
      </c>
      <c r="E350" s="20" t="str">
        <f ca="1">IFERROR(__xludf.DUMMYFUNCTION("""COMPUTED_VALUE"""),"NO")</f>
        <v>NO</v>
      </c>
      <c r="F350" s="20" t="str">
        <f ca="1">IFERROR(__xludf.DUMMYFUNCTION("""COMPUTED_VALUE"""),"PREVENCIÓN, TRATAMIENTO Y CONTROL DE LAS ADICCIONES")</f>
        <v>PREVENCIÓN, TRATAMIENTO Y CONTROL DE LAS ADICCIONES</v>
      </c>
      <c r="G350" s="20">
        <f ca="1">IFERROR(__xludf.DUMMYFUNCTION("""COMPUTED_VALUE"""),1)</f>
        <v>1</v>
      </c>
      <c r="H350" s="20">
        <f ca="1">IFERROR(__xludf.DUMMYFUNCTION("""COMPUTED_VALUE"""),1)</f>
        <v>1</v>
      </c>
      <c r="I350" s="20">
        <f ca="1">IFERROR(__xludf.DUMMYFUNCTION("""COMPUTED_VALUE"""),1)</f>
        <v>1</v>
      </c>
      <c r="J350" s="20" t="str">
        <f ca="1">IFERROR(__xludf.DUMMYFUNCTION("""COMPUTED_VALUE"""),"NA")</f>
        <v>NA</v>
      </c>
      <c r="K350" s="20" t="str">
        <f ca="1">IFERROR(__xludf.DUMMYFUNCTION("""COMPUTED_VALUE"""),"NA")</f>
        <v>NA</v>
      </c>
      <c r="L350" s="20" t="str">
        <f ca="1">IFERROR(__xludf.DUMMYFUNCTION("""COMPUTED_VALUE"""),"NA")</f>
        <v>NA</v>
      </c>
      <c r="M350" s="20" t="str">
        <f ca="1">IFERROR(__xludf.DUMMYFUNCTION("""COMPUTED_VALUE"""),"Informe sobre la situación asistencial en el marco de la pandemia. Programa provincial para dejar de fumar")</f>
        <v>Informe sobre la situación asistencial en el marco de la pandemia. Programa provincial para dejar de fumar</v>
      </c>
      <c r="N350" s="20" t="str">
        <f ca="1">IFERROR(__xludf.DUMMYFUNCTION("""COMPUTED_VALUE"""),"NA")</f>
        <v>NA</v>
      </c>
      <c r="O350" s="20" t="str">
        <f ca="1">IFERROR(__xludf.DUMMYFUNCTION("""COMPUTED_VALUE"""),"SI")</f>
        <v>SI</v>
      </c>
      <c r="P350" s="20">
        <f ca="1">IFERROR(__xludf.DUMMYFUNCTION("""COMPUTED_VALUE"""),1)</f>
        <v>1</v>
      </c>
      <c r="Q350" s="113" t="str">
        <f ca="1">IFERROR(__xludf.DUMMYFUNCTION("""COMPUTED_VALUE"""),"https://gld.legislaturacba.gob.ar/_cdd/api/Documento/descargar?guid=8b25df6e-65f7-4699-abc3-ea1001bba3d0&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v>
      </c>
      <c r="R350" s="113" t="str">
        <f ca="1">IFERROR(__xludf.DUMMYFUNCTION("""COMPUTED_VALUE"""),"https://www.youtube.com/watch?v=gtl64Qui3P8")</f>
        <v>https://www.youtube.com/watch?v=gtl64Qui3P8</v>
      </c>
      <c r="S350" s="113" t="str">
        <f ca="1">IFERROR(__xludf.DUMMYFUNCTION("""COMPUTED_VALUE"""),"https://gld.legislaturacba.gob.ar/Publics/Actas.aspx?id=DNaGY1SY15Y=")</f>
        <v>https://gld.legislaturacba.gob.ar/Publics/Actas.aspx?id=DNaGY1SY15Y=</v>
      </c>
      <c r="T350" s="99">
        <f t="shared" ca="1" si="0"/>
        <v>0</v>
      </c>
    </row>
    <row r="351" spans="1:20">
      <c r="A351" s="20">
        <f ca="1">IFERROR(__xludf.DUMMYFUNCTION("""COMPUTED_VALUE"""),113)</f>
        <v>113</v>
      </c>
      <c r="B351" s="20">
        <f ca="1">IFERROR(__xludf.DUMMYFUNCTION("""COMPUTED_VALUE"""),2021)</f>
        <v>2021</v>
      </c>
      <c r="C351" s="20" t="str">
        <f ca="1">IFERROR(__xludf.DUMMYFUNCTION("""COMPUTED_VALUE"""),"VIRTUAL")</f>
        <v>VIRTUAL</v>
      </c>
      <c r="D351" s="96">
        <f ca="1">IFERROR(__xludf.DUMMYFUNCTION("""COMPUTED_VALUE"""),44355)</f>
        <v>44355</v>
      </c>
      <c r="E351" s="20" t="str">
        <f ca="1">IFERROR(__xludf.DUMMYFUNCTION("""COMPUTED_VALUE"""),"SI")</f>
        <v>SI</v>
      </c>
      <c r="F351" s="20" t="str">
        <f ca="1">IFERROR(__xludf.DUMMYFUNCTION("""COMPUTED_VALUE"""),"ECONOMÍA, PRESUPUESTO, GESTIÓN PÚBLICA E INNOVACIÓN;LEGISLACIÓN GENERAL;SALUD HUMANA")</f>
        <v>ECONOMÍA, PRESUPUESTO, GESTIÓN PÚBLICA E INNOVACIÓN;LEGISLACIÓN GENERAL;SALUD HUMANA</v>
      </c>
      <c r="G351" s="20">
        <f ca="1">IFERROR(__xludf.DUMMYFUNCTION("""COMPUTED_VALUE"""),3)</f>
        <v>3</v>
      </c>
      <c r="H351" s="20">
        <f ca="1">IFERROR(__xludf.DUMMYFUNCTION("""COMPUTED_VALUE"""),1)</f>
        <v>1</v>
      </c>
      <c r="I351" s="20">
        <f ca="1">IFERROR(__xludf.DUMMYFUNCTION("""COMPUTED_VALUE"""),1)</f>
        <v>1</v>
      </c>
      <c r="J351" s="20" t="str">
        <f ca="1">IFERROR(__xludf.DUMMYFUNCTION("""COMPUTED_VALUE"""),"Ley")</f>
        <v>Ley</v>
      </c>
      <c r="K351" s="20">
        <f ca="1">IFERROR(__xludf.DUMMYFUNCTION("""COMPUTED_VALUE"""),32954)</f>
        <v>32954</v>
      </c>
      <c r="L351" s="20" t="str">
        <f ca="1">IFERROR(__xludf.DUMMYFUNCTION("""COMPUTED_VALUE"""),"Poder Ejecutivo Provincial")</f>
        <v>Poder Ejecutivo Provincial</v>
      </c>
      <c r="M351" s="20" t="str">
        <f ca="1">IFERROR(__xludf.DUMMYFUNCTION("""COMPUTED_VALUE"""),"Autorizando a gestionar la adquisición de vacunas destinadas a generar inmunidad adquirida contra el Covid-19, eximiendo de todo tributo a los contratos respectivos y creando la Comisión de Seguimiento en la Legislatura para el control de la compra y dist"&amp;"ribución")</f>
        <v>Autorizando a gestionar la adquisición de vacunas destinadas a generar inmunidad adquirida contra el Covid-19, eximiendo de todo tributo a los contratos respectivos y creando la Comisión de Seguimiento en la Legislatura para el control de la compra y distribución</v>
      </c>
      <c r="N351" s="20" t="str">
        <f ca="1">IFERROR(__xludf.DUMMYFUNCTION("""COMPUTED_VALUE"""),"SI")</f>
        <v>SI</v>
      </c>
      <c r="O351" s="20" t="str">
        <f ca="1">IFERROR(__xludf.DUMMYFUNCTION("""COMPUTED_VALUE"""),"SI")</f>
        <v>SI</v>
      </c>
      <c r="P351" s="20">
        <f ca="1">IFERROR(__xludf.DUMMYFUNCTION("""COMPUTED_VALUE"""),1)</f>
        <v>1</v>
      </c>
      <c r="Q351" s="113" t="str">
        <f ca="1">IFERROR(__xludf.DUMMYFUNCTION("""COMPUTED_VALUE"""),"https://gld.legislaturacba.gob.ar/_cdd/api/Documento/descargar?guid=62d75e4e-f7fb-4e4c-a23d-60aadaee70f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v>
      </c>
      <c r="R351" s="113" t="str">
        <f ca="1">IFERROR(__xludf.DUMMYFUNCTION("""COMPUTED_VALUE"""),"https://www.youtube.com/watch?v=2wkGrycC-Gg")</f>
        <v>https://www.youtube.com/watch?v=2wkGrycC-Gg</v>
      </c>
      <c r="S351" s="113" t="str">
        <f ca="1">IFERROR(__xludf.DUMMYFUNCTION("""COMPUTED_VALUE"""),"https://gld.legislaturacba.gob.ar/Publics/Actas.aspx?id=lK7dLC7PYWk=;https://gld.legislaturacba.gob.ar/Publics/Actas.aspx?id=wBlgR4RFwtw=;https://gld.legislaturacba.gob.ar/Publics/Actas.aspx?id=2fKoNedgjpQ=")</f>
        <v>https://gld.legislaturacba.gob.ar/Publics/Actas.aspx?id=lK7dLC7PYWk=;https://gld.legislaturacba.gob.ar/Publics/Actas.aspx?id=wBlgR4RFwtw=;https://gld.legislaturacba.gob.ar/Publics/Actas.aspx?id=2fKoNedgjpQ=</v>
      </c>
      <c r="T351" s="99">
        <f t="shared" ca="1" si="0"/>
        <v>0</v>
      </c>
    </row>
    <row r="352" spans="1:20">
      <c r="A352" s="20">
        <f ca="1">IFERROR(__xludf.DUMMYFUNCTION("""COMPUTED_VALUE"""),114)</f>
        <v>114</v>
      </c>
      <c r="B352" s="20">
        <f ca="1">IFERROR(__xludf.DUMMYFUNCTION("""COMPUTED_VALUE"""),2021)</f>
        <v>2021</v>
      </c>
      <c r="C352" s="20" t="str">
        <f ca="1">IFERROR(__xludf.DUMMYFUNCTION("""COMPUTED_VALUE"""),"VIRTUAL")</f>
        <v>VIRTUAL</v>
      </c>
      <c r="D352" s="96">
        <f ca="1">IFERROR(__xludf.DUMMYFUNCTION("""COMPUTED_VALUE"""),44355)</f>
        <v>44355</v>
      </c>
      <c r="E352" s="20" t="str">
        <f ca="1">IFERROR(__xludf.DUMMYFUNCTION("""COMPUTED_VALUE"""),"NO")</f>
        <v>NO</v>
      </c>
      <c r="F352" s="20" t="str">
        <f ca="1">IFERROR(__xludf.DUMMYFUNCTION("""COMPUTED_VALUE"""),"PROMOCIÓN Y DEFENSA DE LOS DERECHOS DE LA NIÑEZ, ADOLESCENCIA Y FAMILIA")</f>
        <v>PROMOCIÓN Y DEFENSA DE LOS DERECHOS DE LA NIÑEZ, ADOLESCENCIA Y FAMILIA</v>
      </c>
      <c r="G352" s="20">
        <f ca="1">IFERROR(__xludf.DUMMYFUNCTION("""COMPUTED_VALUE"""),1)</f>
        <v>1</v>
      </c>
      <c r="H352" s="20">
        <f ca="1">IFERROR(__xludf.DUMMYFUNCTION("""COMPUTED_VALUE"""),1)</f>
        <v>1</v>
      </c>
      <c r="I352" s="20">
        <f ca="1">IFERROR(__xludf.DUMMYFUNCTION("""COMPUTED_VALUE"""),1)</f>
        <v>1</v>
      </c>
      <c r="J352" s="20" t="str">
        <f ca="1">IFERROR(__xludf.DUMMYFUNCTION("""COMPUTED_VALUE"""),"NA")</f>
        <v>NA</v>
      </c>
      <c r="K352" s="20" t="str">
        <f ca="1">IFERROR(__xludf.DUMMYFUNCTION("""COMPUTED_VALUE"""),"NA")</f>
        <v>NA</v>
      </c>
      <c r="L352" s="20" t="str">
        <f ca="1">IFERROR(__xludf.DUMMYFUNCTION("""COMPUTED_VALUE"""),"NA")</f>
        <v>NA</v>
      </c>
      <c r="M352" s="20" t="str">
        <f ca="1">IFERROR(__xludf.DUMMYFUNCTION("""COMPUTED_VALUE"""),"Informe de Gestión de la Secretaría de Niñez, Adolescencia y Familia")</f>
        <v>Informe de Gestión de la Secretaría de Niñez, Adolescencia y Familia</v>
      </c>
      <c r="N352" s="20" t="str">
        <f ca="1">IFERROR(__xludf.DUMMYFUNCTION("""COMPUTED_VALUE"""),"NA")</f>
        <v>NA</v>
      </c>
      <c r="O352" s="20" t="str">
        <f ca="1">IFERROR(__xludf.DUMMYFUNCTION("""COMPUTED_VALUE"""),"SI")</f>
        <v>SI</v>
      </c>
      <c r="P352" s="20">
        <f ca="1">IFERROR(__xludf.DUMMYFUNCTION("""COMPUTED_VALUE"""),4)</f>
        <v>4</v>
      </c>
      <c r="Q352" s="113" t="str">
        <f ca="1">IFERROR(__xludf.DUMMYFUNCTION("""COMPUTED_VALUE"""),"https://gld.legislaturacba.gob.ar/_cdd/api/Documento/descargar?guid=f7dc96fd-fb15-4ef5-915e-32deef2f2f12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v>
      </c>
      <c r="R352" s="113" t="str">
        <f ca="1">IFERROR(__xludf.DUMMYFUNCTION("""COMPUTED_VALUE"""),"https://www.youtube.com/watch?v=H7eFMRJLF1c")</f>
        <v>https://www.youtube.com/watch?v=H7eFMRJLF1c</v>
      </c>
      <c r="S352" s="113" t="str">
        <f ca="1">IFERROR(__xludf.DUMMYFUNCTION("""COMPUTED_VALUE"""),"https://gld.legislaturacba.gob.ar/Publics/Actas.aspx?id=VMukCI7nhGo=")</f>
        <v>https://gld.legislaturacba.gob.ar/Publics/Actas.aspx?id=VMukCI7nhGo=</v>
      </c>
      <c r="T352" s="99">
        <f t="shared" ca="1" si="0"/>
        <v>0</v>
      </c>
    </row>
    <row r="353" spans="1:20">
      <c r="A353" s="20">
        <f ca="1">IFERROR(__xludf.DUMMYFUNCTION("""COMPUTED_VALUE"""),115)</f>
        <v>115</v>
      </c>
      <c r="B353" s="20">
        <f ca="1">IFERROR(__xludf.DUMMYFUNCTION("""COMPUTED_VALUE"""),2021)</f>
        <v>2021</v>
      </c>
      <c r="C353" s="20" t="str">
        <f ca="1">IFERROR(__xludf.DUMMYFUNCTION("""COMPUTED_VALUE"""),"VIRTUAL")</f>
        <v>VIRTUAL</v>
      </c>
      <c r="D353" s="96">
        <f ca="1">IFERROR(__xludf.DUMMYFUNCTION("""COMPUTED_VALUE"""),44355)</f>
        <v>44355</v>
      </c>
      <c r="E353" s="20" t="str">
        <f ca="1">IFERROR(__xludf.DUMMYFUNCTION("""COMPUTED_VALUE"""),"SI")</f>
        <v>SI</v>
      </c>
      <c r="F353" s="20" t="str">
        <f ca="1">IFERROR(__xludf.DUMMYFUNCTION("""COMPUTED_VALUE"""),"LEGISLACIÓN DEL TRABAJO, PREVISIÓN Y SEGURIDAD SOCIAL;PROMOCIÓN Y DEFENSA DE LOS DERECHOS DE LA NIÑEZ, ADOLESCENCIA Y FAMILIA")</f>
        <v>LEGISLACIÓN DEL TRABAJO, PREVISIÓN Y SEGURIDAD SOCIAL;PROMOCIÓN Y DEFENSA DE LOS DERECHOS DE LA NIÑEZ, ADOLESCENCIA Y FAMILIA</v>
      </c>
      <c r="G353" s="20">
        <f ca="1">IFERROR(__xludf.DUMMYFUNCTION("""COMPUTED_VALUE"""),2)</f>
        <v>2</v>
      </c>
      <c r="H353" s="20">
        <f ca="1">IFERROR(__xludf.DUMMYFUNCTION("""COMPUTED_VALUE"""),1)</f>
        <v>1</v>
      </c>
      <c r="I353" s="20">
        <f ca="1">IFERROR(__xludf.DUMMYFUNCTION("""COMPUTED_VALUE"""),1)</f>
        <v>1</v>
      </c>
      <c r="J353" s="20" t="str">
        <f ca="1">IFERROR(__xludf.DUMMYFUNCTION("""COMPUTED_VALUE"""),"NA")</f>
        <v>NA</v>
      </c>
      <c r="K353" s="20" t="str">
        <f ca="1">IFERROR(__xludf.DUMMYFUNCTION("""COMPUTED_VALUE"""),"NA")</f>
        <v>NA</v>
      </c>
      <c r="L353" s="20" t="str">
        <f ca="1">IFERROR(__xludf.DUMMYFUNCTION("""COMPUTED_VALUE"""),"NA")</f>
        <v>NA</v>
      </c>
      <c r="M353" s="20" t="str">
        <f ca="1">IFERROR(__xludf.DUMMYFUNCTION("""COMPUTED_VALUE"""),"Anteproyecto de Declaración por el dia contra el trabajo infantil, que se celebra el 12 de junio de cada año")</f>
        <v>Anteproyecto de Declaración por el dia contra el trabajo infantil, que se celebra el 12 de junio de cada año</v>
      </c>
      <c r="N353" s="20" t="str">
        <f ca="1">IFERROR(__xludf.DUMMYFUNCTION("""COMPUTED_VALUE"""),"NA")</f>
        <v>NA</v>
      </c>
      <c r="O353" s="20" t="str">
        <f ca="1">IFERROR(__xludf.DUMMYFUNCTION("""COMPUTED_VALUE"""),"SI")</f>
        <v>SI</v>
      </c>
      <c r="P353" s="20">
        <f ca="1">IFERROR(__xludf.DUMMYFUNCTION("""COMPUTED_VALUE"""),1)</f>
        <v>1</v>
      </c>
      <c r="Q353" s="113" t="str">
        <f ca="1">IFERROR(__xludf.DUMMYFUNCTION("""COMPUTED_VALUE"""),"https://gld.legislaturacba.gob.ar/_cdd/api/Documento/descargar?guid=6eadff60-a9f7-4679-8887-c9fc3fa5370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v>
      </c>
      <c r="R353" s="113" t="str">
        <f ca="1">IFERROR(__xludf.DUMMYFUNCTION("""COMPUTED_VALUE"""),"https://www.youtube.com/watch?v=bVFYSKOxpYw")</f>
        <v>https://www.youtube.com/watch?v=bVFYSKOxpYw</v>
      </c>
      <c r="S353" s="113" t="str">
        <f ca="1">IFERROR(__xludf.DUMMYFUNCTION("""COMPUTED_VALUE"""),"https://gld.legislaturacba.gob.ar/Publics/Actas.aspx?id=lJ8ILD-6yXo=;https://gld.legislaturacba.gob.ar/Publics/Actas.aspx?id=Kdf_XCaoJjU=")</f>
        <v>https://gld.legislaturacba.gob.ar/Publics/Actas.aspx?id=lJ8ILD-6yXo=;https://gld.legislaturacba.gob.ar/Publics/Actas.aspx?id=Kdf_XCaoJjU=</v>
      </c>
      <c r="T353" s="99">
        <f t="shared" ca="1" si="0"/>
        <v>0</v>
      </c>
    </row>
    <row r="354" spans="1:20">
      <c r="A354" s="20">
        <f ca="1">IFERROR(__xludf.DUMMYFUNCTION("""COMPUTED_VALUE"""),116)</f>
        <v>116</v>
      </c>
      <c r="B354" s="20">
        <f ca="1">IFERROR(__xludf.DUMMYFUNCTION("""COMPUTED_VALUE"""),2021)</f>
        <v>2021</v>
      </c>
      <c r="C354" s="20" t="str">
        <f ca="1">IFERROR(__xludf.DUMMYFUNCTION("""COMPUTED_VALUE"""),"VIRTUAL")</f>
        <v>VIRTUAL</v>
      </c>
      <c r="D354" s="96">
        <f ca="1">IFERROR(__xludf.DUMMYFUNCTION("""COMPUTED_VALUE"""),44355)</f>
        <v>44355</v>
      </c>
      <c r="E354" s="20" t="str">
        <f ca="1">IFERROR(__xludf.DUMMYFUNCTION("""COMPUTED_VALUE"""),"SI")</f>
        <v>SI</v>
      </c>
      <c r="F354" s="20" t="str">
        <f ca="1">IFERROR(__xludf.DUMMYFUNCTION("""COMPUTED_VALUE"""),"ECONOMÍA, PRESUPUESTO, GESTIÓN PÚBLICA E INNOVACIÓN;OBRAS PÚBLICAS, VIVIENDA Y COMUNICACIONES")</f>
        <v>ECONOMÍA, PRESUPUESTO, GESTIÓN PÚBLICA E INNOVACIÓN;OBRAS PÚBLICAS, VIVIENDA Y COMUNICACIONES</v>
      </c>
      <c r="G354" s="20">
        <f ca="1">IFERROR(__xludf.DUMMYFUNCTION("""COMPUTED_VALUE"""),2)</f>
        <v>2</v>
      </c>
      <c r="H354" s="20">
        <f ca="1">IFERROR(__xludf.DUMMYFUNCTION("""COMPUTED_VALUE"""),1)</f>
        <v>1</v>
      </c>
      <c r="I354" s="20">
        <f ca="1">IFERROR(__xludf.DUMMYFUNCTION("""COMPUTED_VALUE"""),1)</f>
        <v>1</v>
      </c>
      <c r="J354" s="20" t="str">
        <f ca="1">IFERROR(__xludf.DUMMYFUNCTION("""COMPUTED_VALUE"""),"Ley")</f>
        <v>Ley</v>
      </c>
      <c r="K354" s="20">
        <f ca="1">IFERROR(__xludf.DUMMYFUNCTION("""COMPUTED_VALUE"""),32827)</f>
        <v>32827</v>
      </c>
      <c r="L354" s="20" t="str">
        <f ca="1">IFERROR(__xludf.DUMMYFUNCTION("""COMPUTED_VALUE"""),"Poder Ejecutivo Provincial")</f>
        <v>Poder Ejecutivo Provincial</v>
      </c>
      <c r="M354" s="20" t="str">
        <f ca="1">IFERROR(__xludf.DUMMYFUNCTION("""COMPUTED_VALUE"""),"Eximiendo del Impuesto de Sellos a los actos, contratos y/o instrumentos celebrados entre quienes asuman el carácter de desarrolladores, constructores o vehículos de inversión de los proyectos inmobiliarios comprendidos en la Ley Nacional Nº 27613 -de Inc"&amp;"entivo a la Construcción Federal y Acceso a la Vivienda-y los inversores con el objeto de la construcción, ejecución, transferencias y/o cesiones de obras y/o inmuebles")</f>
        <v>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v>
      </c>
      <c r="N354" s="20" t="str">
        <f ca="1">IFERROR(__xludf.DUMMYFUNCTION("""COMPUTED_VALUE"""),"NO")</f>
        <v>NO</v>
      </c>
      <c r="O354" s="20" t="str">
        <f ca="1">IFERROR(__xludf.DUMMYFUNCTION("""COMPUTED_VALUE"""),"SI")</f>
        <v>SI</v>
      </c>
      <c r="P354" s="20">
        <f ca="1">IFERROR(__xludf.DUMMYFUNCTION("""COMPUTED_VALUE"""),1)</f>
        <v>1</v>
      </c>
      <c r="Q354" s="113" t="str">
        <f ca="1">IFERROR(__xludf.DUMMYFUNCTION("""COMPUTED_VALUE"""),"https://gld.legislaturacba.gob.ar/_cdd/api/Documento/descargar?guid=27b5bce1-31a5-4d3e-b77e-54e302af71d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v>
      </c>
      <c r="R354" s="113" t="str">
        <f ca="1">IFERROR(__xludf.DUMMYFUNCTION("""COMPUTED_VALUE"""),"https://www.youtube.com/watch?v=U4xTMyx7Nw4")</f>
        <v>https://www.youtube.com/watch?v=U4xTMyx7Nw4</v>
      </c>
      <c r="S354" s="113" t="str">
        <f ca="1">IFERROR(__xludf.DUMMYFUNCTION("""COMPUTED_VALUE"""),"https://gld.legislaturacba.gob.ar/Publics/Actas.aspx?id=hbOXMv5KW9c=;https://gld.legislaturacba.gob.ar/Publics/Actas.aspx?id=uLY5DAtMs7Q=")</f>
        <v>https://gld.legislaturacba.gob.ar/Publics/Actas.aspx?id=hbOXMv5KW9c=;https://gld.legislaturacba.gob.ar/Publics/Actas.aspx?id=uLY5DAtMs7Q=</v>
      </c>
      <c r="T354" s="99">
        <f t="shared" ca="1" si="0"/>
        <v>0</v>
      </c>
    </row>
    <row r="355" spans="1:20">
      <c r="A355" s="20">
        <f ca="1">IFERROR(__xludf.DUMMYFUNCTION("""COMPUTED_VALUE"""),117)</f>
        <v>117</v>
      </c>
      <c r="B355" s="20">
        <f ca="1">IFERROR(__xludf.DUMMYFUNCTION("""COMPUTED_VALUE"""),2021)</f>
        <v>2021</v>
      </c>
      <c r="C355" s="20" t="str">
        <f ca="1">IFERROR(__xludf.DUMMYFUNCTION("""COMPUTED_VALUE"""),"VIRTUAL")</f>
        <v>VIRTUAL</v>
      </c>
      <c r="D355" s="96">
        <f ca="1">IFERROR(__xludf.DUMMYFUNCTION("""COMPUTED_VALUE"""),44355)</f>
        <v>44355</v>
      </c>
      <c r="E355" s="20" t="str">
        <f ca="1">IFERROR(__xludf.DUMMYFUNCTION("""COMPUTED_VALUE"""),"SI")</f>
        <v>SI</v>
      </c>
      <c r="F355" s="20" t="str">
        <f ca="1">IFERROR(__xludf.DUMMYFUNCTION("""COMPUTED_VALUE"""),"ECONOMÍA SOCIAL, COOPERATIVAS Y MUTUALES;EQUIDAD Y LUCHA CONTRA LA VIOLENCIA DE GÉNERO")</f>
        <v>ECONOMÍA SOCIAL, COOPERATIVAS Y MUTUALES;EQUIDAD Y LUCHA CONTRA LA VIOLENCIA DE GÉNERO</v>
      </c>
      <c r="G355" s="20">
        <f ca="1">IFERROR(__xludf.DUMMYFUNCTION("""COMPUTED_VALUE"""),2)</f>
        <v>2</v>
      </c>
      <c r="H355" s="20">
        <f ca="1">IFERROR(__xludf.DUMMYFUNCTION("""COMPUTED_VALUE"""),1)</f>
        <v>1</v>
      </c>
      <c r="I355" s="20">
        <f ca="1">IFERROR(__xludf.DUMMYFUNCTION("""COMPUTED_VALUE"""),1)</f>
        <v>1</v>
      </c>
      <c r="J355" s="20" t="str">
        <f ca="1">IFERROR(__xludf.DUMMYFUNCTION("""COMPUTED_VALUE"""),"Declaración")</f>
        <v>Declaración</v>
      </c>
      <c r="K355" s="20">
        <f ca="1">IFERROR(__xludf.DUMMYFUNCTION("""COMPUTED_VALUE"""),33007)</f>
        <v>33007</v>
      </c>
      <c r="L355" s="20" t="str">
        <f ca="1">IFERROR(__xludf.DUMMYFUNCTION("""COMPUTED_VALUE"""),"Poder Legislativo Provincial")</f>
        <v>Poder Legislativo Provincial</v>
      </c>
      <c r="M355" s="20" t="str">
        <f ca="1">IFERROR(__xludf.DUMMYFUNCTION("""COMPUTED_VALUE"""),"Adhesión y beneplácito por el Pacto Cooperativo por la No Violencia de Género, creado por el Comité de Equidad de Género de la Confederación Cooperativa de la Republica Argentina Ltda. (Cooperar)")</f>
        <v>Adhesión y beneplácito por el Pacto Cooperativo por la No Violencia de Género, creado por el Comité de Equidad de Género de la Confederación Cooperativa de la Republica Argentina Ltda. (Cooperar)</v>
      </c>
      <c r="N355" s="20" t="str">
        <f ca="1">IFERROR(__xludf.DUMMYFUNCTION("""COMPUTED_VALUE"""),"NO")</f>
        <v>NO</v>
      </c>
      <c r="O355" s="20" t="str">
        <f ca="1">IFERROR(__xludf.DUMMYFUNCTION("""COMPUTED_VALUE"""),"NO")</f>
        <v>NO</v>
      </c>
      <c r="P355" s="20">
        <f ca="1">IFERROR(__xludf.DUMMYFUNCTION("""COMPUTED_VALUE"""),0)</f>
        <v>0</v>
      </c>
      <c r="Q355" s="113" t="str">
        <f ca="1">IFERROR(__xludf.DUMMYFUNCTION("""COMPUTED_VALUE"""),"https://gld.legislaturacba.gob.ar/_cdd/api/Documento/descargar?guid=d14df690-4145-466e-b272-14a0bc275005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v>
      </c>
      <c r="R355" s="113" t="str">
        <f ca="1">IFERROR(__xludf.DUMMYFUNCTION("""COMPUTED_VALUE"""),"https://www.youtube.com/watch?v=nuEnyHRlhF8")</f>
        <v>https://www.youtube.com/watch?v=nuEnyHRlhF8</v>
      </c>
      <c r="S355" s="113" t="str">
        <f ca="1">IFERROR(__xludf.DUMMYFUNCTION("""COMPUTED_VALUE"""),"https://gld.legislaturacba.gob.ar/Publics/Actas.aspx?id=zh3_oJQCuEs=;https://gld.legislaturacba.gob.ar/Publics/Actas.aspx?id=14oZpYZaOYE=")</f>
        <v>https://gld.legislaturacba.gob.ar/Publics/Actas.aspx?id=zh3_oJQCuEs=;https://gld.legislaturacba.gob.ar/Publics/Actas.aspx?id=14oZpYZaOYE=</v>
      </c>
      <c r="T355" s="99">
        <f t="shared" ca="1" si="0"/>
        <v>0</v>
      </c>
    </row>
    <row r="356" spans="1:20">
      <c r="A356" s="20">
        <f ca="1">IFERROR(__xludf.DUMMYFUNCTION("""COMPUTED_VALUE"""),118)</f>
        <v>118</v>
      </c>
      <c r="B356" s="20">
        <f ca="1">IFERROR(__xludf.DUMMYFUNCTION("""COMPUTED_VALUE"""),2021)</f>
        <v>2021</v>
      </c>
      <c r="C356" s="20" t="str">
        <f ca="1">IFERROR(__xludf.DUMMYFUNCTION("""COMPUTED_VALUE"""),"VIRTUAL")</f>
        <v>VIRTUAL</v>
      </c>
      <c r="D356" s="96">
        <f ca="1">IFERROR(__xludf.DUMMYFUNCTION("""COMPUTED_VALUE"""),44356)</f>
        <v>44356</v>
      </c>
      <c r="E356" s="20" t="str">
        <f ca="1">IFERROR(__xludf.DUMMYFUNCTION("""COMPUTED_VALUE"""),"NO")</f>
        <v>NO</v>
      </c>
      <c r="F356" s="20" t="str">
        <f ca="1">IFERROR(__xludf.DUMMYFUNCTION("""COMPUTED_VALUE"""),"SERVICIOS PÚBLICOS")</f>
        <v>SERVICIOS PÚBLICOS</v>
      </c>
      <c r="G356" s="20">
        <f ca="1">IFERROR(__xludf.DUMMYFUNCTION("""COMPUTED_VALUE"""),1)</f>
        <v>1</v>
      </c>
      <c r="H356" s="20">
        <f ca="1">IFERROR(__xludf.DUMMYFUNCTION("""COMPUTED_VALUE"""),1)</f>
        <v>1</v>
      </c>
      <c r="I356" s="20">
        <f ca="1">IFERROR(__xludf.DUMMYFUNCTION("""COMPUTED_VALUE"""),1)</f>
        <v>1</v>
      </c>
      <c r="J356" s="20" t="str">
        <f ca="1">IFERROR(__xludf.DUMMYFUNCTION("""COMPUTED_VALUE"""),"NA")</f>
        <v>NA</v>
      </c>
      <c r="K356" s="20" t="str">
        <f ca="1">IFERROR(__xludf.DUMMYFUNCTION("""COMPUTED_VALUE"""),"NA")</f>
        <v>NA</v>
      </c>
      <c r="L356" s="20" t="str">
        <f ca="1">IFERROR(__xludf.DUMMYFUNCTION("""COMPUTED_VALUE"""),"NA")</f>
        <v>NA</v>
      </c>
      <c r="M356" s="20" t="str">
        <f ca="1">IFERROR(__xludf.DUMMYFUNCTION("""COMPUTED_VALUE"""),"Informar cuestiones referidas a la Empresa Provincial de Energia de Córdoba (EPEC)")</f>
        <v>Informar cuestiones referidas a la Empresa Provincial de Energia de Córdoba (EPEC)</v>
      </c>
      <c r="N356" s="20" t="str">
        <f ca="1">IFERROR(__xludf.DUMMYFUNCTION("""COMPUTED_VALUE"""),"NA")</f>
        <v>NA</v>
      </c>
      <c r="O356" s="20" t="str">
        <f ca="1">IFERROR(__xludf.DUMMYFUNCTION("""COMPUTED_VALUE"""),"SI")</f>
        <v>SI</v>
      </c>
      <c r="P356" s="20">
        <f ca="1">IFERROR(__xludf.DUMMYFUNCTION("""COMPUTED_VALUE"""),5)</f>
        <v>5</v>
      </c>
      <c r="Q356" s="113" t="str">
        <f ca="1">IFERROR(__xludf.DUMMYFUNCTION("""COMPUTED_VALUE"""),"https://gld.legislaturacba.gob.ar/_cdd/api/Documento/descargar?guid=de4858b0-ac2c-480a-bbc4-eb4d1f1537f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v>
      </c>
      <c r="R356" s="113" t="str">
        <f ca="1">IFERROR(__xludf.DUMMYFUNCTION("""COMPUTED_VALUE"""),"https://www.youtube.com/watch?v=GR7gnhuNCu4")</f>
        <v>https://www.youtube.com/watch?v=GR7gnhuNCu4</v>
      </c>
      <c r="S356" s="113" t="str">
        <f ca="1">IFERROR(__xludf.DUMMYFUNCTION("""COMPUTED_VALUE"""),"https://gld.legislaturacba.gob.ar/Publics/Actas.aspx?id=-gOcIVQm39s=")</f>
        <v>https://gld.legislaturacba.gob.ar/Publics/Actas.aspx?id=-gOcIVQm39s=</v>
      </c>
      <c r="T356" s="99">
        <f t="shared" ca="1" si="0"/>
        <v>0</v>
      </c>
    </row>
    <row r="357" spans="1:20">
      <c r="A357" s="20">
        <f ca="1">IFERROR(__xludf.DUMMYFUNCTION("""COMPUTED_VALUE"""),119)</f>
        <v>119</v>
      </c>
      <c r="B357" s="20">
        <f ca="1">IFERROR(__xludf.DUMMYFUNCTION("""COMPUTED_VALUE"""),2021)</f>
        <v>2021</v>
      </c>
      <c r="C357" s="20" t="str">
        <f ca="1">IFERROR(__xludf.DUMMYFUNCTION("""COMPUTED_VALUE"""),"VIRTUAL")</f>
        <v>VIRTUAL</v>
      </c>
      <c r="D357" s="96">
        <f ca="1">IFERROR(__xludf.DUMMYFUNCTION("""COMPUTED_VALUE"""),44357)</f>
        <v>44357</v>
      </c>
      <c r="E357" s="20" t="str">
        <f ca="1">IFERROR(__xludf.DUMMYFUNCTION("""COMPUTED_VALUE"""),"NO")</f>
        <v>NO</v>
      </c>
      <c r="F357" s="20" t="str">
        <f ca="1">IFERROR(__xludf.DUMMYFUNCTION("""COMPUTED_VALUE"""),"SALUD HUMANA")</f>
        <v>SALUD HUMANA</v>
      </c>
      <c r="G357" s="20">
        <f ca="1">IFERROR(__xludf.DUMMYFUNCTION("""COMPUTED_VALUE"""),1)</f>
        <v>1</v>
      </c>
      <c r="H357" s="20">
        <f ca="1">IFERROR(__xludf.DUMMYFUNCTION("""COMPUTED_VALUE"""),1)</f>
        <v>1</v>
      </c>
      <c r="I357" s="20">
        <f ca="1">IFERROR(__xludf.DUMMYFUNCTION("""COMPUTED_VALUE"""),1)</f>
        <v>1</v>
      </c>
      <c r="J357" s="20" t="str">
        <f ca="1">IFERROR(__xludf.DUMMYFUNCTION("""COMPUTED_VALUE"""),"Resolución")</f>
        <v>Resolución</v>
      </c>
      <c r="K357" s="20">
        <f ca="1">IFERROR(__xludf.DUMMYFUNCTION("""COMPUTED_VALUE"""),32396)</f>
        <v>32396</v>
      </c>
      <c r="L357" s="20" t="str">
        <f ca="1">IFERROR(__xludf.DUMMYFUNCTION("""COMPUTED_VALUE"""),"Poder Legislativo Provincial")</f>
        <v>Poder Legislativo Provincial</v>
      </c>
      <c r="M357" s="20" t="str">
        <f ca="1">IFERROR(__xludf.DUMMYFUNCTION("""COMPUTED_VALUE"""),"Solicitando al poder ejecutivo informe (Art. 112) sobre medidas tomadas para la prevención en intentos de suicidios desde el comienzo de la pandemia por Covid-19 hasta la fecha, desempeño y personal del Centro de Asistencia al suicida")</f>
        <v>Solicitando al poder ejecutivo informe (Art. 112) sobre medidas tomadas para la prevención en intentos de suicidios desde el comienzo de la pandemia por Covid-19 hasta la fecha, desempeño y personal del Centro de Asistencia al suicida</v>
      </c>
      <c r="N357" s="20" t="str">
        <f ca="1">IFERROR(__xludf.DUMMYFUNCTION("""COMPUTED_VALUE"""),"NO")</f>
        <v>NO</v>
      </c>
      <c r="O357" s="20" t="str">
        <f ca="1">IFERROR(__xludf.DUMMYFUNCTION("""COMPUTED_VALUE"""),"SI")</f>
        <v>SI</v>
      </c>
      <c r="P357" s="20">
        <f ca="1">IFERROR(__xludf.DUMMYFUNCTION("""COMPUTED_VALUE"""),3)</f>
        <v>3</v>
      </c>
      <c r="Q357" s="113" t="str">
        <f ca="1">IFERROR(__xludf.DUMMYFUNCTION("""COMPUTED_VALUE"""),"https://gld.legislaturacba.gob.ar/_cdd/api/Documento/descargar?guid=f8b1865c-e83c-4861-8d19-2825c2f67e64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v>
      </c>
      <c r="R357" s="113" t="str">
        <f ca="1">IFERROR(__xludf.DUMMYFUNCTION("""COMPUTED_VALUE"""),"https://www.youtube.com/watch?v=BqsyFydVHpU")</f>
        <v>https://www.youtube.com/watch?v=BqsyFydVHpU</v>
      </c>
      <c r="S357" s="113" t="str">
        <f ca="1">IFERROR(__xludf.DUMMYFUNCTION("""COMPUTED_VALUE"""),"https://gld.legislaturacba.gob.ar/Publics/Actas.aspx?id=gxMMc59fZAw=")</f>
        <v>https://gld.legislaturacba.gob.ar/Publics/Actas.aspx?id=gxMMc59fZAw=</v>
      </c>
      <c r="T357" s="99">
        <f t="shared" ca="1" si="0"/>
        <v>0</v>
      </c>
    </row>
    <row r="358" spans="1:20">
      <c r="A358" s="20">
        <f ca="1">IFERROR(__xludf.DUMMYFUNCTION("""COMPUTED_VALUE"""),120)</f>
        <v>120</v>
      </c>
      <c r="B358" s="20">
        <f ca="1">IFERROR(__xludf.DUMMYFUNCTION("""COMPUTED_VALUE"""),2021)</f>
        <v>2021</v>
      </c>
      <c r="C358" s="20" t="str">
        <f ca="1">IFERROR(__xludf.DUMMYFUNCTION("""COMPUTED_VALUE"""),"VIRTUAL")</f>
        <v>VIRTUAL</v>
      </c>
      <c r="D358" s="96">
        <f ca="1">IFERROR(__xludf.DUMMYFUNCTION("""COMPUTED_VALUE"""),44357)</f>
        <v>44357</v>
      </c>
      <c r="E358" s="20" t="str">
        <f ca="1">IFERROR(__xludf.DUMMYFUNCTION("""COMPUTED_VALUE"""),"SI")</f>
        <v>SI</v>
      </c>
      <c r="F358" s="20" t="str">
        <f ca="1">IFERROR(__xludf.DUMMYFUNCTION("""COMPUTED_VALUE"""),"ECONOMÍA SOCIAL, COOPERATIVAS Y MUTUALES;EQUIDAD Y LUCHA CONTRA LA VIOLENCIA DE GÉNERO")</f>
        <v>ECONOMÍA SOCIAL, COOPERATIVAS Y MUTUALES;EQUIDAD Y LUCHA CONTRA LA VIOLENCIA DE GÉNERO</v>
      </c>
      <c r="G358" s="20">
        <f ca="1">IFERROR(__xludf.DUMMYFUNCTION("""COMPUTED_VALUE"""),2)</f>
        <v>2</v>
      </c>
      <c r="H358" s="20">
        <f ca="1">IFERROR(__xludf.DUMMYFUNCTION("""COMPUTED_VALUE"""),1)</f>
        <v>1</v>
      </c>
      <c r="I358" s="20">
        <f ca="1">IFERROR(__xludf.DUMMYFUNCTION("""COMPUTED_VALUE"""),1)</f>
        <v>1</v>
      </c>
      <c r="J358" s="20" t="str">
        <f ca="1">IFERROR(__xludf.DUMMYFUNCTION("""COMPUTED_VALUE"""),"Declaración")</f>
        <v>Declaración</v>
      </c>
      <c r="K358" s="20">
        <f ca="1">IFERROR(__xludf.DUMMYFUNCTION("""COMPUTED_VALUE"""),33007)</f>
        <v>33007</v>
      </c>
      <c r="L358" s="20" t="str">
        <f ca="1">IFERROR(__xludf.DUMMYFUNCTION("""COMPUTED_VALUE"""),"Poder Legislativo Provincial")</f>
        <v>Poder Legislativo Provincial</v>
      </c>
      <c r="M358" s="20" t="str">
        <f ca="1">IFERROR(__xludf.DUMMYFUNCTION("""COMPUTED_VALUE"""),"Adhesión y beneplácito por el Pacto Cooperativo por la No Violencia de Género, creado por el Comité de Equidad de Género de la Confederación Cooperativa de la Republica Argentina Ltda. (Cooperar)")</f>
        <v>Adhesión y beneplácito por el Pacto Cooperativo por la No Violencia de Género, creado por el Comité de Equidad de Género de la Confederación Cooperativa de la Republica Argentina Ltda. (Cooperar)</v>
      </c>
      <c r="N358" s="20" t="str">
        <f ca="1">IFERROR(__xludf.DUMMYFUNCTION("""COMPUTED_VALUE"""),"NO")</f>
        <v>NO</v>
      </c>
      <c r="O358" s="20" t="str">
        <f ca="1">IFERROR(__xludf.DUMMYFUNCTION("""COMPUTED_VALUE"""),"SI")</f>
        <v>SI</v>
      </c>
      <c r="P358" s="20">
        <f ca="1">IFERROR(__xludf.DUMMYFUNCTION("""COMPUTED_VALUE"""),8)</f>
        <v>8</v>
      </c>
      <c r="Q358" s="113" t="str">
        <f ca="1">IFERROR(__xludf.DUMMYFUNCTION("""COMPUTED_VALUE"""),"https://gld.legislaturacba.gob.ar/_cdd/api/Documento/descargar?guid=e9448c50-11e4-4670-b019-3828cb33ecb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v>
      </c>
      <c r="R358" s="113" t="str">
        <f ca="1">IFERROR(__xludf.DUMMYFUNCTION("""COMPUTED_VALUE"""),"https://www.youtube.com/watch?v=TKlXyKWVwlg")</f>
        <v>https://www.youtube.com/watch?v=TKlXyKWVwlg</v>
      </c>
      <c r="S358" s="113" t="str">
        <f ca="1">IFERROR(__xludf.DUMMYFUNCTION("""COMPUTED_VALUE"""),"https://gld.legislaturacba.gob.ar/Publics/Actas.aspx?id=Ex2G8Ke8k2E=;https://gld.legislaturacba.gob.ar/Publics/Actas.aspx?id=Qlk3sCOfTDI=")</f>
        <v>https://gld.legislaturacba.gob.ar/Publics/Actas.aspx?id=Ex2G8Ke8k2E=;https://gld.legislaturacba.gob.ar/Publics/Actas.aspx?id=Qlk3sCOfTDI=</v>
      </c>
      <c r="T358" s="99">
        <f t="shared" ca="1" si="0"/>
        <v>0</v>
      </c>
    </row>
    <row r="359" spans="1:20">
      <c r="A359" s="20">
        <f ca="1">IFERROR(__xludf.DUMMYFUNCTION("""COMPUTED_VALUE"""),121)</f>
        <v>121</v>
      </c>
      <c r="B359" s="20">
        <f ca="1">IFERROR(__xludf.DUMMYFUNCTION("""COMPUTED_VALUE"""),2021)</f>
        <v>2021</v>
      </c>
      <c r="C359" s="20" t="str">
        <f ca="1">IFERROR(__xludf.DUMMYFUNCTION("""COMPUTED_VALUE"""),"VIRTUAL")</f>
        <v>VIRTUAL</v>
      </c>
      <c r="D359" s="96">
        <f ca="1">IFERROR(__xludf.DUMMYFUNCTION("""COMPUTED_VALUE"""),44357)</f>
        <v>44357</v>
      </c>
      <c r="E359" s="20" t="str">
        <f ca="1">IFERROR(__xludf.DUMMYFUNCTION("""COMPUTED_VALUE"""),"NO")</f>
        <v>NO</v>
      </c>
      <c r="F359" s="20" t="str">
        <f ca="1">IFERROR(__xludf.DUMMYFUNCTION("""COMPUTED_VALUE"""),"ECONOMÍA, PRESUPUESTO, GESTIÓN PÚBLICA E INNOVACIÓN")</f>
        <v>ECONOMÍA, PRESUPUESTO, GESTIÓN PÚBLICA E INNOVACIÓN</v>
      </c>
      <c r="G359" s="20">
        <f ca="1">IFERROR(__xludf.DUMMYFUNCTION("""COMPUTED_VALUE"""),1)</f>
        <v>1</v>
      </c>
      <c r="H359" s="20">
        <f ca="1">IFERROR(__xludf.DUMMYFUNCTION("""COMPUTED_VALUE"""),1)</f>
        <v>1</v>
      </c>
      <c r="I359" s="20">
        <f ca="1">IFERROR(__xludf.DUMMYFUNCTION("""COMPUTED_VALUE"""),1)</f>
        <v>1</v>
      </c>
      <c r="J359" s="20" t="str">
        <f ca="1">IFERROR(__xludf.DUMMYFUNCTION("""COMPUTED_VALUE"""),"Nota")</f>
        <v>Nota</v>
      </c>
      <c r="K359" s="20">
        <f ca="1">IFERROR(__xludf.DUMMYFUNCTION("""COMPUTED_VALUE"""),32480)</f>
        <v>32480</v>
      </c>
      <c r="L359" s="20" t="str">
        <f ca="1">IFERROR(__xludf.DUMMYFUNCTION("""COMPUTED_VALUE"""),"Poder Ejecutivo Provincial")</f>
        <v>Poder Ejecutivo Provincial</v>
      </c>
      <c r="M359" s="20" t="str">
        <f ca="1">IFERROR(__xludf.DUMMYFUNCTION("""COMPUTED_VALUE"""),"Remitiendo cuenta de Inversión, correspondiente al Ejercicio Financiero Año 2020 y anexo ejecuciones y Estados Contables de Agencias y Entes")</f>
        <v>Remitiendo cuenta de Inversión, correspondiente al Ejercicio Financiero Año 2020 y anexo ejecuciones y Estados Contables de Agencias y Entes</v>
      </c>
      <c r="N359" s="20" t="str">
        <f ca="1">IFERROR(__xludf.DUMMYFUNCTION("""COMPUTED_VALUE"""),"NO")</f>
        <v>NO</v>
      </c>
      <c r="O359" s="20" t="str">
        <f ca="1">IFERROR(__xludf.DUMMYFUNCTION("""COMPUTED_VALUE"""),"NO")</f>
        <v>NO</v>
      </c>
      <c r="P359" s="20">
        <f ca="1">IFERROR(__xludf.DUMMYFUNCTION("""COMPUTED_VALUE"""),0)</f>
        <v>0</v>
      </c>
      <c r="Q359" s="113" t="str">
        <f ca="1">IFERROR(__xludf.DUMMYFUNCTION("""COMPUTED_VALUE"""),"https://gld.legislaturacba.gob.ar/_cdd/api/Documento/descargar?guid=82e2b629-42ec-4d72-91e4-294fe22774b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v>
      </c>
      <c r="R359" s="113" t="str">
        <f ca="1">IFERROR(__xludf.DUMMYFUNCTION("""COMPUTED_VALUE"""),"https://www.youtube.com/watch?v=cv4LL6LJwr0")</f>
        <v>https://www.youtube.com/watch?v=cv4LL6LJwr0</v>
      </c>
      <c r="S359" s="113" t="str">
        <f ca="1">IFERROR(__xludf.DUMMYFUNCTION("""COMPUTED_VALUE"""),"https://gld.legislaturacba.gob.ar/Publics/Actas.aspx?id=QCTs98fKiiE=")</f>
        <v>https://gld.legislaturacba.gob.ar/Publics/Actas.aspx?id=QCTs98fKiiE=</v>
      </c>
      <c r="T359" s="99">
        <f t="shared" ca="1" si="0"/>
        <v>0</v>
      </c>
    </row>
    <row r="360" spans="1:20">
      <c r="A360" s="20">
        <f ca="1">IFERROR(__xludf.DUMMYFUNCTION("""COMPUTED_VALUE"""),122)</f>
        <v>122</v>
      </c>
      <c r="B360" s="20">
        <f ca="1">IFERROR(__xludf.DUMMYFUNCTION("""COMPUTED_VALUE"""),2021)</f>
        <v>2021</v>
      </c>
      <c r="C360" s="20" t="str">
        <f ca="1">IFERROR(__xludf.DUMMYFUNCTION("""COMPUTED_VALUE"""),"VIRTUAL")</f>
        <v>VIRTUAL</v>
      </c>
      <c r="D360" s="96">
        <f ca="1">IFERROR(__xludf.DUMMYFUNCTION("""COMPUTED_VALUE"""),44362)</f>
        <v>44362</v>
      </c>
      <c r="E360" s="20" t="str">
        <f ca="1">IFERROR(__xludf.DUMMYFUNCTION("""COMPUTED_VALUE"""),"NO")</f>
        <v>NO</v>
      </c>
      <c r="F360" s="20" t="str">
        <f ca="1">IFERROR(__xludf.DUMMYFUNCTION("""COMPUTED_VALUE"""),"LEGISLACIÓN DEL TRABAJO, PREVISIÓN Y SEGURIDAD SOCIAL")</f>
        <v>LEGISLACIÓN DEL TRABAJO, PREVISIÓN Y SEGURIDAD SOCIAL</v>
      </c>
      <c r="G360" s="20">
        <f ca="1">IFERROR(__xludf.DUMMYFUNCTION("""COMPUTED_VALUE"""),1)</f>
        <v>1</v>
      </c>
      <c r="H360" s="20">
        <f ca="1">IFERROR(__xludf.DUMMYFUNCTION("""COMPUTED_VALUE"""),1)</f>
        <v>1</v>
      </c>
      <c r="I360" s="20">
        <f ca="1">IFERROR(__xludf.DUMMYFUNCTION("""COMPUTED_VALUE"""),1)</f>
        <v>1</v>
      </c>
      <c r="J360" s="20" t="str">
        <f ca="1">IFERROR(__xludf.DUMMYFUNCTION("""COMPUTED_VALUE"""),"NA")</f>
        <v>NA</v>
      </c>
      <c r="K360" s="20" t="str">
        <f ca="1">IFERROR(__xludf.DUMMYFUNCTION("""COMPUTED_VALUE"""),"NA")</f>
        <v>NA</v>
      </c>
      <c r="L360" s="20" t="str">
        <f ca="1">IFERROR(__xludf.DUMMYFUNCTION("""COMPUTED_VALUE"""),"NA")</f>
        <v>NA</v>
      </c>
      <c r="M360" s="20" t="str">
        <f ca="1">IFERROR(__xludf.DUMMYFUNCTION("""COMPUTED_VALUE"""),"Informe sobre precariedad laboral en profesionales de la Provincia de Córdoba")</f>
        <v>Informe sobre precariedad laboral en profesionales de la Provincia de Córdoba</v>
      </c>
      <c r="N360" s="20" t="str">
        <f ca="1">IFERROR(__xludf.DUMMYFUNCTION("""COMPUTED_VALUE"""),"NA")</f>
        <v>NA</v>
      </c>
      <c r="O360" s="20" t="str">
        <f ca="1">IFERROR(__xludf.DUMMYFUNCTION("""COMPUTED_VALUE"""),"SI")</f>
        <v>SI</v>
      </c>
      <c r="P360" s="20">
        <f ca="1">IFERROR(__xludf.DUMMYFUNCTION("""COMPUTED_VALUE"""),2)</f>
        <v>2</v>
      </c>
      <c r="Q360" s="113" t="str">
        <f ca="1">IFERROR(__xludf.DUMMYFUNCTION("""COMPUTED_VALUE"""),"https://gld.legislaturacba.gob.ar/_cdd/api/Documento/descargar?guid=648bd345-c9e5-4a2a-bf75-7cbb0574bc16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v>
      </c>
      <c r="R360" s="113" t="str">
        <f ca="1">IFERROR(__xludf.DUMMYFUNCTION("""COMPUTED_VALUE"""),"https://www.youtube.com/watch?v=IiEfYnc9ohw")</f>
        <v>https://www.youtube.com/watch?v=IiEfYnc9ohw</v>
      </c>
      <c r="S360" s="113" t="str">
        <f ca="1">IFERROR(__xludf.DUMMYFUNCTION("""COMPUTED_VALUE"""),"https://gld.legislaturacba.gob.ar/Publics/Actas.aspx?id=saHxQ-OZ0q8=")</f>
        <v>https://gld.legislaturacba.gob.ar/Publics/Actas.aspx?id=saHxQ-OZ0q8=</v>
      </c>
      <c r="T360" s="99">
        <f t="shared" ca="1" si="0"/>
        <v>0</v>
      </c>
    </row>
    <row r="361" spans="1:20">
      <c r="A361" s="20">
        <f ca="1">IFERROR(__xludf.DUMMYFUNCTION("""COMPUTED_VALUE"""),123)</f>
        <v>123</v>
      </c>
      <c r="B361" s="20">
        <f ca="1">IFERROR(__xludf.DUMMYFUNCTION("""COMPUTED_VALUE"""),2021)</f>
        <v>2021</v>
      </c>
      <c r="C361" s="20" t="str">
        <f ca="1">IFERROR(__xludf.DUMMYFUNCTION("""COMPUTED_VALUE"""),"VIRTUAL")</f>
        <v>VIRTUAL</v>
      </c>
      <c r="D361" s="96">
        <f ca="1">IFERROR(__xludf.DUMMYFUNCTION("""COMPUTED_VALUE"""),44362)</f>
        <v>44362</v>
      </c>
      <c r="E361" s="20" t="str">
        <f ca="1">IFERROR(__xludf.DUMMYFUNCTION("""COMPUTED_VALUE"""),"NO")</f>
        <v>NO</v>
      </c>
      <c r="F361" s="20" t="str">
        <f ca="1">IFERROR(__xludf.DUMMYFUNCTION("""COMPUTED_VALUE"""),"ASUNTOS INSTITUCIONALES, MUNICIPALES Y COMUNALES")</f>
        <v>ASUNTOS INSTITUCIONALES, MUNICIPALES Y COMUNALES</v>
      </c>
      <c r="G361" s="20">
        <f ca="1">IFERROR(__xludf.DUMMYFUNCTION("""COMPUTED_VALUE"""),1)</f>
        <v>1</v>
      </c>
      <c r="H361" s="20">
        <f ca="1">IFERROR(__xludf.DUMMYFUNCTION("""COMPUTED_VALUE"""),1)</f>
        <v>1</v>
      </c>
      <c r="I361" s="20">
        <f ca="1">IFERROR(__xludf.DUMMYFUNCTION("""COMPUTED_VALUE"""),1)</f>
        <v>1</v>
      </c>
      <c r="J361" s="20" t="str">
        <f ca="1">IFERROR(__xludf.DUMMYFUNCTION("""COMPUTED_VALUE"""),"Ley")</f>
        <v>Ley</v>
      </c>
      <c r="K361" s="20">
        <f ca="1">IFERROR(__xludf.DUMMYFUNCTION("""COMPUTED_VALUE"""),32725)</f>
        <v>32725</v>
      </c>
      <c r="L361" s="20" t="str">
        <f ca="1">IFERROR(__xludf.DUMMYFUNCTION("""COMPUTED_VALUE"""),"Poder Ejecutivo Provincial")</f>
        <v>Poder Ejecutivo Provincial</v>
      </c>
      <c r="M361" s="20" t="str">
        <f ca="1">IFERROR(__xludf.DUMMYFUNCTION("""COMPUTED_VALUE"""),"Modificando el radio comunal de la localidad de Los Cedros, Departamento Santa Maria")</f>
        <v>Modificando el radio comunal de la localidad de Los Cedros, Departamento Santa Maria</v>
      </c>
      <c r="N361" s="20" t="str">
        <f ca="1">IFERROR(__xludf.DUMMYFUNCTION("""COMPUTED_VALUE"""),"SI")</f>
        <v>SI</v>
      </c>
      <c r="O361" s="20" t="str">
        <f ca="1">IFERROR(__xludf.DUMMYFUNCTION("""COMPUTED_VALUE"""),"NO")</f>
        <v>NO</v>
      </c>
      <c r="P361" s="20">
        <f ca="1">IFERROR(__xludf.DUMMYFUNCTION("""COMPUTED_VALUE"""),0)</f>
        <v>0</v>
      </c>
      <c r="Q361" s="113" t="str">
        <f ca="1">IFERROR(__xludf.DUMMYFUNCTION("""COMPUTED_VALUE"""),"https://gld.legislaturacba.gob.ar/_cdd/api/Documento/descargar?guid=43314d2f-2d7f-4b85-bf78-39f51cf40701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v>
      </c>
      <c r="R361" s="113" t="str">
        <f ca="1">IFERROR(__xludf.DUMMYFUNCTION("""COMPUTED_VALUE"""),"https://www.youtube.com/watch?v=JYtdIUZw2mE")</f>
        <v>https://www.youtube.com/watch?v=JYtdIUZw2mE</v>
      </c>
      <c r="S361" s="113" t="str">
        <f ca="1">IFERROR(__xludf.DUMMYFUNCTION("""COMPUTED_VALUE"""),"https://gld.legislaturacba.gob.ar/Publics/Actas.aspx?id=ychTSNxDbbY=")</f>
        <v>https://gld.legislaturacba.gob.ar/Publics/Actas.aspx?id=ychTSNxDbbY=</v>
      </c>
      <c r="T361" s="99">
        <f t="shared" ca="1" si="0"/>
        <v>0</v>
      </c>
    </row>
    <row r="362" spans="1:20">
      <c r="A362" s="20">
        <f ca="1">IFERROR(__xludf.DUMMYFUNCTION("""COMPUTED_VALUE"""),124)</f>
        <v>124</v>
      </c>
      <c r="B362" s="20">
        <f ca="1">IFERROR(__xludf.DUMMYFUNCTION("""COMPUTED_VALUE"""),2021)</f>
        <v>2021</v>
      </c>
      <c r="C362" s="20" t="str">
        <f ca="1">IFERROR(__xludf.DUMMYFUNCTION("""COMPUTED_VALUE"""),"VIRTUAL")</f>
        <v>VIRTUAL</v>
      </c>
      <c r="D362" s="96">
        <f ca="1">IFERROR(__xludf.DUMMYFUNCTION("""COMPUTED_VALUE"""),44362)</f>
        <v>44362</v>
      </c>
      <c r="E362" s="20" t="str">
        <f ca="1">IFERROR(__xludf.DUMMYFUNCTION("""COMPUTED_VALUE"""),"SI")</f>
        <v>SI</v>
      </c>
      <c r="F362" s="20" t="str">
        <f ca="1">IFERROR(__xludf.DUMMYFUNCTION("""COMPUTED_VALUE"""),"ECONOMÍA, PRESUPUESTO, GESTIÓN PÚBLICA E INNOVACIÓN;OBRAS PÚBLICAS, VIVIENDA Y COMUNICACIONES")</f>
        <v>ECONOMÍA, PRESUPUESTO, GESTIÓN PÚBLICA E INNOVACIÓN;OBRAS PÚBLICAS, VIVIENDA Y COMUNICACIONES</v>
      </c>
      <c r="G362" s="20">
        <f ca="1">IFERROR(__xludf.DUMMYFUNCTION("""COMPUTED_VALUE"""),2)</f>
        <v>2</v>
      </c>
      <c r="H362" s="20">
        <f ca="1">IFERROR(__xludf.DUMMYFUNCTION("""COMPUTED_VALUE"""),1)</f>
        <v>1</v>
      </c>
      <c r="I362" s="20">
        <f ca="1">IFERROR(__xludf.DUMMYFUNCTION("""COMPUTED_VALUE"""),1)</f>
        <v>1</v>
      </c>
      <c r="J362" s="20" t="str">
        <f ca="1">IFERROR(__xludf.DUMMYFUNCTION("""COMPUTED_VALUE"""),"Ley")</f>
        <v>Ley</v>
      </c>
      <c r="K362" s="20">
        <f ca="1">IFERROR(__xludf.DUMMYFUNCTION("""COMPUTED_VALUE"""),32827)</f>
        <v>32827</v>
      </c>
      <c r="L362" s="20" t="str">
        <f ca="1">IFERROR(__xludf.DUMMYFUNCTION("""COMPUTED_VALUE"""),"Poder Ejecutivo Provincial")</f>
        <v>Poder Ejecutivo Provincial</v>
      </c>
      <c r="M362" s="20" t="str">
        <f ca="1">IFERROR(__xludf.DUMMYFUNCTION("""COMPUTED_VALUE"""),"Eximiendo del Impuesto de Sellos a los actos, contratos y/o instrumentos celebrados entre quienes asuman el carácter de desarrolladores, constructores o vehículos de inversión de los proyectos inmobiliarios comprendidos en la Ley Nacional Nº 27613 -de Inc"&amp;"entivo a la Construcción Federal y Acceso a la Vivienda-y los inversores con el objeto de la construcción, ejecución, transferencias y/o cesiones de obras y/o inmuebles")</f>
        <v>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v>
      </c>
      <c r="N362" s="20" t="str">
        <f ca="1">IFERROR(__xludf.DUMMYFUNCTION("""COMPUTED_VALUE"""),"SI")</f>
        <v>SI</v>
      </c>
      <c r="O362" s="20" t="str">
        <f ca="1">IFERROR(__xludf.DUMMYFUNCTION("""COMPUTED_VALUE"""),"NO")</f>
        <v>NO</v>
      </c>
      <c r="P362" s="20">
        <f ca="1">IFERROR(__xludf.DUMMYFUNCTION("""COMPUTED_VALUE"""),0)</f>
        <v>0</v>
      </c>
      <c r="Q362" s="113" t="str">
        <f ca="1">IFERROR(__xludf.DUMMYFUNCTION("""COMPUTED_VALUE"""),"https://gld.legislaturacba.gob.ar/_cdd/api/Documento/descargar?guid=7b6beecf-725d-4f9d-a520-ba4cc1a3695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v>
      </c>
      <c r="R362" s="113" t="str">
        <f ca="1">IFERROR(__xludf.DUMMYFUNCTION("""COMPUTED_VALUE"""),"https://www.youtube.com/watch?v=wAKPFq_8rcw")</f>
        <v>https://www.youtube.com/watch?v=wAKPFq_8rcw</v>
      </c>
      <c r="S362" s="113" t="str">
        <f ca="1">IFERROR(__xludf.DUMMYFUNCTION("""COMPUTED_VALUE"""),"https://gld.legislaturacba.gob.ar/Publics/Actas.aspx?id=veSCzDGqWqc=;https://gld.legislaturacba.gob.ar/Publics/Actas.aspx?id=lwOuol5_dTo=")</f>
        <v>https://gld.legislaturacba.gob.ar/Publics/Actas.aspx?id=veSCzDGqWqc=;https://gld.legislaturacba.gob.ar/Publics/Actas.aspx?id=lwOuol5_dTo=</v>
      </c>
      <c r="T362" s="99">
        <f t="shared" ca="1" si="0"/>
        <v>0</v>
      </c>
    </row>
    <row r="363" spans="1:20">
      <c r="A363" s="20">
        <f ca="1">IFERROR(__xludf.DUMMYFUNCTION("""COMPUTED_VALUE"""),125)</f>
        <v>125</v>
      </c>
      <c r="B363" s="20">
        <f ca="1">IFERROR(__xludf.DUMMYFUNCTION("""COMPUTED_VALUE"""),2021)</f>
        <v>2021</v>
      </c>
      <c r="C363" s="20" t="str">
        <f ca="1">IFERROR(__xludf.DUMMYFUNCTION("""COMPUTED_VALUE"""),"VIRTUAL")</f>
        <v>VIRTUAL</v>
      </c>
      <c r="D363" s="96">
        <f ca="1">IFERROR(__xludf.DUMMYFUNCTION("""COMPUTED_VALUE"""),44364)</f>
        <v>44364</v>
      </c>
      <c r="E363" s="20" t="str">
        <f ca="1">IFERROR(__xludf.DUMMYFUNCTION("""COMPUTED_VALUE"""),"NO")</f>
        <v>NO</v>
      </c>
      <c r="F363" s="20" t="str">
        <f ca="1">IFERROR(__xludf.DUMMYFUNCTION("""COMPUTED_VALUE"""),"ASUNTOS INSTITUCIONALES, MUNICIPALES Y COMUNALES")</f>
        <v>ASUNTOS INSTITUCIONALES, MUNICIPALES Y COMUNALES</v>
      </c>
      <c r="G363" s="20">
        <f ca="1">IFERROR(__xludf.DUMMYFUNCTION("""COMPUTED_VALUE"""),1)</f>
        <v>1</v>
      </c>
      <c r="H363" s="20">
        <f ca="1">IFERROR(__xludf.DUMMYFUNCTION("""COMPUTED_VALUE"""),1)</f>
        <v>1</v>
      </c>
      <c r="I363" s="20">
        <f ca="1">IFERROR(__xludf.DUMMYFUNCTION("""COMPUTED_VALUE"""),1)</f>
        <v>1</v>
      </c>
      <c r="J363" s="20" t="str">
        <f ca="1">IFERROR(__xludf.DUMMYFUNCTION("""COMPUTED_VALUE"""),"Ley")</f>
        <v>Ley</v>
      </c>
      <c r="K363" s="20">
        <f ca="1">IFERROR(__xludf.DUMMYFUNCTION("""COMPUTED_VALUE"""),32772)</f>
        <v>32772</v>
      </c>
      <c r="L363" s="20" t="str">
        <f ca="1">IFERROR(__xludf.DUMMYFUNCTION("""COMPUTED_VALUE"""),"Poder Ejecutivo Provincial")</f>
        <v>Poder Ejecutivo Provincial</v>
      </c>
      <c r="M363" s="20" t="str">
        <f ca="1">IFERROR(__xludf.DUMMYFUNCTION("""COMPUTED_VALUE"""),"Modiificando el radio municiapl de la localidad de Mendiolaza")</f>
        <v>Modiificando el radio municiapl de la localidad de Mendiolaza</v>
      </c>
      <c r="N363" s="20" t="str">
        <f ca="1">IFERROR(__xludf.DUMMYFUNCTION("""COMPUTED_VALUE"""),"NO")</f>
        <v>NO</v>
      </c>
      <c r="O363" s="20" t="str">
        <f ca="1">IFERROR(__xludf.DUMMYFUNCTION("""COMPUTED_VALUE"""),"NO")</f>
        <v>NO</v>
      </c>
      <c r="P363" s="20">
        <f ca="1">IFERROR(__xludf.DUMMYFUNCTION("""COMPUTED_VALUE"""),0)</f>
        <v>0</v>
      </c>
      <c r="Q363" s="113" t="str">
        <f ca="1">IFERROR(__xludf.DUMMYFUNCTION("""COMPUTED_VALUE"""),"https://gld.legislaturacba.gob.ar/_cdd/api/Documento/descargar?guid=45a2d502-82fa-4256-bb9a-828d5e892b2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v>
      </c>
      <c r="R363" s="20" t="str">
        <f ca="1">IFERROR(__xludf.DUMMYFUNCTION("""COMPUTED_VALUE"""),"NA")</f>
        <v>NA</v>
      </c>
      <c r="S363" s="113" t="str">
        <f ca="1">IFERROR(__xludf.DUMMYFUNCTION("""COMPUTED_VALUE"""),"https://gld.legislaturacba.gob.ar/Publics/Actas.aspx?id=1G9t-oodHPM=")</f>
        <v>https://gld.legislaturacba.gob.ar/Publics/Actas.aspx?id=1G9t-oodHPM=</v>
      </c>
      <c r="T363" s="99">
        <f t="shared" ca="1" si="0"/>
        <v>0</v>
      </c>
    </row>
    <row r="364" spans="1:20">
      <c r="A364" s="20">
        <f ca="1">IFERROR(__xludf.DUMMYFUNCTION("""COMPUTED_VALUE"""),126)</f>
        <v>126</v>
      </c>
      <c r="B364" s="20">
        <f ca="1">IFERROR(__xludf.DUMMYFUNCTION("""COMPUTED_VALUE"""),2021)</f>
        <v>2021</v>
      </c>
      <c r="C364" s="20" t="str">
        <f ca="1">IFERROR(__xludf.DUMMYFUNCTION("""COMPUTED_VALUE"""),"VIRTUAL")</f>
        <v>VIRTUAL</v>
      </c>
      <c r="D364" s="96">
        <f ca="1">IFERROR(__xludf.DUMMYFUNCTION("""COMPUTED_VALUE"""),44364)</f>
        <v>44364</v>
      </c>
      <c r="E364" s="20" t="str">
        <f ca="1">IFERROR(__xludf.DUMMYFUNCTION("""COMPUTED_VALUE"""),"NO")</f>
        <v>NO</v>
      </c>
      <c r="F364" s="20" t="str">
        <f ca="1">IFERROR(__xludf.DUMMYFUNCTION("""COMPUTED_VALUE"""),"DERECHOS HUMANOS Y DESARROLLO SOCIAL")</f>
        <v>DERECHOS HUMANOS Y DESARROLLO SOCIAL</v>
      </c>
      <c r="G364" s="20">
        <f ca="1">IFERROR(__xludf.DUMMYFUNCTION("""COMPUTED_VALUE"""),1)</f>
        <v>1</v>
      </c>
      <c r="H364" s="20">
        <f ca="1">IFERROR(__xludf.DUMMYFUNCTION("""COMPUTED_VALUE"""),2)</f>
        <v>2</v>
      </c>
      <c r="I364" s="20">
        <f ca="1">IFERROR(__xludf.DUMMYFUNCTION("""COMPUTED_VALUE"""),1)</f>
        <v>1</v>
      </c>
      <c r="J364" s="20" t="str">
        <f ca="1">IFERROR(__xludf.DUMMYFUNCTION("""COMPUTED_VALUE"""),"Resolución")</f>
        <v>Resolución</v>
      </c>
      <c r="K364" s="20">
        <f ca="1">IFERROR(__xludf.DUMMYFUNCTION("""COMPUTED_VALUE"""),32837)</f>
        <v>32837</v>
      </c>
      <c r="L364" s="20" t="str">
        <f ca="1">IFERROR(__xludf.DUMMYFUNCTION("""COMPUTED_VALUE"""),"Poder Legislativo Provincial")</f>
        <v>Poder Legislativo Provincial</v>
      </c>
      <c r="M364" s="20" t="str">
        <f ca="1">IFERROR(__xludf.DUMMYFUNCTION("""COMPUTED_VALUE"""),"Solicitando al Poder Ejecutivo informe (Art. 102 CP) sobre la conformación de los módulos alimentarios del Programa P.A.I.Cor en algunas escuelas, y sobre la denuncia por presunta estafa efectuada contra el responsable regional del distrito Bialet Massé")</f>
        <v>Solicitando al Poder Ejecutivo informe (Art. 102 CP) sobre la conformación de los módulos alimentarios del Programa P.A.I.Cor en algunas escuelas, y sobre la denuncia por presunta estafa efectuada contra el responsable regional del distrito Bialet Massé</v>
      </c>
      <c r="N364" s="20" t="str">
        <f ca="1">IFERROR(__xludf.DUMMYFUNCTION("""COMPUTED_VALUE"""),"NO")</f>
        <v>NO</v>
      </c>
      <c r="O364" s="20" t="str">
        <f ca="1">IFERROR(__xludf.DUMMYFUNCTION("""COMPUTED_VALUE"""),"SI")</f>
        <v>SI</v>
      </c>
      <c r="P364" s="20">
        <f ca="1">IFERROR(__xludf.DUMMYFUNCTION("""COMPUTED_VALUE"""),1)</f>
        <v>1</v>
      </c>
      <c r="Q364" s="113" t="str">
        <f ca="1">IFERROR(__xludf.DUMMYFUNCTION("""COMPUTED_VALUE"""),"https://gld.legislaturacba.gob.ar/_cdd/api/Documento/descargar?guid=13eeca15-6557-490d-93d4-e19570c01192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v>
      </c>
      <c r="R364" s="113" t="str">
        <f ca="1">IFERROR(__xludf.DUMMYFUNCTION("""COMPUTED_VALUE"""),"https://www.youtube.com/watch?v=6facA5HNrcw")</f>
        <v>https://www.youtube.com/watch?v=6facA5HNrcw</v>
      </c>
      <c r="S364" s="113" t="str">
        <f ca="1">IFERROR(__xludf.DUMMYFUNCTION("""COMPUTED_VALUE"""),"https://gld.legislaturacba.gob.ar/Publics/Actas.aspx?id=z5ZTO6JkY90=")</f>
        <v>https://gld.legislaturacba.gob.ar/Publics/Actas.aspx?id=z5ZTO6JkY90=</v>
      </c>
      <c r="T364" s="99">
        <f t="shared" ca="1" si="0"/>
        <v>0</v>
      </c>
    </row>
    <row r="365" spans="1:20">
      <c r="A365" s="20">
        <f ca="1">IFERROR(__xludf.DUMMYFUNCTION("""COMPUTED_VALUE"""),127)</f>
        <v>127</v>
      </c>
      <c r="B365" s="20">
        <f ca="1">IFERROR(__xludf.DUMMYFUNCTION("""COMPUTED_VALUE"""),2021)</f>
        <v>2021</v>
      </c>
      <c r="C365" s="20" t="str">
        <f ca="1">IFERROR(__xludf.DUMMYFUNCTION("""COMPUTED_VALUE"""),"VIRTUAL")</f>
        <v>VIRTUAL</v>
      </c>
      <c r="D365" s="96">
        <f ca="1">IFERROR(__xludf.DUMMYFUNCTION("""COMPUTED_VALUE"""),44364)</f>
        <v>44364</v>
      </c>
      <c r="E365" s="20" t="str">
        <f ca="1">IFERROR(__xludf.DUMMYFUNCTION("""COMPUTED_VALUE"""),"NO")</f>
        <v>NO</v>
      </c>
      <c r="F365" s="20" t="str">
        <f ca="1">IFERROR(__xludf.DUMMYFUNCTION("""COMPUTED_VALUE"""),"ECONOMÍA, PRESUPUESTO, GESTIÓN PÚBLICA E INNOVACIÓN")</f>
        <v>ECONOMÍA, PRESUPUESTO, GESTIÓN PÚBLICA E INNOVACIÓN</v>
      </c>
      <c r="G365" s="20">
        <f ca="1">IFERROR(__xludf.DUMMYFUNCTION("""COMPUTED_VALUE"""),1)</f>
        <v>1</v>
      </c>
      <c r="H365" s="20">
        <f ca="1">IFERROR(__xludf.DUMMYFUNCTION("""COMPUTED_VALUE"""),1)</f>
        <v>1</v>
      </c>
      <c r="I365" s="20">
        <f ca="1">IFERROR(__xludf.DUMMYFUNCTION("""COMPUTED_VALUE"""),1)</f>
        <v>1</v>
      </c>
      <c r="J365" s="20" t="str">
        <f ca="1">IFERROR(__xludf.DUMMYFUNCTION("""COMPUTED_VALUE"""),"Nota")</f>
        <v>Nota</v>
      </c>
      <c r="K365" s="20">
        <f ca="1">IFERROR(__xludf.DUMMYFUNCTION("""COMPUTED_VALUE"""),32480)</f>
        <v>32480</v>
      </c>
      <c r="L365" s="20" t="str">
        <f ca="1">IFERROR(__xludf.DUMMYFUNCTION("""COMPUTED_VALUE"""),"Poder Ejecutivo Provincial")</f>
        <v>Poder Ejecutivo Provincial</v>
      </c>
      <c r="M365" s="20" t="str">
        <f ca="1">IFERROR(__xludf.DUMMYFUNCTION("""COMPUTED_VALUE"""),"Remitiendo cuenta de Inversión, correspondiente al Ejercicio Financiero Año 2020 y anexo ejecuciones y Estados Contables de Agencias y Entes")</f>
        <v>Remitiendo cuenta de Inversión, correspondiente al Ejercicio Financiero Año 2020 y anexo ejecuciones y Estados Contables de Agencias y Entes</v>
      </c>
      <c r="N365" s="20" t="str">
        <f ca="1">IFERROR(__xludf.DUMMYFUNCTION("""COMPUTED_VALUE"""),"NO")</f>
        <v>NO</v>
      </c>
      <c r="O365" s="20" t="str">
        <f ca="1">IFERROR(__xludf.DUMMYFUNCTION("""COMPUTED_VALUE"""),"NO")</f>
        <v>NO</v>
      </c>
      <c r="P365" s="20">
        <f ca="1">IFERROR(__xludf.DUMMYFUNCTION("""COMPUTED_VALUE"""),0)</f>
        <v>0</v>
      </c>
      <c r="Q365" s="113" t="str">
        <f ca="1">IFERROR(__xludf.DUMMYFUNCTION("""COMPUTED_VALUE"""),"https://gld.legislaturacba.gob.ar/_cdd/api/Documento/descargar?guid=d2e871ad-3fcf-42a0-ac98-83a48a72e3e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v>
      </c>
      <c r="R365" s="113" t="str">
        <f ca="1">IFERROR(__xludf.DUMMYFUNCTION("""COMPUTED_VALUE"""),"https://www.youtube.com/watch?v=j7_QtOYvyo8")</f>
        <v>https://www.youtube.com/watch?v=j7_QtOYvyo8</v>
      </c>
      <c r="S365" s="113" t="str">
        <f ca="1">IFERROR(__xludf.DUMMYFUNCTION("""COMPUTED_VALUE"""),"https://gld.legislaturacba.gob.ar/Publics/Actas.aspx?id=rFkDqxbmkjs=")</f>
        <v>https://gld.legislaturacba.gob.ar/Publics/Actas.aspx?id=rFkDqxbmkjs=</v>
      </c>
      <c r="T365" s="99">
        <f t="shared" ca="1" si="0"/>
        <v>0</v>
      </c>
    </row>
    <row r="366" spans="1:20">
      <c r="A366" s="20">
        <f ca="1">IFERROR(__xludf.DUMMYFUNCTION("""COMPUTED_VALUE"""),128)</f>
        <v>128</v>
      </c>
      <c r="B366" s="20">
        <f ca="1">IFERROR(__xludf.DUMMYFUNCTION("""COMPUTED_VALUE"""),2021)</f>
        <v>2021</v>
      </c>
      <c r="C366" s="20" t="str">
        <f ca="1">IFERROR(__xludf.DUMMYFUNCTION("""COMPUTED_VALUE"""),"VIRTUAL")</f>
        <v>VIRTUAL</v>
      </c>
      <c r="D366" s="96">
        <f ca="1">IFERROR(__xludf.DUMMYFUNCTION("""COMPUTED_VALUE"""),44369)</f>
        <v>44369</v>
      </c>
      <c r="E366" s="20" t="str">
        <f ca="1">IFERROR(__xludf.DUMMYFUNCTION("""COMPUTED_VALUE"""),"NO")</f>
        <v>NO</v>
      </c>
      <c r="F366" s="20" t="str">
        <f ca="1">IFERROR(__xludf.DUMMYFUNCTION("""COMPUTED_VALUE"""),"ECONOMÍA, PRESUPUESTO, GESTIÓN PÚBLICA E INNOVACIÓN")</f>
        <v>ECONOMÍA, PRESUPUESTO, GESTIÓN PÚBLICA E INNOVACIÓN</v>
      </c>
      <c r="G366" s="20">
        <f ca="1">IFERROR(__xludf.DUMMYFUNCTION("""COMPUTED_VALUE"""),1)</f>
        <v>1</v>
      </c>
      <c r="H366" s="20">
        <f ca="1">IFERROR(__xludf.DUMMYFUNCTION("""COMPUTED_VALUE"""),1)</f>
        <v>1</v>
      </c>
      <c r="I366" s="20">
        <f ca="1">IFERROR(__xludf.DUMMYFUNCTION("""COMPUTED_VALUE"""),1)</f>
        <v>1</v>
      </c>
      <c r="J366" s="20" t="str">
        <f ca="1">IFERROR(__xludf.DUMMYFUNCTION("""COMPUTED_VALUE"""),"Nota")</f>
        <v>Nota</v>
      </c>
      <c r="K366" s="20">
        <f ca="1">IFERROR(__xludf.DUMMYFUNCTION("""COMPUTED_VALUE"""),32480)</f>
        <v>32480</v>
      </c>
      <c r="L366" s="20" t="str">
        <f ca="1">IFERROR(__xludf.DUMMYFUNCTION("""COMPUTED_VALUE"""),"Poder Ejecutivo Provincial")</f>
        <v>Poder Ejecutivo Provincial</v>
      </c>
      <c r="M366" s="20" t="str">
        <f ca="1">IFERROR(__xludf.DUMMYFUNCTION("""COMPUTED_VALUE"""),"Remitiendo cuenta de Inversión, correspondiente al Ejercicio Financiero Año 2020 y anexo ejecuciones y Estados Contables de Agencias y Entes")</f>
        <v>Remitiendo cuenta de Inversión, correspondiente al Ejercicio Financiero Año 2020 y anexo ejecuciones y Estados Contables de Agencias y Entes</v>
      </c>
      <c r="N366" s="20" t="str">
        <f ca="1">IFERROR(__xludf.DUMMYFUNCTION("""COMPUTED_VALUE"""),"SI")</f>
        <v>SI</v>
      </c>
      <c r="O366" s="20" t="str">
        <f ca="1">IFERROR(__xludf.DUMMYFUNCTION("""COMPUTED_VALUE"""),"NO")</f>
        <v>NO</v>
      </c>
      <c r="P366" s="20">
        <f ca="1">IFERROR(__xludf.DUMMYFUNCTION("""COMPUTED_VALUE"""),0)</f>
        <v>0</v>
      </c>
      <c r="Q366" s="113" t="str">
        <f ca="1">IFERROR(__xludf.DUMMYFUNCTION("""COMPUTED_VALUE"""),"https://gld.legislaturacba.gob.ar/_cdd/api/Documento/descargar?guid=488606fa-d00e-4363-bcbf-c34a5d99f85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v>
      </c>
      <c r="R366" s="113" t="str">
        <f ca="1">IFERROR(__xludf.DUMMYFUNCTION("""COMPUTED_VALUE"""),"https://www.youtube.com/watch?v=RANohj6-nQM")</f>
        <v>https://www.youtube.com/watch?v=RANohj6-nQM</v>
      </c>
      <c r="S366" s="113" t="str">
        <f ca="1">IFERROR(__xludf.DUMMYFUNCTION("""COMPUTED_VALUE"""),"https://gld.legislaturacba.gob.ar/Publics/Actas.aspx?id=eU5sopwFFZ8=")</f>
        <v>https://gld.legislaturacba.gob.ar/Publics/Actas.aspx?id=eU5sopwFFZ8=</v>
      </c>
      <c r="T366" s="99">
        <f t="shared" ca="1" si="0"/>
        <v>0</v>
      </c>
    </row>
    <row r="367" spans="1:20">
      <c r="A367" s="20">
        <f ca="1">IFERROR(__xludf.DUMMYFUNCTION("""COMPUTED_VALUE"""),129)</f>
        <v>129</v>
      </c>
      <c r="B367" s="20">
        <f ca="1">IFERROR(__xludf.DUMMYFUNCTION("""COMPUTED_VALUE"""),2021)</f>
        <v>2021</v>
      </c>
      <c r="C367" s="20" t="str">
        <f ca="1">IFERROR(__xludf.DUMMYFUNCTION("""COMPUTED_VALUE"""),"VIRTUAL")</f>
        <v>VIRTUAL</v>
      </c>
      <c r="D367" s="96">
        <f ca="1">IFERROR(__xludf.DUMMYFUNCTION("""COMPUTED_VALUE"""),44369)</f>
        <v>44369</v>
      </c>
      <c r="E367" s="20" t="str">
        <f ca="1">IFERROR(__xludf.DUMMYFUNCTION("""COMPUTED_VALUE"""),"NO")</f>
        <v>NO</v>
      </c>
      <c r="F367" s="20" t="str">
        <f ca="1">IFERROR(__xludf.DUMMYFUNCTION("""COMPUTED_VALUE"""),"ASUNTOS INSTITUCIONALES, MUNICIPALES Y COMUNALES")</f>
        <v>ASUNTOS INSTITUCIONALES, MUNICIPALES Y COMUNALES</v>
      </c>
      <c r="G367" s="20">
        <f ca="1">IFERROR(__xludf.DUMMYFUNCTION("""COMPUTED_VALUE"""),1)</f>
        <v>1</v>
      </c>
      <c r="H367" s="20">
        <f ca="1">IFERROR(__xludf.DUMMYFUNCTION("""COMPUTED_VALUE"""),1)</f>
        <v>1</v>
      </c>
      <c r="I367" s="20">
        <f ca="1">IFERROR(__xludf.DUMMYFUNCTION("""COMPUTED_VALUE"""),1)</f>
        <v>1</v>
      </c>
      <c r="J367" s="20" t="str">
        <f ca="1">IFERROR(__xludf.DUMMYFUNCTION("""COMPUTED_VALUE"""),"Ley")</f>
        <v>Ley</v>
      </c>
      <c r="K367" s="20">
        <f ca="1">IFERROR(__xludf.DUMMYFUNCTION("""COMPUTED_VALUE"""),32772)</f>
        <v>32772</v>
      </c>
      <c r="L367" s="20" t="str">
        <f ca="1">IFERROR(__xludf.DUMMYFUNCTION("""COMPUTED_VALUE"""),"Poder Ejecutivo Provincial")</f>
        <v>Poder Ejecutivo Provincial</v>
      </c>
      <c r="M367" s="20" t="str">
        <f ca="1">IFERROR(__xludf.DUMMYFUNCTION("""COMPUTED_VALUE"""),"Modiificando el radio municiapl de la localidad de Mendiolaza")</f>
        <v>Modiificando el radio municiapl de la localidad de Mendiolaza</v>
      </c>
      <c r="N367" s="20" t="str">
        <f ca="1">IFERROR(__xludf.DUMMYFUNCTION("""COMPUTED_VALUE"""),"SI")</f>
        <v>SI</v>
      </c>
      <c r="O367" s="20" t="str">
        <f ca="1">IFERROR(__xludf.DUMMYFUNCTION("""COMPUTED_VALUE"""),"NO")</f>
        <v>NO</v>
      </c>
      <c r="P367" s="20">
        <f ca="1">IFERROR(__xludf.DUMMYFUNCTION("""COMPUTED_VALUE"""),0)</f>
        <v>0</v>
      </c>
      <c r="Q367" s="113" t="str">
        <f ca="1">IFERROR(__xludf.DUMMYFUNCTION("""COMPUTED_VALUE"""),"https://gld.legislaturacba.gob.ar/_cdd/api/Documento/descargar?guid=eeb30d74-0c69-4f16-b59b-7f603dfcbb7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v>
      </c>
      <c r="R367" s="113" t="str">
        <f ca="1">IFERROR(__xludf.DUMMYFUNCTION("""COMPUTED_VALUE"""),"https://www.youtube.com/watch?v=rhRJs2NsGNY")</f>
        <v>https://www.youtube.com/watch?v=rhRJs2NsGNY</v>
      </c>
      <c r="S367" s="113" t="str">
        <f ca="1">IFERROR(__xludf.DUMMYFUNCTION("""COMPUTED_VALUE"""),"https://gld.legislaturacba.gob.ar/Publics/Actas.aspx?id=UovuVJZ6SAg=")</f>
        <v>https://gld.legislaturacba.gob.ar/Publics/Actas.aspx?id=UovuVJZ6SAg=</v>
      </c>
      <c r="T367" s="99">
        <f t="shared" ca="1" si="0"/>
        <v>0</v>
      </c>
    </row>
    <row r="368" spans="1:20">
      <c r="A368" s="20">
        <f ca="1">IFERROR(__xludf.DUMMYFUNCTION("""COMPUTED_VALUE"""),130)</f>
        <v>130</v>
      </c>
      <c r="B368" s="20">
        <f ca="1">IFERROR(__xludf.DUMMYFUNCTION("""COMPUTED_VALUE"""),2021)</f>
        <v>2021</v>
      </c>
      <c r="C368" s="20" t="str">
        <f ca="1">IFERROR(__xludf.DUMMYFUNCTION("""COMPUTED_VALUE"""),"VIRTUAL")</f>
        <v>VIRTUAL</v>
      </c>
      <c r="D368" s="96">
        <f ca="1">IFERROR(__xludf.DUMMYFUNCTION("""COMPUTED_VALUE"""),44369)</f>
        <v>44369</v>
      </c>
      <c r="E368" s="20" t="str">
        <f ca="1">IFERROR(__xludf.DUMMYFUNCTION("""COMPUTED_VALUE"""),"NO")</f>
        <v>NO</v>
      </c>
      <c r="F368" s="20" t="str">
        <f ca="1">IFERROR(__xludf.DUMMYFUNCTION("""COMPUTED_VALUE"""),"DEPORTES Y RECREACIÓN")</f>
        <v>DEPORTES Y RECREACIÓN</v>
      </c>
      <c r="G368" s="20">
        <f ca="1">IFERROR(__xludf.DUMMYFUNCTION("""COMPUTED_VALUE"""),1)</f>
        <v>1</v>
      </c>
      <c r="H368" s="20">
        <f ca="1">IFERROR(__xludf.DUMMYFUNCTION("""COMPUTED_VALUE"""),1)</f>
        <v>1</v>
      </c>
      <c r="I368" s="20">
        <f ca="1">IFERROR(__xludf.DUMMYFUNCTION("""COMPUTED_VALUE"""),1)</f>
        <v>1</v>
      </c>
      <c r="J368" s="20" t="str">
        <f ca="1">IFERROR(__xludf.DUMMYFUNCTION("""COMPUTED_VALUE"""),"NA")</f>
        <v>NA</v>
      </c>
      <c r="K368" s="20" t="str">
        <f ca="1">IFERROR(__xludf.DUMMYFUNCTION("""COMPUTED_VALUE"""),"NA")</f>
        <v>NA</v>
      </c>
      <c r="L368" s="20" t="str">
        <f ca="1">IFERROR(__xludf.DUMMYFUNCTION("""COMPUTED_VALUE"""),"NA")</f>
        <v>NA</v>
      </c>
      <c r="M368" s="20" t="str">
        <f ca="1">IFERROR(__xludf.DUMMYFUNCTION("""COMPUTED_VALUE"""),"Anteproyecto Código de convivencia Deportivo")</f>
        <v>Anteproyecto Código de convivencia Deportivo</v>
      </c>
      <c r="N368" s="20" t="str">
        <f ca="1">IFERROR(__xludf.DUMMYFUNCTION("""COMPUTED_VALUE"""),"NA")</f>
        <v>NA</v>
      </c>
      <c r="O368" s="20" t="str">
        <f ca="1">IFERROR(__xludf.DUMMYFUNCTION("""COMPUTED_VALUE"""),"SI")</f>
        <v>SI</v>
      </c>
      <c r="P368" s="20">
        <f ca="1">IFERROR(__xludf.DUMMYFUNCTION("""COMPUTED_VALUE"""),1)</f>
        <v>1</v>
      </c>
      <c r="Q368" s="113" t="str">
        <f ca="1">IFERROR(__xludf.DUMMYFUNCTION("""COMPUTED_VALUE"""),"https://gld.legislaturacba.gob.ar/_cdd/api/Documento/descargar?guid=6bc09df9-6eb6-4d10-a731-697f71269e3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v>
      </c>
      <c r="R368" s="113" t="str">
        <f ca="1">IFERROR(__xludf.DUMMYFUNCTION("""COMPUTED_VALUE"""),"https://www.youtube.com/watch?v=YIMbN9k3AfA")</f>
        <v>https://www.youtube.com/watch?v=YIMbN9k3AfA</v>
      </c>
      <c r="S368" s="113" t="str">
        <f ca="1">IFERROR(__xludf.DUMMYFUNCTION("""COMPUTED_VALUE"""),"https://gld.legislaturacba.gob.ar/Publics/Actas.aspx?id=J3sEQeTl5po=")</f>
        <v>https://gld.legislaturacba.gob.ar/Publics/Actas.aspx?id=J3sEQeTl5po=</v>
      </c>
      <c r="T368" s="99">
        <f t="shared" ca="1" si="0"/>
        <v>0</v>
      </c>
    </row>
    <row r="369" spans="1:20">
      <c r="A369" s="20">
        <f ca="1">IFERROR(__xludf.DUMMYFUNCTION("""COMPUTED_VALUE"""),131)</f>
        <v>131</v>
      </c>
      <c r="B369" s="20">
        <f ca="1">IFERROR(__xludf.DUMMYFUNCTION("""COMPUTED_VALUE"""),2021)</f>
        <v>2021</v>
      </c>
      <c r="C369" s="20" t="str">
        <f ca="1">IFERROR(__xludf.DUMMYFUNCTION("""COMPUTED_VALUE"""),"VIRTUAL")</f>
        <v>VIRTUAL</v>
      </c>
      <c r="D369" s="96">
        <f ca="1">IFERROR(__xludf.DUMMYFUNCTION("""COMPUTED_VALUE"""),44369)</f>
        <v>44369</v>
      </c>
      <c r="E369" s="20" t="str">
        <f ca="1">IFERROR(__xludf.DUMMYFUNCTION("""COMPUTED_VALUE"""),"NO")</f>
        <v>NO</v>
      </c>
      <c r="F369" s="20" t="str">
        <f ca="1">IFERROR(__xludf.DUMMYFUNCTION("""COMPUTED_VALUE"""),"EDUCACIÓN, CULTURA, CIENCIA, TECNOLOGÍA E INFORMÁTICA")</f>
        <v>EDUCACIÓN, CULTURA, CIENCIA, TECNOLOGÍA E INFORMÁTICA</v>
      </c>
      <c r="G369" s="20">
        <f ca="1">IFERROR(__xludf.DUMMYFUNCTION("""COMPUTED_VALUE"""),1)</f>
        <v>1</v>
      </c>
      <c r="H369" s="20">
        <f ca="1">IFERROR(__xludf.DUMMYFUNCTION("""COMPUTED_VALUE"""),1)</f>
        <v>1</v>
      </c>
      <c r="I369" s="20">
        <f ca="1">IFERROR(__xludf.DUMMYFUNCTION("""COMPUTED_VALUE"""),1)</f>
        <v>1</v>
      </c>
      <c r="J369" s="20" t="str">
        <f ca="1">IFERROR(__xludf.DUMMYFUNCTION("""COMPUTED_VALUE"""),"NA")</f>
        <v>NA</v>
      </c>
      <c r="K369" s="20" t="str">
        <f ca="1">IFERROR(__xludf.DUMMYFUNCTION("""COMPUTED_VALUE"""),"NA")</f>
        <v>NA</v>
      </c>
      <c r="L369" s="20" t="str">
        <f ca="1">IFERROR(__xludf.DUMMYFUNCTION("""COMPUTED_VALUE"""),"NA")</f>
        <v>NA</v>
      </c>
      <c r="M369" s="20" t="str">
        <f ca="1">IFERROR(__xludf.DUMMYFUNCTION("""COMPUTED_VALUE"""),"Aspectos sanitarios, de infraestructura y conectividad relativos a la cartera de educación")</f>
        <v>Aspectos sanitarios, de infraestructura y conectividad relativos a la cartera de educación</v>
      </c>
      <c r="N369" s="20" t="str">
        <f ca="1">IFERROR(__xludf.DUMMYFUNCTION("""COMPUTED_VALUE"""),"NA")</f>
        <v>NA</v>
      </c>
      <c r="O369" s="20" t="str">
        <f ca="1">IFERROR(__xludf.DUMMYFUNCTION("""COMPUTED_VALUE"""),"SI")</f>
        <v>SI</v>
      </c>
      <c r="P369" s="20">
        <f ca="1">IFERROR(__xludf.DUMMYFUNCTION("""COMPUTED_VALUE"""),4)</f>
        <v>4</v>
      </c>
      <c r="Q369" s="113" t="str">
        <f ca="1">IFERROR(__xludf.DUMMYFUNCTION("""COMPUTED_VALUE"""),"https://gld.legislaturacba.gob.ar/_cdd/api/Documento/descargar?guid=5c2ed3f4-d6a9-47b3-9db2-e9ffcfa758f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v>
      </c>
      <c r="R369" s="113" t="str">
        <f ca="1">IFERROR(__xludf.DUMMYFUNCTION("""COMPUTED_VALUE"""),"https://www.youtube.com/watch?v=5LsFxiL_y4g")</f>
        <v>https://www.youtube.com/watch?v=5LsFxiL_y4g</v>
      </c>
      <c r="S369" s="113" t="str">
        <f ca="1">IFERROR(__xludf.DUMMYFUNCTION("""COMPUTED_VALUE"""),"https://gld.legislaturacba.gob.ar/Publics/Actas.aspx?id=kme3c8Ikhpw=")</f>
        <v>https://gld.legislaturacba.gob.ar/Publics/Actas.aspx?id=kme3c8Ikhpw=</v>
      </c>
      <c r="T369" s="99">
        <f t="shared" ca="1" si="0"/>
        <v>0</v>
      </c>
    </row>
    <row r="370" spans="1:20">
      <c r="A370" s="20">
        <f ca="1">IFERROR(__xludf.DUMMYFUNCTION("""COMPUTED_VALUE"""),132)</f>
        <v>132</v>
      </c>
      <c r="B370" s="20">
        <f ca="1">IFERROR(__xludf.DUMMYFUNCTION("""COMPUTED_VALUE"""),2021)</f>
        <v>2021</v>
      </c>
      <c r="C370" s="20" t="str">
        <f ca="1">IFERROR(__xludf.DUMMYFUNCTION("""COMPUTED_VALUE"""),"VIRTUAL")</f>
        <v>VIRTUAL</v>
      </c>
      <c r="D370" s="96">
        <f ca="1">IFERROR(__xludf.DUMMYFUNCTION("""COMPUTED_VALUE"""),44371)</f>
        <v>44371</v>
      </c>
      <c r="E370" s="20" t="str">
        <f ca="1">IFERROR(__xludf.DUMMYFUNCTION("""COMPUTED_VALUE"""),"NO")</f>
        <v>NO</v>
      </c>
      <c r="F370" s="20" t="str">
        <f ca="1">IFERROR(__xludf.DUMMYFUNCTION("""COMPUTED_VALUE"""),"SALUD HUMANA")</f>
        <v>SALUD HUMANA</v>
      </c>
      <c r="G370" s="20">
        <f ca="1">IFERROR(__xludf.DUMMYFUNCTION("""COMPUTED_VALUE"""),1)</f>
        <v>1</v>
      </c>
      <c r="H370" s="20">
        <f ca="1">IFERROR(__xludf.DUMMYFUNCTION("""COMPUTED_VALUE"""),2)</f>
        <v>2</v>
      </c>
      <c r="I370" s="20">
        <f ca="1">IFERROR(__xludf.DUMMYFUNCTION("""COMPUTED_VALUE"""),1)</f>
        <v>1</v>
      </c>
      <c r="J370" s="20" t="str">
        <f ca="1">IFERROR(__xludf.DUMMYFUNCTION("""COMPUTED_VALUE"""),"NA")</f>
        <v>NA</v>
      </c>
      <c r="K370" s="20" t="str">
        <f ca="1">IFERROR(__xludf.DUMMYFUNCTION("""COMPUTED_VALUE"""),"NA")</f>
        <v>NA</v>
      </c>
      <c r="L370" s="20" t="str">
        <f ca="1">IFERROR(__xludf.DUMMYFUNCTION("""COMPUTED_VALUE"""),"NA")</f>
        <v>NA</v>
      </c>
      <c r="M370" s="20" t="str">
        <f ca="1">IFERROR(__xludf.DUMMYFUNCTION("""COMPUTED_VALUE"""),"Procedimiento para la Donación y Uso del Plasma de Pacientes Recuperados de COVID-19 en la Provincia de Córdoba")</f>
        <v>Procedimiento para la Donación y Uso del Plasma de Pacientes Recuperados de COVID-19 en la Provincia de Córdoba</v>
      </c>
      <c r="N370" s="20" t="str">
        <f ca="1">IFERROR(__xludf.DUMMYFUNCTION("""COMPUTED_VALUE"""),"NA")</f>
        <v>NA</v>
      </c>
      <c r="O370" s="20" t="str">
        <f ca="1">IFERROR(__xludf.DUMMYFUNCTION("""COMPUTED_VALUE"""),"SI")</f>
        <v>SI</v>
      </c>
      <c r="P370" s="20">
        <f ca="1">IFERROR(__xludf.DUMMYFUNCTION("""COMPUTED_VALUE"""),1)</f>
        <v>1</v>
      </c>
      <c r="Q370" s="113" t="str">
        <f ca="1">IFERROR(__xludf.DUMMYFUNCTION("""COMPUTED_VALUE"""),"https://gld.legislaturacba.gob.ar/_cdd/api/Documento/descargar?guid=d368f9fc-f512-4108-acd4-b7e13c06d065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v>
      </c>
      <c r="R370" s="20" t="str">
        <f ca="1">IFERROR(__xludf.DUMMYFUNCTION("""COMPUTED_VALUE"""),"NA")</f>
        <v>NA</v>
      </c>
      <c r="S370" s="113" t="str">
        <f ca="1">IFERROR(__xludf.DUMMYFUNCTION("""COMPUTED_VALUE"""),"https://gld.legislaturacba.gob.ar/Publics/Actas.aspx?id=9tAJu6uUzYA=")</f>
        <v>https://gld.legislaturacba.gob.ar/Publics/Actas.aspx?id=9tAJu6uUzYA=</v>
      </c>
      <c r="T370" s="99">
        <f t="shared" ca="1" si="0"/>
        <v>0</v>
      </c>
    </row>
    <row r="371" spans="1:20">
      <c r="A371" s="20">
        <f ca="1">IFERROR(__xludf.DUMMYFUNCTION("""COMPUTED_VALUE"""),133)</f>
        <v>133</v>
      </c>
      <c r="B371" s="20">
        <f ca="1">IFERROR(__xludf.DUMMYFUNCTION("""COMPUTED_VALUE"""),2021)</f>
        <v>2021</v>
      </c>
      <c r="C371" s="20" t="str">
        <f ca="1">IFERROR(__xludf.DUMMYFUNCTION("""COMPUTED_VALUE"""),"VIRTUAL")</f>
        <v>VIRTUAL</v>
      </c>
      <c r="D371" s="96">
        <f ca="1">IFERROR(__xludf.DUMMYFUNCTION("""COMPUTED_VALUE"""),44371)</f>
        <v>44371</v>
      </c>
      <c r="E371" s="20" t="str">
        <f ca="1">IFERROR(__xludf.DUMMYFUNCTION("""COMPUTED_VALUE"""),"NO")</f>
        <v>NO</v>
      </c>
      <c r="F371" s="20" t="str">
        <f ca="1">IFERROR(__xludf.DUMMYFUNCTION("""COMPUTED_VALUE"""),"ECONOMÍA SOCIAL, COOPERATIVAS Y MUTUALES")</f>
        <v>ECONOMÍA SOCIAL, COOPERATIVAS Y MUTUALES</v>
      </c>
      <c r="G371" s="20">
        <f ca="1">IFERROR(__xludf.DUMMYFUNCTION("""COMPUTED_VALUE"""),1)</f>
        <v>1</v>
      </c>
      <c r="H371" s="20">
        <f ca="1">IFERROR(__xludf.DUMMYFUNCTION("""COMPUTED_VALUE"""),1)</f>
        <v>1</v>
      </c>
      <c r="I371" s="20">
        <f ca="1">IFERROR(__xludf.DUMMYFUNCTION("""COMPUTED_VALUE"""),1)</f>
        <v>1</v>
      </c>
      <c r="J371" s="20" t="str">
        <f ca="1">IFERROR(__xludf.DUMMYFUNCTION("""COMPUTED_VALUE"""),"NA")</f>
        <v>NA</v>
      </c>
      <c r="K371" s="20" t="str">
        <f ca="1">IFERROR(__xludf.DUMMYFUNCTION("""COMPUTED_VALUE"""),"NA")</f>
        <v>NA</v>
      </c>
      <c r="L371" s="20" t="str">
        <f ca="1">IFERROR(__xludf.DUMMYFUNCTION("""COMPUTED_VALUE"""),"NA")</f>
        <v>NA</v>
      </c>
      <c r="M371" s="20" t="str">
        <f ca="1">IFERROR(__xludf.DUMMYFUNCTION("""COMPUTED_VALUE"""),"Monedas virtuales creadas por Cooperativas, para intercambiar productos y servicios entre produtores y consumidores")</f>
        <v>Monedas virtuales creadas por Cooperativas, para intercambiar productos y servicios entre produtores y consumidores</v>
      </c>
      <c r="N371" s="20" t="str">
        <f ca="1">IFERROR(__xludf.DUMMYFUNCTION("""COMPUTED_VALUE"""),"NA")</f>
        <v>NA</v>
      </c>
      <c r="O371" s="20" t="str">
        <f ca="1">IFERROR(__xludf.DUMMYFUNCTION("""COMPUTED_VALUE"""),"SI")</f>
        <v>SI</v>
      </c>
      <c r="P371" s="20">
        <f ca="1">IFERROR(__xludf.DUMMYFUNCTION("""COMPUTED_VALUE"""),4)</f>
        <v>4</v>
      </c>
      <c r="Q371" s="113" t="str">
        <f ca="1">IFERROR(__xludf.DUMMYFUNCTION("""COMPUTED_VALUE"""),"https://gld.legislaturacba.gob.ar/_cdd/api/Documento/descargar?guid=6e413808-e485-4f63-b056-a2707b678733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v>
      </c>
      <c r="R371" s="113" t="str">
        <f ca="1">IFERROR(__xludf.DUMMYFUNCTION("""COMPUTED_VALUE"""),"https://www.youtube.com/watch?v=79AYMU_puV0")</f>
        <v>https://www.youtube.com/watch?v=79AYMU_puV0</v>
      </c>
      <c r="S371" s="113" t="str">
        <f ca="1">IFERROR(__xludf.DUMMYFUNCTION("""COMPUTED_VALUE"""),"https://gld.legislaturacba.gob.ar/Publics/Actas.aspx?id=ckHHJVdWA98=")</f>
        <v>https://gld.legislaturacba.gob.ar/Publics/Actas.aspx?id=ckHHJVdWA98=</v>
      </c>
      <c r="T371" s="99">
        <f t="shared" ca="1" si="0"/>
        <v>0</v>
      </c>
    </row>
    <row r="372" spans="1:20">
      <c r="A372" s="20">
        <f ca="1">IFERROR(__xludf.DUMMYFUNCTION("""COMPUTED_VALUE"""),134)</f>
        <v>134</v>
      </c>
      <c r="B372" s="20">
        <f ca="1">IFERROR(__xludf.DUMMYFUNCTION("""COMPUTED_VALUE"""),2021)</f>
        <v>2021</v>
      </c>
      <c r="C372" s="20" t="str">
        <f ca="1">IFERROR(__xludf.DUMMYFUNCTION("""COMPUTED_VALUE"""),"VIRTUAL")</f>
        <v>VIRTUAL</v>
      </c>
      <c r="D372" s="96">
        <f ca="1">IFERROR(__xludf.DUMMYFUNCTION("""COMPUTED_VALUE"""),44371)</f>
        <v>44371</v>
      </c>
      <c r="E372" s="20" t="str">
        <f ca="1">IFERROR(__xludf.DUMMYFUNCTION("""COMPUTED_VALUE"""),"NO")</f>
        <v>NO</v>
      </c>
      <c r="F372" s="20" t="str">
        <f ca="1">IFERROR(__xludf.DUMMYFUNCTION("""COMPUTED_VALUE"""),"ASUNTOS CONSTITUCIONALES, JUSTICIA Y ACUERDOS")</f>
        <v>ASUNTOS CONSTITUCIONALES, JUSTICIA Y ACUERDOS</v>
      </c>
      <c r="G372" s="20">
        <f ca="1">IFERROR(__xludf.DUMMYFUNCTION("""COMPUTED_VALUE"""),1)</f>
        <v>1</v>
      </c>
      <c r="H372" s="20">
        <f ca="1">IFERROR(__xludf.DUMMYFUNCTION("""COMPUTED_VALUE"""),4)</f>
        <v>4</v>
      </c>
      <c r="I372" s="20">
        <f ca="1">IFERROR(__xludf.DUMMYFUNCTION("""COMPUTED_VALUE"""),1)</f>
        <v>1</v>
      </c>
      <c r="J372" s="20" t="str">
        <f ca="1">IFERROR(__xludf.DUMMYFUNCTION("""COMPUTED_VALUE"""),"Pliego")</f>
        <v>Pliego</v>
      </c>
      <c r="K372" s="20">
        <f ca="1">IFERROR(__xludf.DUMMYFUNCTION("""COMPUTED_VALUE"""),33054)</f>
        <v>33054</v>
      </c>
      <c r="L372" s="20" t="str">
        <f ca="1">IFERROR(__xludf.DUMMYFUNCTION("""COMPUTED_VALUE"""),"Poder Ejecutivo Provincial")</f>
        <v>Poder Ejecutivo Provincial</v>
      </c>
      <c r="M372" s="20" t="str">
        <f ca="1">IFERROR(__xludf.DUMMYFUNCTION("""COMPUTED_VALUE"""),"Solicitando acuerdo para designar al abogado Santiago Hernán Moreno Douglas Juez de Conciliación y del Trabajo de 5ª Nominación de la Primera Circunscripción Judicial con asiento en la ciudad de Córdoba")</f>
        <v>Solicitando acuerdo para designar al abogado Santiago Hernán Moreno Douglas Juez de Conciliación y del Trabajo de 5ª Nominación de la Primera Circunscripción Judicial con asiento en la ciudad de Córdoba</v>
      </c>
      <c r="N372" s="20" t="str">
        <f ca="1">IFERROR(__xludf.DUMMYFUNCTION("""COMPUTED_VALUE"""),"SI")</f>
        <v>SI</v>
      </c>
      <c r="O372" s="20" t="str">
        <f ca="1">IFERROR(__xludf.DUMMYFUNCTION("""COMPUTED_VALUE"""),"NO")</f>
        <v>NO</v>
      </c>
      <c r="P372" s="20">
        <f ca="1">IFERROR(__xludf.DUMMYFUNCTION("""COMPUTED_VALUE"""),0)</f>
        <v>0</v>
      </c>
      <c r="Q372" s="113" t="str">
        <f ca="1">IFERROR(__xludf.DUMMYFUNCTION("""COMPUTED_VALUE"""),"https://gld.legislaturacba.gob.ar/_cdd/api/Documento/descargar?guid=a44e8d1d-0121-4b95-92ee-ac533fe77dc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v>
      </c>
      <c r="R372" s="113" t="str">
        <f ca="1">IFERROR(__xludf.DUMMYFUNCTION("""COMPUTED_VALUE"""),"https://www.youtube.com/watch?v=5n6UghT3J5o")</f>
        <v>https://www.youtube.com/watch?v=5n6UghT3J5o</v>
      </c>
      <c r="S372" s="113" t="str">
        <f ca="1">IFERROR(__xludf.DUMMYFUNCTION("""COMPUTED_VALUE"""),"https://gld.legislaturacba.gob.ar/Publics/Actas.aspx?id=mD5yIZy3mXY=")</f>
        <v>https://gld.legislaturacba.gob.ar/Publics/Actas.aspx?id=mD5yIZy3mXY=</v>
      </c>
      <c r="T372" s="99">
        <f t="shared" ca="1" si="0"/>
        <v>0</v>
      </c>
    </row>
    <row r="373" spans="1:20">
      <c r="A373" s="20">
        <f ca="1">IFERROR(__xludf.DUMMYFUNCTION("""COMPUTED_VALUE"""),135)</f>
        <v>135</v>
      </c>
      <c r="B373" s="20">
        <f ca="1">IFERROR(__xludf.DUMMYFUNCTION("""COMPUTED_VALUE"""),2021)</f>
        <v>2021</v>
      </c>
      <c r="C373" s="20" t="str">
        <f ca="1">IFERROR(__xludf.DUMMYFUNCTION("""COMPUTED_VALUE"""),"VIRTUAL")</f>
        <v>VIRTUAL</v>
      </c>
      <c r="D373" s="96">
        <f ca="1">IFERROR(__xludf.DUMMYFUNCTION("""COMPUTED_VALUE"""),44376)</f>
        <v>44376</v>
      </c>
      <c r="E373" s="20" t="str">
        <f ca="1">IFERROR(__xludf.DUMMYFUNCTION("""COMPUTED_VALUE"""),"NO")</f>
        <v>NO</v>
      </c>
      <c r="F373" s="20" t="str">
        <f ca="1">IFERROR(__xludf.DUMMYFUNCTION("""COMPUTED_VALUE"""),"ASUNTOS CONSTITUCIONALES, JUSTICIA Y ACUERDOS")</f>
        <v>ASUNTOS CONSTITUCIONALES, JUSTICIA Y ACUERDOS</v>
      </c>
      <c r="G373" s="20">
        <f ca="1">IFERROR(__xludf.DUMMYFUNCTION("""COMPUTED_VALUE"""),1)</f>
        <v>1</v>
      </c>
      <c r="H373" s="20">
        <f ca="1">IFERROR(__xludf.DUMMYFUNCTION("""COMPUTED_VALUE"""),4)</f>
        <v>4</v>
      </c>
      <c r="I373" s="20">
        <f ca="1">IFERROR(__xludf.DUMMYFUNCTION("""COMPUTED_VALUE"""),1)</f>
        <v>1</v>
      </c>
      <c r="J373" s="20" t="str">
        <f ca="1">IFERROR(__xludf.DUMMYFUNCTION("""COMPUTED_VALUE"""),"Pliego")</f>
        <v>Pliego</v>
      </c>
      <c r="K373" s="20">
        <f ca="1">IFERROR(__xludf.DUMMYFUNCTION("""COMPUTED_VALUE"""),33059)</f>
        <v>33059</v>
      </c>
      <c r="L373" s="20" t="str">
        <f ca="1">IFERROR(__xludf.DUMMYFUNCTION("""COMPUTED_VALUE"""),"Poder Ejecutivo Provincial")</f>
        <v>Poder Ejecutivo Provincial</v>
      </c>
      <c r="M373" s="20" t="str">
        <f ca="1">IFERROR(__xludf.DUMMYFUNCTION("""COMPUTED_VALUE"""),"Solicitando acuerdo para designar a la abogada Ileana Vanesa Benedito Juez Penal Juvenil de 3º Nominación de la Primera Circunscripción Judicial con asiento en la ciudad de Córdoba")</f>
        <v>Solicitando acuerdo para designar a la abogada Ileana Vanesa Benedito Juez Penal Juvenil de 3º Nominación de la Primera Circunscripción Judicial con asiento en la ciudad de Córdoba</v>
      </c>
      <c r="N373" s="20" t="str">
        <f ca="1">IFERROR(__xludf.DUMMYFUNCTION("""COMPUTED_VALUE"""),"SI")</f>
        <v>SI</v>
      </c>
      <c r="O373" s="20" t="str">
        <f ca="1">IFERROR(__xludf.DUMMYFUNCTION("""COMPUTED_VALUE"""),"NO")</f>
        <v>NO</v>
      </c>
      <c r="P373" s="20">
        <f ca="1">IFERROR(__xludf.DUMMYFUNCTION("""COMPUTED_VALUE"""),0)</f>
        <v>0</v>
      </c>
      <c r="Q373" s="113" t="str">
        <f ca="1">IFERROR(__xludf.DUMMYFUNCTION("""COMPUTED_VALUE"""),"https://gld.legislaturacba.gob.ar/_cdd/api/Documento/descargar?guid=1143870b-e515-4f0e-a2d1-0c056635e70f&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v>
      </c>
      <c r="R373" s="113" t="str">
        <f ca="1">IFERROR(__xludf.DUMMYFUNCTION("""COMPUTED_VALUE"""),"https://www.youtube.com/watch?v=4AZgcULnKOc")</f>
        <v>https://www.youtube.com/watch?v=4AZgcULnKOc</v>
      </c>
      <c r="S373" s="113" t="str">
        <f ca="1">IFERROR(__xludf.DUMMYFUNCTION("""COMPUTED_VALUE"""),"https://gld.legislaturacba.gob.ar/Publics/Actas.aspx?id=FDLqVEnywLQ=")</f>
        <v>https://gld.legislaturacba.gob.ar/Publics/Actas.aspx?id=FDLqVEnywLQ=</v>
      </c>
      <c r="T373" s="99">
        <f t="shared" ca="1" si="0"/>
        <v>0</v>
      </c>
    </row>
    <row r="374" spans="1:20">
      <c r="A374" s="20">
        <f ca="1">IFERROR(__xludf.DUMMYFUNCTION("""COMPUTED_VALUE"""),136)</f>
        <v>136</v>
      </c>
      <c r="B374" s="20">
        <f ca="1">IFERROR(__xludf.DUMMYFUNCTION("""COMPUTED_VALUE"""),2021)</f>
        <v>2021</v>
      </c>
      <c r="C374" s="20" t="str">
        <f ca="1">IFERROR(__xludf.DUMMYFUNCTION("""COMPUTED_VALUE"""),"VIRTUAL")</f>
        <v>VIRTUAL</v>
      </c>
      <c r="D374" s="96">
        <f ca="1">IFERROR(__xludf.DUMMYFUNCTION("""COMPUTED_VALUE"""),44376)</f>
        <v>44376</v>
      </c>
      <c r="E374" s="20" t="str">
        <f ca="1">IFERROR(__xludf.DUMMYFUNCTION("""COMPUTED_VALUE"""),"NO")</f>
        <v>NO</v>
      </c>
      <c r="F374" s="20" t="str">
        <f ca="1">IFERROR(__xludf.DUMMYFUNCTION("""COMPUTED_VALUE"""),"LEGISLACIÓN GENERAL")</f>
        <v>LEGISLACIÓN GENERAL</v>
      </c>
      <c r="G374" s="20">
        <f ca="1">IFERROR(__xludf.DUMMYFUNCTION("""COMPUTED_VALUE"""),1)</f>
        <v>1</v>
      </c>
      <c r="H374" s="20">
        <f ca="1">IFERROR(__xludf.DUMMYFUNCTION("""COMPUTED_VALUE"""),2)</f>
        <v>2</v>
      </c>
      <c r="I374" s="20">
        <f ca="1">IFERROR(__xludf.DUMMYFUNCTION("""COMPUTED_VALUE"""),1)</f>
        <v>1</v>
      </c>
      <c r="J374" s="20" t="str">
        <f ca="1">IFERROR(__xludf.DUMMYFUNCTION("""COMPUTED_VALUE"""),"Ley")</f>
        <v>Ley</v>
      </c>
      <c r="K374" s="20">
        <f ca="1">IFERROR(__xludf.DUMMYFUNCTION("""COMPUTED_VALUE"""),32725)</f>
        <v>32725</v>
      </c>
      <c r="L374" s="20" t="str">
        <f ca="1">IFERROR(__xludf.DUMMYFUNCTION("""COMPUTED_VALUE"""),"Poder Ejecutivo Provincial")</f>
        <v>Poder Ejecutivo Provincial</v>
      </c>
      <c r="M374" s="20" t="str">
        <f ca="1">IFERROR(__xludf.DUMMYFUNCTION("""COMPUTED_VALUE"""),"Modificando el radio comunal de la localidad de Los Cedros, Departamento Santa Maria")</f>
        <v>Modificando el radio comunal de la localidad de Los Cedros, Departamento Santa Maria</v>
      </c>
      <c r="N374" s="20" t="str">
        <f ca="1">IFERROR(__xludf.DUMMYFUNCTION("""COMPUTED_VALUE"""),"NO")</f>
        <v>NO</v>
      </c>
      <c r="O374" s="20" t="str">
        <f ca="1">IFERROR(__xludf.DUMMYFUNCTION("""COMPUTED_VALUE"""),"NO")</f>
        <v>NO</v>
      </c>
      <c r="P374" s="20">
        <f ca="1">IFERROR(__xludf.DUMMYFUNCTION("""COMPUTED_VALUE"""),0)</f>
        <v>0</v>
      </c>
      <c r="Q374" s="113" t="str">
        <f ca="1">IFERROR(__xludf.DUMMYFUNCTION("""COMPUTED_VALUE"""),"https://gld.legislaturacba.gob.ar/_cdd/api/Documento/descargar?guid=c3d14187-f9e2-4c92-89d1-c8b98b982b00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v>
      </c>
      <c r="R374" s="113" t="str">
        <f ca="1">IFERROR(__xludf.DUMMYFUNCTION("""COMPUTED_VALUE"""),"https://www.youtube.com/watch?v=F5w7L-lMMH8")</f>
        <v>https://www.youtube.com/watch?v=F5w7L-lMMH8</v>
      </c>
      <c r="S374" s="113" t="str">
        <f ca="1">IFERROR(__xludf.DUMMYFUNCTION("""COMPUTED_VALUE"""),"https://gld.legislaturacba.gob.ar/Publics/Actas.aspx?id=ysfIb-oHytE=")</f>
        <v>https://gld.legislaturacba.gob.ar/Publics/Actas.aspx?id=ysfIb-oHytE=</v>
      </c>
      <c r="T374" s="99">
        <f t="shared" ca="1" si="0"/>
        <v>0</v>
      </c>
    </row>
    <row r="375" spans="1:20">
      <c r="A375" s="20">
        <f ca="1">IFERROR(__xludf.DUMMYFUNCTION("""COMPUTED_VALUE"""),137)</f>
        <v>137</v>
      </c>
      <c r="B375" s="20">
        <f ca="1">IFERROR(__xludf.DUMMYFUNCTION("""COMPUTED_VALUE"""),2021)</f>
        <v>2021</v>
      </c>
      <c r="C375" s="20" t="str">
        <f ca="1">IFERROR(__xludf.DUMMYFUNCTION("""COMPUTED_VALUE"""),"VIRTUAL")</f>
        <v>VIRTUAL</v>
      </c>
      <c r="D375" s="96">
        <f ca="1">IFERROR(__xludf.DUMMYFUNCTION("""COMPUTED_VALUE"""),44376)</f>
        <v>44376</v>
      </c>
      <c r="E375" s="20" t="str">
        <f ca="1">IFERROR(__xludf.DUMMYFUNCTION("""COMPUTED_VALUE"""),"NO")</f>
        <v>NO</v>
      </c>
      <c r="F375" s="20" t="str">
        <f ca="1">IFERROR(__xludf.DUMMYFUNCTION("""COMPUTED_VALUE"""),"ASUNTOS INSTITUCIONALES, MUNICIPALES Y COMUNALES")</f>
        <v>ASUNTOS INSTITUCIONALES, MUNICIPALES Y COMUNALES</v>
      </c>
      <c r="G375" s="20">
        <f ca="1">IFERROR(__xludf.DUMMYFUNCTION("""COMPUTED_VALUE"""),1)</f>
        <v>1</v>
      </c>
      <c r="H375" s="20">
        <f ca="1">IFERROR(__xludf.DUMMYFUNCTION("""COMPUTED_VALUE"""),1)</f>
        <v>1</v>
      </c>
      <c r="I375" s="20">
        <f ca="1">IFERROR(__xludf.DUMMYFUNCTION("""COMPUTED_VALUE"""),1)</f>
        <v>1</v>
      </c>
      <c r="J375" s="20" t="str">
        <f ca="1">IFERROR(__xludf.DUMMYFUNCTION("""COMPUTED_VALUE"""),"Ley")</f>
        <v>Ley</v>
      </c>
      <c r="K375" s="20">
        <f ca="1">IFERROR(__xludf.DUMMYFUNCTION("""COMPUTED_VALUE"""),33128)</f>
        <v>33128</v>
      </c>
      <c r="L375" s="20" t="str">
        <f ca="1">IFERROR(__xludf.DUMMYFUNCTION("""COMPUTED_VALUE"""),"Poder Ejecutivo Provincial")</f>
        <v>Poder Ejecutivo Provincial</v>
      </c>
      <c r="M375" s="20" t="str">
        <f ca="1">IFERROR(__xludf.DUMMYFUNCTION("""COMPUTED_VALUE"""),"Modificando el radio municiapal de la localidad de San Javier y Yacanto, Departamento San Javier")</f>
        <v>Modificando el radio municiapal de la localidad de San Javier y Yacanto, Departamento San Javier</v>
      </c>
      <c r="N375" s="20" t="str">
        <f ca="1">IFERROR(__xludf.DUMMYFUNCTION("""COMPUTED_VALUE"""),"SI")</f>
        <v>SI</v>
      </c>
      <c r="O375" s="20" t="str">
        <f ca="1">IFERROR(__xludf.DUMMYFUNCTION("""COMPUTED_VALUE"""),"NO")</f>
        <v>NO</v>
      </c>
      <c r="P375" s="20">
        <f ca="1">IFERROR(__xludf.DUMMYFUNCTION("""COMPUTED_VALUE"""),0)</f>
        <v>0</v>
      </c>
      <c r="Q375" s="113" t="str">
        <f ca="1">IFERROR(__xludf.DUMMYFUNCTION("""COMPUTED_VALUE"""),"https://gld.legislaturacba.gob.ar/_cdd/api/Documento/descargar?guid=462a3d04-8e84-4cdb-be59-3d5d335c1198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v>
      </c>
      <c r="R375" s="113" t="str">
        <f ca="1">IFERROR(__xludf.DUMMYFUNCTION("""COMPUTED_VALUE"""),"https://www.youtube.com/watch?v=X4Y2wDLbgN8")</f>
        <v>https://www.youtube.com/watch?v=X4Y2wDLbgN8</v>
      </c>
      <c r="S375" s="113" t="str">
        <f ca="1">IFERROR(__xludf.DUMMYFUNCTION("""COMPUTED_VALUE"""),"https://gld.legislaturacba.gob.ar/Publics/Actas.aspx?id=S3oUlnjR090=")</f>
        <v>https://gld.legislaturacba.gob.ar/Publics/Actas.aspx?id=S3oUlnjR090=</v>
      </c>
      <c r="T375" s="99">
        <f t="shared" ca="1" si="0"/>
        <v>0</v>
      </c>
    </row>
    <row r="376" spans="1:20">
      <c r="A376" s="20">
        <f ca="1">IFERROR(__xludf.DUMMYFUNCTION("""COMPUTED_VALUE"""),138)</f>
        <v>138</v>
      </c>
      <c r="B376" s="20">
        <f ca="1">IFERROR(__xludf.DUMMYFUNCTION("""COMPUTED_VALUE"""),2021)</f>
        <v>2021</v>
      </c>
      <c r="C376" s="20" t="str">
        <f ca="1">IFERROR(__xludf.DUMMYFUNCTION("""COMPUTED_VALUE"""),"VIRTUAL")</f>
        <v>VIRTUAL</v>
      </c>
      <c r="D376" s="96">
        <f ca="1">IFERROR(__xludf.DUMMYFUNCTION("""COMPUTED_VALUE"""),44378)</f>
        <v>44378</v>
      </c>
      <c r="E376" s="20" t="str">
        <f ca="1">IFERROR(__xludf.DUMMYFUNCTION("""COMPUTED_VALUE"""),"NO")</f>
        <v>NO</v>
      </c>
      <c r="F376" s="20" t="str">
        <f ca="1">IFERROR(__xludf.DUMMYFUNCTION("""COMPUTED_VALUE"""),"PREVENCIÓN, TRATAMIENTO Y CONTROL DE LAS ADICCIONES")</f>
        <v>PREVENCIÓN, TRATAMIENTO Y CONTROL DE LAS ADICCIONES</v>
      </c>
      <c r="G376" s="20">
        <f ca="1">IFERROR(__xludf.DUMMYFUNCTION("""COMPUTED_VALUE"""),1)</f>
        <v>1</v>
      </c>
      <c r="H376" s="20">
        <f ca="1">IFERROR(__xludf.DUMMYFUNCTION("""COMPUTED_VALUE"""),1)</f>
        <v>1</v>
      </c>
      <c r="I376" s="20">
        <f ca="1">IFERROR(__xludf.DUMMYFUNCTION("""COMPUTED_VALUE"""),1)</f>
        <v>1</v>
      </c>
      <c r="J376" s="20" t="str">
        <f ca="1">IFERROR(__xludf.DUMMYFUNCTION("""COMPUTED_VALUE"""),"NA")</f>
        <v>NA</v>
      </c>
      <c r="K376" s="20" t="str">
        <f ca="1">IFERROR(__xludf.DUMMYFUNCTION("""COMPUTED_VALUE"""),"NA")</f>
        <v>NA</v>
      </c>
      <c r="L376" s="20" t="str">
        <f ca="1">IFERROR(__xludf.DUMMYFUNCTION("""COMPUTED_VALUE"""),"NA")</f>
        <v>NA</v>
      </c>
      <c r="M376" s="20" t="str">
        <f ca="1">IFERROR(__xludf.DUMMYFUNCTION("""COMPUTED_VALUE"""),"Informe y balance sobre actividades desarrolladas en el marco de la ""semana Provincial de la Prevención del Consumo de Drogas""")</f>
        <v>Informe y balance sobre actividades desarrolladas en el marco de la "semana Provincial de la Prevención del Consumo de Drogas"</v>
      </c>
      <c r="N376" s="20" t="str">
        <f ca="1">IFERROR(__xludf.DUMMYFUNCTION("""COMPUTED_VALUE"""),"NA")</f>
        <v>NA</v>
      </c>
      <c r="O376" s="20" t="str">
        <f ca="1">IFERROR(__xludf.DUMMYFUNCTION("""COMPUTED_VALUE"""),"SI")</f>
        <v>SI</v>
      </c>
      <c r="P376" s="20">
        <f ca="1">IFERROR(__xludf.DUMMYFUNCTION("""COMPUTED_VALUE"""),1)</f>
        <v>1</v>
      </c>
      <c r="Q376" s="113" t="str">
        <f ca="1">IFERROR(__xludf.DUMMYFUNCTION("""COMPUTED_VALUE"""),"https://gld.legislaturacba.gob.ar/_cdd/api/Documento/descargar?guid=29d6c5c7-bc1a-445c-99f2-8fe22225d14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v>
      </c>
      <c r="R376" s="113" t="str">
        <f ca="1">IFERROR(__xludf.DUMMYFUNCTION("""COMPUTED_VALUE"""),"https://www.youtube.com/watch?v=ENWm_46gYYM")</f>
        <v>https://www.youtube.com/watch?v=ENWm_46gYYM</v>
      </c>
      <c r="S376" s="113" t="str">
        <f ca="1">IFERROR(__xludf.DUMMYFUNCTION("""COMPUTED_VALUE"""),"https://gld.legislaturacba.gob.ar/Publics/Actas.aspx?id=eOE4rnH980s=")</f>
        <v>https://gld.legislaturacba.gob.ar/Publics/Actas.aspx?id=eOE4rnH980s=</v>
      </c>
      <c r="T376" s="99">
        <f t="shared" ca="1" si="0"/>
        <v>0</v>
      </c>
    </row>
    <row r="377" spans="1:20">
      <c r="A377" s="20">
        <f ca="1">IFERROR(__xludf.DUMMYFUNCTION("""COMPUTED_VALUE"""),139)</f>
        <v>139</v>
      </c>
      <c r="B377" s="20">
        <f ca="1">IFERROR(__xludf.DUMMYFUNCTION("""COMPUTED_VALUE"""),2021)</f>
        <v>2021</v>
      </c>
      <c r="C377" s="20" t="str">
        <f ca="1">IFERROR(__xludf.DUMMYFUNCTION("""COMPUTED_VALUE"""),"VIRTUAL")</f>
        <v>VIRTUAL</v>
      </c>
      <c r="D377" s="96">
        <f ca="1">IFERROR(__xludf.DUMMYFUNCTION("""COMPUTED_VALUE"""),44378)</f>
        <v>44378</v>
      </c>
      <c r="E377" s="20" t="str">
        <f ca="1">IFERROR(__xludf.DUMMYFUNCTION("""COMPUTED_VALUE"""),"SI")</f>
        <v>SI</v>
      </c>
      <c r="F377" s="20" t="str">
        <f ca="1">IFERROR(__xludf.DUMMYFUNCTION("""COMPUTED_VALUE"""),"LEGISLACIÓN DEL TRABAJO, PREVISIÓN Y SEGURIDAD SOCIAL;LEGISLACIÓN GENERAL")</f>
        <v>LEGISLACIÓN DEL TRABAJO, PREVISIÓN Y SEGURIDAD SOCIAL;LEGISLACIÓN GENERAL</v>
      </c>
      <c r="G377" s="20">
        <f ca="1">IFERROR(__xludf.DUMMYFUNCTION("""COMPUTED_VALUE"""),2)</f>
        <v>2</v>
      </c>
      <c r="H377" s="20">
        <f ca="1">IFERROR(__xludf.DUMMYFUNCTION("""COMPUTED_VALUE"""),1)</f>
        <v>1</v>
      </c>
      <c r="I377" s="20">
        <f ca="1">IFERROR(__xludf.DUMMYFUNCTION("""COMPUTED_VALUE"""),1)</f>
        <v>1</v>
      </c>
      <c r="J377" s="20" t="str">
        <f ca="1">IFERROR(__xludf.DUMMYFUNCTION("""COMPUTED_VALUE"""),"Ley")</f>
        <v>Ley</v>
      </c>
      <c r="K377" s="20">
        <f ca="1">IFERROR(__xludf.DUMMYFUNCTION("""COMPUTED_VALUE"""),33156)</f>
        <v>33156</v>
      </c>
      <c r="L377" s="20" t="str">
        <f ca="1">IFERROR(__xludf.DUMMYFUNCTION("""COMPUTED_VALUE"""),"Poder Ejecutivo Provincial")</f>
        <v>Poder Ejecutivo Provincial</v>
      </c>
      <c r="M377" s="20" t="str">
        <f ca="1">IFERROR(__xludf.DUMMYFUNCTION("""COMPUTED_VALUE"""),"Equiparando el régimen laboral, previsional, disciplinario y salarial del personal de los Organismos del Sistema de Control Disciplinario de las Fuerzas de Seguridad Pública y Ciudadana con el que rige para el personal del Poder Judicial")</f>
        <v>Equiparando el régimen laboral, previsional, disciplinario y salarial del personal de los Organismos del Sistema de Control Disciplinario de las Fuerzas de Seguridad Pública y Ciudadana con el que rige para el personal del Poder Judicial</v>
      </c>
      <c r="N377" s="20" t="str">
        <f ca="1">IFERROR(__xludf.DUMMYFUNCTION("""COMPUTED_VALUE"""),"NO")</f>
        <v>NO</v>
      </c>
      <c r="O377" s="20" t="str">
        <f ca="1">IFERROR(__xludf.DUMMYFUNCTION("""COMPUTED_VALUE"""),"NO")</f>
        <v>NO</v>
      </c>
      <c r="P377" s="20">
        <f ca="1">IFERROR(__xludf.DUMMYFUNCTION("""COMPUTED_VALUE"""),0)</f>
        <v>0</v>
      </c>
      <c r="Q377" s="113" t="str">
        <f ca="1">IFERROR(__xludf.DUMMYFUNCTION("""COMPUTED_VALUE"""),"https://gld.legislaturacba.gob.ar/_cdd/api/Documento/descargar?guid=454097ab-859b-4e42-9a63-836dfb2f7830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v>
      </c>
      <c r="R377" s="113" t="str">
        <f ca="1">IFERROR(__xludf.DUMMYFUNCTION("""COMPUTED_VALUE"""),"https://www.youtube.com/watch?v=Mk5i4ZvBMeY")</f>
        <v>https://www.youtube.com/watch?v=Mk5i4ZvBMeY</v>
      </c>
      <c r="S377" s="113" t="str">
        <f ca="1">IFERROR(__xludf.DUMMYFUNCTION("""COMPUTED_VALUE"""),"https://gld.legislaturacba.gob.ar/Publics/Actas.aspx?id=bVs_bFTQoo8=;https://gld.legislaturacba.gob.ar/Publics/Actas.aspx?id=5vGFBcAqr-w=")</f>
        <v>https://gld.legislaturacba.gob.ar/Publics/Actas.aspx?id=bVs_bFTQoo8=;https://gld.legislaturacba.gob.ar/Publics/Actas.aspx?id=5vGFBcAqr-w=</v>
      </c>
      <c r="T377" s="99">
        <f t="shared" ca="1" si="0"/>
        <v>0</v>
      </c>
    </row>
    <row r="378" spans="1:20">
      <c r="A378" s="20">
        <f ca="1">IFERROR(__xludf.DUMMYFUNCTION("""COMPUTED_VALUE"""),140)</f>
        <v>140</v>
      </c>
      <c r="B378" s="20">
        <f ca="1">IFERROR(__xludf.DUMMYFUNCTION("""COMPUTED_VALUE"""),2021)</f>
        <v>2021</v>
      </c>
      <c r="C378" s="20" t="str">
        <f ca="1">IFERROR(__xludf.DUMMYFUNCTION("""COMPUTED_VALUE"""),"VIRTUAL")</f>
        <v>VIRTUAL</v>
      </c>
      <c r="D378" s="96">
        <f ca="1">IFERROR(__xludf.DUMMYFUNCTION("""COMPUTED_VALUE"""),44378)</f>
        <v>44378</v>
      </c>
      <c r="E378" s="20" t="str">
        <f ca="1">IFERROR(__xludf.DUMMYFUNCTION("""COMPUTED_VALUE"""),"SI")</f>
        <v>SI</v>
      </c>
      <c r="F378" s="20" t="str">
        <f ca="1">IFERROR(__xludf.DUMMYFUNCTION("""COMPUTED_VALUE"""),"ECONOMÍA, PRESUPUESTO, GESTIÓN PÚBLICA E INNOVACIÓN;LEGISLACIÓN GENERAL")</f>
        <v>ECONOMÍA, PRESUPUESTO, GESTIÓN PÚBLICA E INNOVACIÓN;LEGISLACIÓN GENERAL</v>
      </c>
      <c r="G378" s="20">
        <f ca="1">IFERROR(__xludf.DUMMYFUNCTION("""COMPUTED_VALUE"""),2)</f>
        <v>2</v>
      </c>
      <c r="H378" s="20">
        <f ca="1">IFERROR(__xludf.DUMMYFUNCTION("""COMPUTED_VALUE"""),1)</f>
        <v>1</v>
      </c>
      <c r="I378" s="20">
        <f ca="1">IFERROR(__xludf.DUMMYFUNCTION("""COMPUTED_VALUE"""),1)</f>
        <v>1</v>
      </c>
      <c r="J378" s="20" t="str">
        <f ca="1">IFERROR(__xludf.DUMMYFUNCTION("""COMPUTED_VALUE"""),"Ley")</f>
        <v>Ley</v>
      </c>
      <c r="K378" s="20">
        <f ca="1">IFERROR(__xludf.DUMMYFUNCTION("""COMPUTED_VALUE"""),33069)</f>
        <v>33069</v>
      </c>
      <c r="L378" s="20" t="str">
        <f ca="1">IFERROR(__xludf.DUMMYFUNCTION("""COMPUTED_VALUE"""),"Poder Ejecutivo Provincial")</f>
        <v>Poder Ejecutivo Provincial</v>
      </c>
      <c r="M378" s="20" t="str">
        <f ca="1">IFERROR(__xludf.DUMMYFUNCTION("""COMPUTED_VALUE"""),"Ratificando el Decreto N° 321, mediante el cual se aprobó el Convenio Marco de Cooperación y Asistencia Técnica, celebrado entre el Instituto Nacional de Estadística y Censos (INDEC) y la Dirección General de Estadística y Censos de la Provincia, destinad"&amp;"o a dar cumplimiento al “Programa Anual de Estadística 2021”")</f>
        <v>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v>
      </c>
      <c r="N378" s="20" t="str">
        <f ca="1">IFERROR(__xludf.DUMMYFUNCTION("""COMPUTED_VALUE"""),"NO")</f>
        <v>NO</v>
      </c>
      <c r="O378" s="20" t="str">
        <f ca="1">IFERROR(__xludf.DUMMYFUNCTION("""COMPUTED_VALUE"""),"NO")</f>
        <v>NO</v>
      </c>
      <c r="P378" s="20">
        <f ca="1">IFERROR(__xludf.DUMMYFUNCTION("""COMPUTED_VALUE"""),0)</f>
        <v>0</v>
      </c>
      <c r="Q378" s="113" t="str">
        <f ca="1">IFERROR(__xludf.DUMMYFUNCTION("""COMPUTED_VALUE"""),"https://gld.legislaturacba.gob.ar/_cdd/api/Documento/descargar?guid=49a81868-ac49-4f50-bf7e-9e25c37e5438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v>
      </c>
      <c r="R378" s="113" t="str">
        <f ca="1">IFERROR(__xludf.DUMMYFUNCTION("""COMPUTED_VALUE"""),"https://www.youtube.com/watch?v=WNGvZBExs2k")</f>
        <v>https://www.youtube.com/watch?v=WNGvZBExs2k</v>
      </c>
      <c r="S378" s="113" t="str">
        <f ca="1">IFERROR(__xludf.DUMMYFUNCTION("""COMPUTED_VALUE"""),"https://gld.legislaturacba.gob.ar/Publics/Actas.aspx?id=AgInIdvqd3M=;https://gld.legislaturacba.gob.ar/Publics/Actas.aspx?id=dQumU0lhVYs=")</f>
        <v>https://gld.legislaturacba.gob.ar/Publics/Actas.aspx?id=AgInIdvqd3M=;https://gld.legislaturacba.gob.ar/Publics/Actas.aspx?id=dQumU0lhVYs=</v>
      </c>
      <c r="T378" s="99">
        <f t="shared" ca="1" si="0"/>
        <v>0</v>
      </c>
    </row>
    <row r="379" spans="1:20">
      <c r="A379" s="20">
        <f ca="1">IFERROR(__xludf.DUMMYFUNCTION("""COMPUTED_VALUE"""),141)</f>
        <v>141</v>
      </c>
      <c r="B379" s="20">
        <f ca="1">IFERROR(__xludf.DUMMYFUNCTION("""COMPUTED_VALUE"""),2021)</f>
        <v>2021</v>
      </c>
      <c r="C379" s="20" t="str">
        <f ca="1">IFERROR(__xludf.DUMMYFUNCTION("""COMPUTED_VALUE"""),"VIRTUAL")</f>
        <v>VIRTUAL</v>
      </c>
      <c r="D379" s="96">
        <f ca="1">IFERROR(__xludf.DUMMYFUNCTION("""COMPUTED_VALUE"""),44378)</f>
        <v>44378</v>
      </c>
      <c r="E379" s="20" t="str">
        <f ca="1">IFERROR(__xludf.DUMMYFUNCTION("""COMPUTED_VALUE"""),"NO")</f>
        <v>NO</v>
      </c>
      <c r="F379" s="20" t="str">
        <f ca="1">IFERROR(__xludf.DUMMYFUNCTION("""COMPUTED_VALUE"""),"TURISMO Y SU RELACIÓN CON EL DESARROLLO REGIONAL")</f>
        <v>TURISMO Y SU RELACIÓN CON EL DESARROLLO REGIONAL</v>
      </c>
      <c r="G379" s="20">
        <f ca="1">IFERROR(__xludf.DUMMYFUNCTION("""COMPUTED_VALUE"""),1)</f>
        <v>1</v>
      </c>
      <c r="H379" s="20">
        <f ca="1">IFERROR(__xludf.DUMMYFUNCTION("""COMPUTED_VALUE"""),1)</f>
        <v>1</v>
      </c>
      <c r="I379" s="20">
        <f ca="1">IFERROR(__xludf.DUMMYFUNCTION("""COMPUTED_VALUE"""),1)</f>
        <v>1</v>
      </c>
      <c r="J379" s="20" t="str">
        <f ca="1">IFERROR(__xludf.DUMMYFUNCTION("""COMPUTED_VALUE"""),"NA")</f>
        <v>NA</v>
      </c>
      <c r="K379" s="20" t="str">
        <f ca="1">IFERROR(__xludf.DUMMYFUNCTION("""COMPUTED_VALUE"""),"NA")</f>
        <v>NA</v>
      </c>
      <c r="L379" s="20" t="str">
        <f ca="1">IFERROR(__xludf.DUMMYFUNCTION("""COMPUTED_VALUE"""),"NA")</f>
        <v>NA</v>
      </c>
      <c r="M379" s="20" t="str">
        <f ca="1">IFERROR(__xludf.DUMMYFUNCTION("""COMPUTED_VALUE"""),"Tren de las sierras, impacto turistico de su llegada a distintas localidades del Departamento Punilla")</f>
        <v>Tren de las sierras, impacto turistico de su llegada a distintas localidades del Departamento Punilla</v>
      </c>
      <c r="N379" s="20" t="str">
        <f ca="1">IFERROR(__xludf.DUMMYFUNCTION("""COMPUTED_VALUE"""),"NA")</f>
        <v>NA</v>
      </c>
      <c r="O379" s="20" t="str">
        <f ca="1">IFERROR(__xludf.DUMMYFUNCTION("""COMPUTED_VALUE"""),"SI")</f>
        <v>SI</v>
      </c>
      <c r="P379" s="20">
        <f ca="1">IFERROR(__xludf.DUMMYFUNCTION("""COMPUTED_VALUE"""),1)</f>
        <v>1</v>
      </c>
      <c r="Q379" s="113" t="str">
        <f ca="1">IFERROR(__xludf.DUMMYFUNCTION("""COMPUTED_VALUE"""),"https://gld.legislaturacba.gob.ar/_cdd/api/Documento/descargar?guid=f71a369b-4c8f-4195-b457-e0a5cdcca049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v>
      </c>
      <c r="R379" s="113" t="str">
        <f ca="1">IFERROR(__xludf.DUMMYFUNCTION("""COMPUTED_VALUE"""),"https://www.youtube.com/watch?v=Mr6bvaOjNDs")</f>
        <v>https://www.youtube.com/watch?v=Mr6bvaOjNDs</v>
      </c>
      <c r="S379" s="113" t="str">
        <f ca="1">IFERROR(__xludf.DUMMYFUNCTION("""COMPUTED_VALUE"""),"https://gld.legislaturacba.gob.ar/Publics/Actas.aspx?id=uFwO0cOM7W0=")</f>
        <v>https://gld.legislaturacba.gob.ar/Publics/Actas.aspx?id=uFwO0cOM7W0=</v>
      </c>
      <c r="T379" s="99">
        <f t="shared" ca="1" si="0"/>
        <v>0</v>
      </c>
    </row>
    <row r="380" spans="1:20">
      <c r="A380" s="20">
        <f ca="1">IFERROR(__xludf.DUMMYFUNCTION("""COMPUTED_VALUE"""),142)</f>
        <v>142</v>
      </c>
      <c r="B380" s="20">
        <f ca="1">IFERROR(__xludf.DUMMYFUNCTION("""COMPUTED_VALUE"""),2021)</f>
        <v>2021</v>
      </c>
      <c r="C380" s="20" t="str">
        <f ca="1">IFERROR(__xludf.DUMMYFUNCTION("""COMPUTED_VALUE"""),"VIRTUAL")</f>
        <v>VIRTUAL</v>
      </c>
      <c r="D380" s="96">
        <f ca="1">IFERROR(__xludf.DUMMYFUNCTION("""COMPUTED_VALUE"""),44378)</f>
        <v>44378</v>
      </c>
      <c r="E380" s="20" t="str">
        <f ca="1">IFERROR(__xludf.DUMMYFUNCTION("""COMPUTED_VALUE"""),"NO")</f>
        <v>NO</v>
      </c>
      <c r="F380" s="20" t="str">
        <f ca="1">IFERROR(__xludf.DUMMYFUNCTION("""COMPUTED_VALUE"""),"EQUIDAD Y LUCHA CONTRA LA VIOLENCIA DE GÉNERO")</f>
        <v>EQUIDAD Y LUCHA CONTRA LA VIOLENCIA DE GÉNERO</v>
      </c>
      <c r="G380" s="20">
        <f ca="1">IFERROR(__xludf.DUMMYFUNCTION("""COMPUTED_VALUE"""),1)</f>
        <v>1</v>
      </c>
      <c r="H380" s="20">
        <f ca="1">IFERROR(__xludf.DUMMYFUNCTION("""COMPUTED_VALUE"""),2)</f>
        <v>2</v>
      </c>
      <c r="I380" s="20">
        <f ca="1">IFERROR(__xludf.DUMMYFUNCTION("""COMPUTED_VALUE"""),1)</f>
        <v>1</v>
      </c>
      <c r="J380" s="20" t="str">
        <f ca="1">IFERROR(__xludf.DUMMYFUNCTION("""COMPUTED_VALUE"""),"NA")</f>
        <v>NA</v>
      </c>
      <c r="K380" s="20" t="str">
        <f ca="1">IFERROR(__xludf.DUMMYFUNCTION("""COMPUTED_VALUE"""),"NA")</f>
        <v>NA</v>
      </c>
      <c r="L380" s="20" t="str">
        <f ca="1">IFERROR(__xludf.DUMMYFUNCTION("""COMPUTED_VALUE"""),"NA")</f>
        <v>NA</v>
      </c>
      <c r="M380" s="20" t="str">
        <f ca="1">IFERROR(__xludf.DUMMYFUNCTION("""COMPUTED_VALUE"""),"Foro de Emprendedoras Mujeres (FEM) y Programa Protección de la embarazada y su bebe")</f>
        <v>Foro de Emprendedoras Mujeres (FEM) y Programa Protección de la embarazada y su bebe</v>
      </c>
      <c r="N380" s="20" t="str">
        <f ca="1">IFERROR(__xludf.DUMMYFUNCTION("""COMPUTED_VALUE"""),"NA")</f>
        <v>NA</v>
      </c>
      <c r="O380" s="20" t="str">
        <f ca="1">IFERROR(__xludf.DUMMYFUNCTION("""COMPUTED_VALUE"""),"SI")</f>
        <v>SI</v>
      </c>
      <c r="P380" s="20">
        <f ca="1">IFERROR(__xludf.DUMMYFUNCTION("""COMPUTED_VALUE"""),1)</f>
        <v>1</v>
      </c>
      <c r="Q380" s="113" t="str">
        <f ca="1">IFERROR(__xludf.DUMMYFUNCTION("""COMPUTED_VALUE"""),"https://gld.legislaturacba.gob.ar/_cdd/api/Documento/descargar?guid=07f335e3-e3c3-423a-ae28-b2f8c5c13cc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v>
      </c>
      <c r="R380" s="20" t="str">
        <f ca="1">IFERROR(__xludf.DUMMYFUNCTION("""COMPUTED_VALUE"""),"NA")</f>
        <v>NA</v>
      </c>
      <c r="S380" s="113" t="str">
        <f ca="1">IFERROR(__xludf.DUMMYFUNCTION("""COMPUTED_VALUE"""),"https://gld.legislaturacba.gob.ar/Publics/Actas.aspx?id=0eCYYHpJ1XA=")</f>
        <v>https://gld.legislaturacba.gob.ar/Publics/Actas.aspx?id=0eCYYHpJ1XA=</v>
      </c>
      <c r="T380" s="99">
        <f t="shared" ca="1" si="0"/>
        <v>0</v>
      </c>
    </row>
    <row r="381" spans="1:20">
      <c r="A381" s="20">
        <f ca="1">IFERROR(__xludf.DUMMYFUNCTION("""COMPUTED_VALUE"""),143)</f>
        <v>143</v>
      </c>
      <c r="B381" s="20">
        <f ca="1">IFERROR(__xludf.DUMMYFUNCTION("""COMPUTED_VALUE"""),2021)</f>
        <v>2021</v>
      </c>
      <c r="C381" s="20" t="str">
        <f ca="1">IFERROR(__xludf.DUMMYFUNCTION("""COMPUTED_VALUE"""),"VIRTUAL")</f>
        <v>VIRTUAL</v>
      </c>
      <c r="D381" s="96">
        <f ca="1">IFERROR(__xludf.DUMMYFUNCTION("""COMPUTED_VALUE"""),44384)</f>
        <v>44384</v>
      </c>
      <c r="E381" s="20" t="str">
        <f ca="1">IFERROR(__xludf.DUMMYFUNCTION("""COMPUTED_VALUE"""),"SI")</f>
        <v>SI</v>
      </c>
      <c r="F381" s="20" t="str">
        <f ca="1">IFERROR(__xludf.DUMMYFUNCTION("""COMPUTED_VALUE"""),"LEGISLACIÓN DEL TRABAJO, PREVISIÓN Y SEGURIDAD SOCIAL;LEGISLACIÓN GENERAL")</f>
        <v>LEGISLACIÓN DEL TRABAJO, PREVISIÓN Y SEGURIDAD SOCIAL;LEGISLACIÓN GENERAL</v>
      </c>
      <c r="G381" s="20">
        <f ca="1">IFERROR(__xludf.DUMMYFUNCTION("""COMPUTED_VALUE"""),2)</f>
        <v>2</v>
      </c>
      <c r="H381" s="20">
        <f ca="1">IFERROR(__xludf.DUMMYFUNCTION("""COMPUTED_VALUE"""),2)</f>
        <v>2</v>
      </c>
      <c r="I381" s="20">
        <f ca="1">IFERROR(__xludf.DUMMYFUNCTION("""COMPUTED_VALUE"""),1)</f>
        <v>1</v>
      </c>
      <c r="J381" s="20" t="str">
        <f ca="1">IFERROR(__xludf.DUMMYFUNCTION("""COMPUTED_VALUE"""),"Ley")</f>
        <v>Ley</v>
      </c>
      <c r="K381" s="20">
        <f ca="1">IFERROR(__xludf.DUMMYFUNCTION("""COMPUTED_VALUE"""),33156)</f>
        <v>33156</v>
      </c>
      <c r="L381" s="20" t="str">
        <f ca="1">IFERROR(__xludf.DUMMYFUNCTION("""COMPUTED_VALUE"""),"Poder Ejecutivo Provincial")</f>
        <v>Poder Ejecutivo Provincial</v>
      </c>
      <c r="M381" s="20" t="str">
        <f ca="1">IFERROR(__xludf.DUMMYFUNCTION("""COMPUTED_VALUE"""),"Equiparando el régimen laboral, previsional, disciplinario y salarial del personal de los Organismos del Sistema de Control Disciplinario de las Fuerzas de Seguridad Pública y Ciudadana con el que rige para el personal del Poder Judicial")</f>
        <v>Equiparando el régimen laboral, previsional, disciplinario y salarial del personal de los Organismos del Sistema de Control Disciplinario de las Fuerzas de Seguridad Pública y Ciudadana con el que rige para el personal del Poder Judicial</v>
      </c>
      <c r="N381" s="20" t="str">
        <f ca="1">IFERROR(__xludf.DUMMYFUNCTION("""COMPUTED_VALUE"""),"SI")</f>
        <v>SI</v>
      </c>
      <c r="O381" s="20" t="str">
        <f ca="1">IFERROR(__xludf.DUMMYFUNCTION("""COMPUTED_VALUE"""),"NO")</f>
        <v>NO</v>
      </c>
      <c r="P381" s="20">
        <f ca="1">IFERROR(__xludf.DUMMYFUNCTION("""COMPUTED_VALUE"""),0)</f>
        <v>0</v>
      </c>
      <c r="Q381" s="113" t="str">
        <f ca="1">IFERROR(__xludf.DUMMYFUNCTION("""COMPUTED_VALUE"""),"https://gld.legislaturacba.gob.ar/_cdd/api/Documento/descargar?guid=144675d1-e0a3-46b8-8de4-ff2d40c4c6a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v>
      </c>
      <c r="R381" s="113" t="str">
        <f ca="1">IFERROR(__xludf.DUMMYFUNCTION("""COMPUTED_VALUE"""),"https://www.youtube.com/watch?v=-r-iKO6zaSc")</f>
        <v>https://www.youtube.com/watch?v=-r-iKO6zaSc</v>
      </c>
      <c r="S381" s="113" t="str">
        <f ca="1">IFERROR(__xludf.DUMMYFUNCTION("""COMPUTED_VALUE"""),"https://gld.legislaturacba.gob.ar/Publics/Actas.aspx?id=21vQB_UnUHg=;https://gld.legislaturacba.gob.ar/Publics/Actas.aspx?id=6lIWWol7bmI=")</f>
        <v>https://gld.legislaturacba.gob.ar/Publics/Actas.aspx?id=21vQB_UnUHg=;https://gld.legislaturacba.gob.ar/Publics/Actas.aspx?id=6lIWWol7bmI=</v>
      </c>
      <c r="T381" s="99">
        <f t="shared" ca="1" si="0"/>
        <v>0</v>
      </c>
    </row>
    <row r="382" spans="1:20">
      <c r="A382" s="20">
        <f ca="1">IFERROR(__xludf.DUMMYFUNCTION("""COMPUTED_VALUE"""),144)</f>
        <v>144</v>
      </c>
      <c r="B382" s="20">
        <f ca="1">IFERROR(__xludf.DUMMYFUNCTION("""COMPUTED_VALUE"""),2021)</f>
        <v>2021</v>
      </c>
      <c r="C382" s="20" t="str">
        <f ca="1">IFERROR(__xludf.DUMMYFUNCTION("""COMPUTED_VALUE"""),"VIRTUAL")</f>
        <v>VIRTUAL</v>
      </c>
      <c r="D382" s="96">
        <f ca="1">IFERROR(__xludf.DUMMYFUNCTION("""COMPUTED_VALUE"""),44404)</f>
        <v>44404</v>
      </c>
      <c r="E382" s="20" t="str">
        <f ca="1">IFERROR(__xludf.DUMMYFUNCTION("""COMPUTED_VALUE"""),"SI")</f>
        <v>SI</v>
      </c>
      <c r="F382" s="20" t="str">
        <f ca="1">IFERROR(__xludf.DUMMYFUNCTION("""COMPUTED_VALUE"""),"ECONOMÍA, PRESUPUESTO, GESTIÓN PÚBLICA E INNOVACIÓN;LEGISLACIÓN GENERAL")</f>
        <v>ECONOMÍA, PRESUPUESTO, GESTIÓN PÚBLICA E INNOVACIÓN;LEGISLACIÓN GENERAL</v>
      </c>
      <c r="G382" s="20">
        <f ca="1">IFERROR(__xludf.DUMMYFUNCTION("""COMPUTED_VALUE"""),2)</f>
        <v>2</v>
      </c>
      <c r="H382" s="20">
        <f ca="1">IFERROR(__xludf.DUMMYFUNCTION("""COMPUTED_VALUE"""),1)</f>
        <v>1</v>
      </c>
      <c r="I382" s="20">
        <f ca="1">IFERROR(__xludf.DUMMYFUNCTION("""COMPUTED_VALUE"""),1)</f>
        <v>1</v>
      </c>
      <c r="J382" s="20" t="str">
        <f ca="1">IFERROR(__xludf.DUMMYFUNCTION("""COMPUTED_VALUE"""),"Ley")</f>
        <v>Ley</v>
      </c>
      <c r="K382" s="20">
        <f ca="1">IFERROR(__xludf.DUMMYFUNCTION("""COMPUTED_VALUE"""),33069)</f>
        <v>33069</v>
      </c>
      <c r="L382" s="20" t="str">
        <f ca="1">IFERROR(__xludf.DUMMYFUNCTION("""COMPUTED_VALUE"""),"Poder Ejecutivo Provincial")</f>
        <v>Poder Ejecutivo Provincial</v>
      </c>
      <c r="M382" s="20" t="str">
        <f ca="1">IFERROR(__xludf.DUMMYFUNCTION("""COMPUTED_VALUE"""),"Ratificando el Decreto N° 321, mediante el cual se aprobó el Convenio Marco de Cooperación y Asistencia Técnica, celebrado entre el Instituto Nacional de Estadística y Censos (INDEC) y la Dirección General de Estadística y Censos de la Provincia, destinad"&amp;"o a dar cumplimiento al “Programa Anual de Estadística 2021”")</f>
        <v>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v>
      </c>
      <c r="N382" s="20" t="str">
        <f ca="1">IFERROR(__xludf.DUMMYFUNCTION("""COMPUTED_VALUE"""),"SI")</f>
        <v>SI</v>
      </c>
      <c r="O382" s="20" t="str">
        <f ca="1">IFERROR(__xludf.DUMMYFUNCTION("""COMPUTED_VALUE"""),"NO")</f>
        <v>NO</v>
      </c>
      <c r="P382" s="20">
        <f ca="1">IFERROR(__xludf.DUMMYFUNCTION("""COMPUTED_VALUE"""),0)</f>
        <v>0</v>
      </c>
      <c r="Q382" s="113" t="str">
        <f ca="1">IFERROR(__xludf.DUMMYFUNCTION("""COMPUTED_VALUE"""),"https://gld.legislaturacba.gob.ar/_cdd/api/Documento/descargar?guid=21d97ffe-a5dc-42fe-9eb3-03dd9410f111&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v>
      </c>
      <c r="R382" s="113" t="str">
        <f ca="1">IFERROR(__xludf.DUMMYFUNCTION("""COMPUTED_VALUE"""),"https://www.youtube.com/watch?v=JrVTLPfTEaY")</f>
        <v>https://www.youtube.com/watch?v=JrVTLPfTEaY</v>
      </c>
      <c r="S382" s="113" t="str">
        <f ca="1">IFERROR(__xludf.DUMMYFUNCTION("""COMPUTED_VALUE"""),"https://gld.legislaturacba.gob.ar/Publics/Actas.aspx?id=7rNl_5RuuaM=;https://gld.legislaturacba.gob.ar/Publics/Actas.aspx?id=9j5-xe7o5oo=")</f>
        <v>https://gld.legislaturacba.gob.ar/Publics/Actas.aspx?id=7rNl_5RuuaM=;https://gld.legislaturacba.gob.ar/Publics/Actas.aspx?id=9j5-xe7o5oo=</v>
      </c>
      <c r="T382" s="99">
        <f t="shared" ca="1" si="0"/>
        <v>0</v>
      </c>
    </row>
    <row r="383" spans="1:20">
      <c r="A383" s="20">
        <f ca="1">IFERROR(__xludf.DUMMYFUNCTION("""COMPUTED_VALUE"""),145)</f>
        <v>145</v>
      </c>
      <c r="B383" s="20">
        <f ca="1">IFERROR(__xludf.DUMMYFUNCTION("""COMPUTED_VALUE"""),2021)</f>
        <v>2021</v>
      </c>
      <c r="C383" s="20" t="str">
        <f ca="1">IFERROR(__xludf.DUMMYFUNCTION("""COMPUTED_VALUE"""),"VIRTUAL")</f>
        <v>VIRTUAL</v>
      </c>
      <c r="D383" s="96">
        <f ca="1">IFERROR(__xludf.DUMMYFUNCTION("""COMPUTED_VALUE"""),44404)</f>
        <v>44404</v>
      </c>
      <c r="E383" s="20" t="str">
        <f ca="1">IFERROR(__xludf.DUMMYFUNCTION("""COMPUTED_VALUE"""),"NO")</f>
        <v>NO</v>
      </c>
      <c r="F383" s="20" t="str">
        <f ca="1">IFERROR(__xludf.DUMMYFUNCTION("""COMPUTED_VALUE"""),"AGRICULTURA, GANADERÍA Y RECURSOS RENOVABLES")</f>
        <v>AGRICULTURA, GANADERÍA Y RECURSOS RENOVABLES</v>
      </c>
      <c r="G383" s="20">
        <f ca="1">IFERROR(__xludf.DUMMYFUNCTION("""COMPUTED_VALUE"""),1)</f>
        <v>1</v>
      </c>
      <c r="H383" s="20">
        <f ca="1">IFERROR(__xludf.DUMMYFUNCTION("""COMPUTED_VALUE"""),1)</f>
        <v>1</v>
      </c>
      <c r="I383" s="20">
        <f ca="1">IFERROR(__xludf.DUMMYFUNCTION("""COMPUTED_VALUE"""),1)</f>
        <v>1</v>
      </c>
      <c r="J383" s="20" t="str">
        <f ca="1">IFERROR(__xludf.DUMMYFUNCTION("""COMPUTED_VALUE"""),"NA")</f>
        <v>NA</v>
      </c>
      <c r="K383" s="20" t="str">
        <f ca="1">IFERROR(__xludf.DUMMYFUNCTION("""COMPUTED_VALUE"""),"NA")</f>
        <v>NA</v>
      </c>
      <c r="L383" s="20" t="str">
        <f ca="1">IFERROR(__xludf.DUMMYFUNCTION("""COMPUTED_VALUE"""),"NA")</f>
        <v>NA</v>
      </c>
      <c r="M383" s="20" t="str">
        <f ca="1">IFERROR(__xludf.DUMMYFUNCTION("""COMPUTED_VALUE"""),"Eleccion del nuevo Presidente de la Comisión")</f>
        <v>Eleccion del nuevo Presidente de la Comisión</v>
      </c>
      <c r="N383" s="20" t="str">
        <f ca="1">IFERROR(__xludf.DUMMYFUNCTION("""COMPUTED_VALUE"""),"NA")</f>
        <v>NA</v>
      </c>
      <c r="O383" s="20" t="str">
        <f ca="1">IFERROR(__xludf.DUMMYFUNCTION("""COMPUTED_VALUE"""),"NO")</f>
        <v>NO</v>
      </c>
      <c r="P383" s="20">
        <f ca="1">IFERROR(__xludf.DUMMYFUNCTION("""COMPUTED_VALUE"""),0)</f>
        <v>0</v>
      </c>
      <c r="Q383" s="113" t="str">
        <f ca="1">IFERROR(__xludf.DUMMYFUNCTION("""COMPUTED_VALUE"""),"https://gld.legislaturacba.gob.ar/_cdd/api/Documento/descargar?guid=15ab56a3-e226-4b3a-82f7-95ed7355c72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v>
      </c>
      <c r="R383" s="113" t="str">
        <f ca="1">IFERROR(__xludf.DUMMYFUNCTION("""COMPUTED_VALUE"""),"https://www.youtube.com/watch?v=wY-HU0qPjdQ")</f>
        <v>https://www.youtube.com/watch?v=wY-HU0qPjdQ</v>
      </c>
      <c r="S383" s="113" t="str">
        <f ca="1">IFERROR(__xludf.DUMMYFUNCTION("""COMPUTED_VALUE"""),"https://gld.legislaturacba.gob.ar/Publics/Actas.aspx?id=euhz-4Pwjs4=")</f>
        <v>https://gld.legislaturacba.gob.ar/Publics/Actas.aspx?id=euhz-4Pwjs4=</v>
      </c>
      <c r="T383" s="99">
        <f t="shared" ca="1" si="0"/>
        <v>0</v>
      </c>
    </row>
    <row r="384" spans="1:20">
      <c r="A384" s="20">
        <f ca="1">IFERROR(__xludf.DUMMYFUNCTION("""COMPUTED_VALUE"""),146)</f>
        <v>146</v>
      </c>
      <c r="B384" s="20">
        <f ca="1">IFERROR(__xludf.DUMMYFUNCTION("""COMPUTED_VALUE"""),2021)</f>
        <v>2021</v>
      </c>
      <c r="C384" s="20" t="str">
        <f ca="1">IFERROR(__xludf.DUMMYFUNCTION("""COMPUTED_VALUE"""),"VIRTUAL")</f>
        <v>VIRTUAL</v>
      </c>
      <c r="D384" s="96">
        <f ca="1">IFERROR(__xludf.DUMMYFUNCTION("""COMPUTED_VALUE"""),44406)</f>
        <v>44406</v>
      </c>
      <c r="E384" s="20" t="str">
        <f ca="1">IFERROR(__xludf.DUMMYFUNCTION("""COMPUTED_VALUE"""),"NO")</f>
        <v>NO</v>
      </c>
      <c r="F384" s="20" t="str">
        <f ca="1">IFERROR(__xludf.DUMMYFUNCTION("""COMPUTED_VALUE"""),"ASUNTOS INSTITUCIONALES, MUNICIPALES Y COMUNALES")</f>
        <v>ASUNTOS INSTITUCIONALES, MUNICIPALES Y COMUNALES</v>
      </c>
      <c r="G384" s="20">
        <f ca="1">IFERROR(__xludf.DUMMYFUNCTION("""COMPUTED_VALUE"""),1)</f>
        <v>1</v>
      </c>
      <c r="H384" s="20">
        <f ca="1">IFERROR(__xludf.DUMMYFUNCTION("""COMPUTED_VALUE"""),2)</f>
        <v>2</v>
      </c>
      <c r="I384" s="20">
        <f ca="1">IFERROR(__xludf.DUMMYFUNCTION("""COMPUTED_VALUE"""),1)</f>
        <v>1</v>
      </c>
      <c r="J384" s="20" t="str">
        <f ca="1">IFERROR(__xludf.DUMMYFUNCTION("""COMPUTED_VALUE"""),"Ley")</f>
        <v>Ley</v>
      </c>
      <c r="K384" s="20">
        <f ca="1">IFERROR(__xludf.DUMMYFUNCTION("""COMPUTED_VALUE"""),33124)</f>
        <v>33124</v>
      </c>
      <c r="L384" s="20" t="str">
        <f ca="1">IFERROR(__xludf.DUMMYFUNCTION("""COMPUTED_VALUE"""),"Poder Ejecutivo Provincial")</f>
        <v>Poder Ejecutivo Provincial</v>
      </c>
      <c r="M384" s="20" t="str">
        <f ca="1">IFERROR(__xludf.DUMMYFUNCTION("""COMPUTED_VALUE"""),"Modificando el radio comunal de la localidad de Rio Bamba, Departamento Pte. Roque Sáenz Peña")</f>
        <v>Modificando el radio comunal de la localidad de Rio Bamba, Departamento Pte. Roque Sáenz Peña</v>
      </c>
      <c r="N384" s="20" t="str">
        <f ca="1">IFERROR(__xludf.DUMMYFUNCTION("""COMPUTED_VALUE"""),"SI")</f>
        <v>SI</v>
      </c>
      <c r="O384" s="20" t="str">
        <f ca="1">IFERROR(__xludf.DUMMYFUNCTION("""COMPUTED_VALUE"""),"NO")</f>
        <v>NO</v>
      </c>
      <c r="P384" s="20">
        <f ca="1">IFERROR(__xludf.DUMMYFUNCTION("""COMPUTED_VALUE"""),0)</f>
        <v>0</v>
      </c>
      <c r="Q384" s="113" t="str">
        <f ca="1">IFERROR(__xludf.DUMMYFUNCTION("""COMPUTED_VALUE"""),"https://gld.legislaturacba.gob.ar/_cdd/api/Documento/descargar?guid=6ce2f935-9287-4728-9c5c-45defc4b66d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v>
      </c>
      <c r="R384" s="113" t="str">
        <f ca="1">IFERROR(__xludf.DUMMYFUNCTION("""COMPUTED_VALUE"""),"https://www.youtube.com/watch?v=s5BY3eVemR0")</f>
        <v>https://www.youtube.com/watch?v=s5BY3eVemR0</v>
      </c>
      <c r="S384" s="113" t="str">
        <f ca="1">IFERROR(__xludf.DUMMYFUNCTION("""COMPUTED_VALUE"""),"https://gld.legislaturacba.gob.ar/Publics/Actas.aspx?id=gCbCya6ccP8=")</f>
        <v>https://gld.legislaturacba.gob.ar/Publics/Actas.aspx?id=gCbCya6ccP8=</v>
      </c>
      <c r="T384" s="99">
        <f t="shared" ca="1" si="0"/>
        <v>0</v>
      </c>
    </row>
    <row r="385" spans="1:20">
      <c r="A385" s="20">
        <f ca="1">IFERROR(__xludf.DUMMYFUNCTION("""COMPUTED_VALUE"""),147)</f>
        <v>147</v>
      </c>
      <c r="B385" s="20">
        <f ca="1">IFERROR(__xludf.DUMMYFUNCTION("""COMPUTED_VALUE"""),2021)</f>
        <v>2021</v>
      </c>
      <c r="C385" s="20" t="str">
        <f ca="1">IFERROR(__xludf.DUMMYFUNCTION("""COMPUTED_VALUE"""),"VIRTUAL")</f>
        <v>VIRTUAL</v>
      </c>
      <c r="D385" s="96">
        <f ca="1">IFERROR(__xludf.DUMMYFUNCTION("""COMPUTED_VALUE"""),44406)</f>
        <v>44406</v>
      </c>
      <c r="E385" s="20" t="str">
        <f ca="1">IFERROR(__xludf.DUMMYFUNCTION("""COMPUTED_VALUE"""),"NO")</f>
        <v>NO</v>
      </c>
      <c r="F385" s="20" t="str">
        <f ca="1">IFERROR(__xludf.DUMMYFUNCTION("""COMPUTED_VALUE"""),"ECONOMÍA SOCIAL, COOPERATIVAS Y MUTUALES")</f>
        <v>ECONOMÍA SOCIAL, COOPERATIVAS Y MUTUALES</v>
      </c>
      <c r="G385" s="20">
        <f ca="1">IFERROR(__xludf.DUMMYFUNCTION("""COMPUTED_VALUE"""),1)</f>
        <v>1</v>
      </c>
      <c r="H385" s="20">
        <f ca="1">IFERROR(__xludf.DUMMYFUNCTION("""COMPUTED_VALUE"""),1)</f>
        <v>1</v>
      </c>
      <c r="I385" s="20">
        <f ca="1">IFERROR(__xludf.DUMMYFUNCTION("""COMPUTED_VALUE"""),1)</f>
        <v>1</v>
      </c>
      <c r="J385" s="20" t="str">
        <f ca="1">IFERROR(__xludf.DUMMYFUNCTION("""COMPUTED_VALUE"""),"NA")</f>
        <v>NA</v>
      </c>
      <c r="K385" s="20" t="str">
        <f ca="1">IFERROR(__xludf.DUMMYFUNCTION("""COMPUTED_VALUE"""),"NA")</f>
        <v>NA</v>
      </c>
      <c r="L385" s="20" t="str">
        <f ca="1">IFERROR(__xludf.DUMMYFUNCTION("""COMPUTED_VALUE"""),"NA")</f>
        <v>NA</v>
      </c>
      <c r="M385" s="20" t="str">
        <f ca="1">IFERROR(__xludf.DUMMYFUNCTION("""COMPUTED_VALUE"""),"Visión general del Cooperativismo Internacional en estos momentos de crisis mundial, para afrontar estos desafios desde la economía social y solidaria")</f>
        <v>Visión general del Cooperativismo Internacional en estos momentos de crisis mundial, para afrontar estos desafios desde la economía social y solidaria</v>
      </c>
      <c r="N385" s="20" t="str">
        <f ca="1">IFERROR(__xludf.DUMMYFUNCTION("""COMPUTED_VALUE"""),"NA")</f>
        <v>NA</v>
      </c>
      <c r="O385" s="20" t="str">
        <f ca="1">IFERROR(__xludf.DUMMYFUNCTION("""COMPUTED_VALUE"""),"SI")</f>
        <v>SI</v>
      </c>
      <c r="P385" s="20">
        <f ca="1">IFERROR(__xludf.DUMMYFUNCTION("""COMPUTED_VALUE"""),1)</f>
        <v>1</v>
      </c>
      <c r="Q385" s="20" t="str">
        <f ca="1">IFERROR(__xludf.DUMMYFUNCTION("""COMPUTED_VALUE"""),"NA")</f>
        <v>NA</v>
      </c>
      <c r="R385" s="113" t="str">
        <f ca="1">IFERROR(__xludf.DUMMYFUNCTION("""COMPUTED_VALUE"""),"https://www.youtube.com/watch?v=gUh1hjf8RO4")</f>
        <v>https://www.youtube.com/watch?v=gUh1hjf8RO4</v>
      </c>
      <c r="S385" s="113" t="str">
        <f ca="1">IFERROR(__xludf.DUMMYFUNCTION("""COMPUTED_VALUE"""),"https://gld.legislaturacba.gob.ar/Publics/Actas.aspx?id=StUPC8B_VLQ=")</f>
        <v>https://gld.legislaturacba.gob.ar/Publics/Actas.aspx?id=StUPC8B_VLQ=</v>
      </c>
      <c r="T385" s="99">
        <f t="shared" ca="1" si="0"/>
        <v>0</v>
      </c>
    </row>
    <row r="386" spans="1:20">
      <c r="A386" s="20">
        <f ca="1">IFERROR(__xludf.DUMMYFUNCTION("""COMPUTED_VALUE"""),148)</f>
        <v>148</v>
      </c>
      <c r="B386" s="20">
        <f ca="1">IFERROR(__xludf.DUMMYFUNCTION("""COMPUTED_VALUE"""),2021)</f>
        <v>2021</v>
      </c>
      <c r="C386" s="20" t="str">
        <f ca="1">IFERROR(__xludf.DUMMYFUNCTION("""COMPUTED_VALUE"""),"VIRTUAL")</f>
        <v>VIRTUAL</v>
      </c>
      <c r="D386" s="96">
        <f ca="1">IFERROR(__xludf.DUMMYFUNCTION("""COMPUTED_VALUE"""),44406)</f>
        <v>44406</v>
      </c>
      <c r="E386" s="20" t="str">
        <f ca="1">IFERROR(__xludf.DUMMYFUNCTION("""COMPUTED_VALUE"""),"NO")</f>
        <v>NO</v>
      </c>
      <c r="F386" s="20" t="str">
        <f ca="1">IFERROR(__xludf.DUMMYFUNCTION("""COMPUTED_VALUE"""),"ASUNTOS CONSTITUCIONALES, JUSTICIA Y ACUERDOS")</f>
        <v>ASUNTOS CONSTITUCIONALES, JUSTICIA Y ACUERDOS</v>
      </c>
      <c r="G386" s="20">
        <f ca="1">IFERROR(__xludf.DUMMYFUNCTION("""COMPUTED_VALUE"""),1)</f>
        <v>1</v>
      </c>
      <c r="H386" s="20">
        <f ca="1">IFERROR(__xludf.DUMMYFUNCTION("""COMPUTED_VALUE"""),4)</f>
        <v>4</v>
      </c>
      <c r="I386" s="20">
        <f ca="1">IFERROR(__xludf.DUMMYFUNCTION("""COMPUTED_VALUE"""),1)</f>
        <v>1</v>
      </c>
      <c r="J386" s="20" t="str">
        <f ca="1">IFERROR(__xludf.DUMMYFUNCTION("""COMPUTED_VALUE"""),"Pliego")</f>
        <v>Pliego</v>
      </c>
      <c r="K386" s="20">
        <f ca="1">IFERROR(__xludf.DUMMYFUNCTION("""COMPUTED_VALUE"""),33063)</f>
        <v>33063</v>
      </c>
      <c r="L386" s="20" t="str">
        <f ca="1">IFERROR(__xludf.DUMMYFUNCTION("""COMPUTED_VALUE"""),"Poder Ejecutivo Provincial")</f>
        <v>Poder Ejecutivo Provincial</v>
      </c>
      <c r="M386" s="20" t="str">
        <f ca="1">IFERROR(__xludf.DUMMYFUNCTION("""COMPUTED_VALUE"""),"Solicitando acuerdo para designar al abogado Juan Carlos Rodríguez, Asesor Letrado ""reemplazante"" en la Asesoría Letrada Penal de Séptimo Turno de la Primera Circunscripción Judicial con asiento en la ciudad de Córdoba")</f>
        <v>Solicitando acuerdo para designar al abogado Juan Carlos Rodríguez, Asesor Letrado "reemplazante" en la Asesoría Letrada Penal de Séptimo Turno de la Primera Circunscripción Judicial con asiento en la ciudad de Córdoba</v>
      </c>
      <c r="N386" s="20" t="str">
        <f ca="1">IFERROR(__xludf.DUMMYFUNCTION("""COMPUTED_VALUE"""),"SI")</f>
        <v>SI</v>
      </c>
      <c r="O386" s="20" t="str">
        <f ca="1">IFERROR(__xludf.DUMMYFUNCTION("""COMPUTED_VALUE"""),"NO")</f>
        <v>NO</v>
      </c>
      <c r="P386" s="20">
        <f ca="1">IFERROR(__xludf.DUMMYFUNCTION("""COMPUTED_VALUE"""),0)</f>
        <v>0</v>
      </c>
      <c r="Q386" s="113" t="str">
        <f ca="1">IFERROR(__xludf.DUMMYFUNCTION("""COMPUTED_VALUE"""),"https://gld.legislaturacba.gob.ar/_cdd/api/Documento/descargar?guid=1edb6278-4bad-46c9-a3e2-e78c08c192e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v>
      </c>
      <c r="R386" s="20" t="str">
        <f ca="1">IFERROR(__xludf.DUMMYFUNCTION("""COMPUTED_VALUE"""),"NA")</f>
        <v>NA</v>
      </c>
      <c r="S386" s="113" t="str">
        <f ca="1">IFERROR(__xludf.DUMMYFUNCTION("""COMPUTED_VALUE"""),"https://gld.legislaturacba.gob.ar/Publics/Actas.aspx?id=buc2ApEqGWs=")</f>
        <v>https://gld.legislaturacba.gob.ar/Publics/Actas.aspx?id=buc2ApEqGWs=</v>
      </c>
      <c r="T386" s="99">
        <f t="shared" ca="1" si="0"/>
        <v>0</v>
      </c>
    </row>
    <row r="387" spans="1:20">
      <c r="A387" s="20">
        <f ca="1">IFERROR(__xludf.DUMMYFUNCTION("""COMPUTED_VALUE"""),149)</f>
        <v>149</v>
      </c>
      <c r="B387" s="20">
        <f ca="1">IFERROR(__xludf.DUMMYFUNCTION("""COMPUTED_VALUE"""),2021)</f>
        <v>2021</v>
      </c>
      <c r="C387" s="20" t="str">
        <f ca="1">IFERROR(__xludf.DUMMYFUNCTION("""COMPUTED_VALUE"""),"VIRTUAL")</f>
        <v>VIRTUAL</v>
      </c>
      <c r="D387" s="96">
        <f ca="1">IFERROR(__xludf.DUMMYFUNCTION("""COMPUTED_VALUE"""),44411)</f>
        <v>44411</v>
      </c>
      <c r="E387" s="20" t="str">
        <f ca="1">IFERROR(__xludf.DUMMYFUNCTION("""COMPUTED_VALUE"""),"NO")</f>
        <v>NO</v>
      </c>
      <c r="F387" s="20" t="str">
        <f ca="1">IFERROR(__xludf.DUMMYFUNCTION("""COMPUTED_VALUE"""),"LEGISLACIÓN GENERAL")</f>
        <v>LEGISLACIÓN GENERAL</v>
      </c>
      <c r="G387" s="20">
        <f ca="1">IFERROR(__xludf.DUMMYFUNCTION("""COMPUTED_VALUE"""),1)</f>
        <v>1</v>
      </c>
      <c r="H387" s="20">
        <f ca="1">IFERROR(__xludf.DUMMYFUNCTION("""COMPUTED_VALUE"""),2)</f>
        <v>2</v>
      </c>
      <c r="I387" s="20">
        <f ca="1">IFERROR(__xludf.DUMMYFUNCTION("""COMPUTED_VALUE"""),1)</f>
        <v>1</v>
      </c>
      <c r="J387" s="20" t="str">
        <f ca="1">IFERROR(__xludf.DUMMYFUNCTION("""COMPUTED_VALUE"""),"Ley")</f>
        <v>Ley</v>
      </c>
      <c r="K387" s="20">
        <f ca="1">IFERROR(__xludf.DUMMYFUNCTION("""COMPUTED_VALUE"""),33124)</f>
        <v>33124</v>
      </c>
      <c r="L387" s="20" t="str">
        <f ca="1">IFERROR(__xludf.DUMMYFUNCTION("""COMPUTED_VALUE"""),"Poder Ejecutivo Provincial")</f>
        <v>Poder Ejecutivo Provincial</v>
      </c>
      <c r="M387" s="20" t="str">
        <f ca="1">IFERROR(__xludf.DUMMYFUNCTION("""COMPUTED_VALUE"""),"Modificando el radio comunal de la localidad de Rio Bamba, Departamento Pte. Roque Sáenz Peña")</f>
        <v>Modificando el radio comunal de la localidad de Rio Bamba, Departamento Pte. Roque Sáenz Peña</v>
      </c>
      <c r="N387" s="20" t="str">
        <f ca="1">IFERROR(__xludf.DUMMYFUNCTION("""COMPUTED_VALUE"""),"NO")</f>
        <v>NO</v>
      </c>
      <c r="O387" s="20" t="str">
        <f ca="1">IFERROR(__xludf.DUMMYFUNCTION("""COMPUTED_VALUE"""),"NO")</f>
        <v>NO</v>
      </c>
      <c r="P387" s="20">
        <f ca="1">IFERROR(__xludf.DUMMYFUNCTION("""COMPUTED_VALUE"""),0)</f>
        <v>0</v>
      </c>
      <c r="Q387" s="113" t="str">
        <f ca="1">IFERROR(__xludf.DUMMYFUNCTION("""COMPUTED_VALUE"""),"https://gld.legislaturacba.gob.ar/_cdd/api/Documento/descargar?guid=c80cb978-ced2-4ba7-91de-c3d52601329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v>
      </c>
      <c r="R387" s="113" t="str">
        <f ca="1">IFERROR(__xludf.DUMMYFUNCTION("""COMPUTED_VALUE"""),"https://www.youtube.com/watch?v=5H8xfj7fwgA")</f>
        <v>https://www.youtube.com/watch?v=5H8xfj7fwgA</v>
      </c>
      <c r="S387" s="113" t="str">
        <f ca="1">IFERROR(__xludf.DUMMYFUNCTION("""COMPUTED_VALUE"""),"https://gld.legislaturacba.gob.ar/Publics/Actas.aspx?id=YZ78eDheKso=")</f>
        <v>https://gld.legislaturacba.gob.ar/Publics/Actas.aspx?id=YZ78eDheKso=</v>
      </c>
      <c r="T387" s="99">
        <f t="shared" ca="1" si="0"/>
        <v>0</v>
      </c>
    </row>
    <row r="388" spans="1:20">
      <c r="A388" s="20">
        <f ca="1">IFERROR(__xludf.DUMMYFUNCTION("""COMPUTED_VALUE"""),150)</f>
        <v>150</v>
      </c>
      <c r="B388" s="20">
        <f ca="1">IFERROR(__xludf.DUMMYFUNCTION("""COMPUTED_VALUE"""),2021)</f>
        <v>2021</v>
      </c>
      <c r="C388" s="20" t="str">
        <f ca="1">IFERROR(__xludf.DUMMYFUNCTION("""COMPUTED_VALUE"""),"VIRTUAL")</f>
        <v>VIRTUAL</v>
      </c>
      <c r="D388" s="96">
        <f ca="1">IFERROR(__xludf.DUMMYFUNCTION("""COMPUTED_VALUE"""),44411)</f>
        <v>44411</v>
      </c>
      <c r="E388" s="20" t="str">
        <f ca="1">IFERROR(__xludf.DUMMYFUNCTION("""COMPUTED_VALUE"""),"NO")</f>
        <v>NO</v>
      </c>
      <c r="F388" s="20" t="str">
        <f ca="1">IFERROR(__xludf.DUMMYFUNCTION("""COMPUTED_VALUE"""),"PREVENCIÓN, TRATAMIENTO Y CONTROL DE LAS ADICCIONES")</f>
        <v>PREVENCIÓN, TRATAMIENTO Y CONTROL DE LAS ADICCIONES</v>
      </c>
      <c r="G388" s="20">
        <f ca="1">IFERROR(__xludf.DUMMYFUNCTION("""COMPUTED_VALUE"""),1)</f>
        <v>1</v>
      </c>
      <c r="H388" s="20">
        <f ca="1">IFERROR(__xludf.DUMMYFUNCTION("""COMPUTED_VALUE"""),1)</f>
        <v>1</v>
      </c>
      <c r="I388" s="20">
        <f ca="1">IFERROR(__xludf.DUMMYFUNCTION("""COMPUTED_VALUE"""),1)</f>
        <v>1</v>
      </c>
      <c r="J388" s="20" t="str">
        <f ca="1">IFERROR(__xludf.DUMMYFUNCTION("""COMPUTED_VALUE"""),"NA")</f>
        <v>NA</v>
      </c>
      <c r="K388" s="20" t="str">
        <f ca="1">IFERROR(__xludf.DUMMYFUNCTION("""COMPUTED_VALUE"""),"NA")</f>
        <v>NA</v>
      </c>
      <c r="L388" s="20" t="str">
        <f ca="1">IFERROR(__xludf.DUMMYFUNCTION("""COMPUTED_VALUE"""),"NA")</f>
        <v>NA</v>
      </c>
      <c r="M388" s="20" t="str">
        <f ca="1">IFERROR(__xludf.DUMMYFUNCTION("""COMPUTED_VALUE"""),"Salud Pública e industria de la marihuana: conocer para informar, temario propuesto por la Fundación ProSalud")</f>
        <v>Salud Pública e industria de la marihuana: conocer para informar, temario propuesto por la Fundación ProSalud</v>
      </c>
      <c r="N388" s="20" t="str">
        <f ca="1">IFERROR(__xludf.DUMMYFUNCTION("""COMPUTED_VALUE"""),"NA")</f>
        <v>NA</v>
      </c>
      <c r="O388" s="20" t="str">
        <f ca="1">IFERROR(__xludf.DUMMYFUNCTION("""COMPUTED_VALUE"""),"SI")</f>
        <v>SI</v>
      </c>
      <c r="P388" s="20">
        <f ca="1">IFERROR(__xludf.DUMMYFUNCTION("""COMPUTED_VALUE"""),4)</f>
        <v>4</v>
      </c>
      <c r="Q388" s="113" t="str">
        <f ca="1">IFERROR(__xludf.DUMMYFUNCTION("""COMPUTED_VALUE"""),"https://gld.legislaturacba.gob.ar/_cdd/api/Documento/descargar?guid=82560c1d-ea1c-4985-b1a3-794e648122d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v>
      </c>
      <c r="R388" s="113" t="str">
        <f ca="1">IFERROR(__xludf.DUMMYFUNCTION("""COMPUTED_VALUE"""),"https://www.youtube.com/watch?v=jEhxL5lNbik")</f>
        <v>https://www.youtube.com/watch?v=jEhxL5lNbik</v>
      </c>
      <c r="S388" s="113" t="str">
        <f ca="1">IFERROR(__xludf.DUMMYFUNCTION("""COMPUTED_VALUE"""),"https://gld.legislaturacba.gob.ar/Publics/Actas.aspx?id=gIqLVo_9FM0=")</f>
        <v>https://gld.legislaturacba.gob.ar/Publics/Actas.aspx?id=gIqLVo_9FM0=</v>
      </c>
      <c r="T388" s="99">
        <f t="shared" ca="1" si="0"/>
        <v>0</v>
      </c>
    </row>
    <row r="389" spans="1:20">
      <c r="A389" s="20">
        <f ca="1">IFERROR(__xludf.DUMMYFUNCTION("""COMPUTED_VALUE"""),151)</f>
        <v>151</v>
      </c>
      <c r="B389" s="20">
        <f ca="1">IFERROR(__xludf.DUMMYFUNCTION("""COMPUTED_VALUE"""),2021)</f>
        <v>2021</v>
      </c>
      <c r="C389" s="20" t="str">
        <f ca="1">IFERROR(__xludf.DUMMYFUNCTION("""COMPUTED_VALUE"""),"VIRTUAL")</f>
        <v>VIRTUAL</v>
      </c>
      <c r="D389" s="96">
        <f ca="1">IFERROR(__xludf.DUMMYFUNCTION("""COMPUTED_VALUE"""),44411)</f>
        <v>44411</v>
      </c>
      <c r="E389" s="20" t="str">
        <f ca="1">IFERROR(__xludf.DUMMYFUNCTION("""COMPUTED_VALUE"""),"SI")</f>
        <v>SI</v>
      </c>
      <c r="F389" s="20" t="str">
        <f ca="1">IFERROR(__xludf.DUMMYFUNCTION("""COMPUTED_VALUE"""),"ECONOMÍA, PRESUPUESTO, GESTIÓN PÚBLICA E INNOVACIÓN;SERVICIOS PÚBLICOS")</f>
        <v>ECONOMÍA, PRESUPUESTO, GESTIÓN PÚBLICA E INNOVACIÓN;SERVICIOS PÚBLICOS</v>
      </c>
      <c r="G389" s="20">
        <f ca="1">IFERROR(__xludf.DUMMYFUNCTION("""COMPUTED_VALUE"""),2)</f>
        <v>2</v>
      </c>
      <c r="H389" s="20">
        <f ca="1">IFERROR(__xludf.DUMMYFUNCTION("""COMPUTED_VALUE"""),1)</f>
        <v>1</v>
      </c>
      <c r="I389" s="20">
        <f ca="1">IFERROR(__xludf.DUMMYFUNCTION("""COMPUTED_VALUE"""),1)</f>
        <v>1</v>
      </c>
      <c r="J389" s="20" t="str">
        <f ca="1">IFERROR(__xludf.DUMMYFUNCTION("""COMPUTED_VALUE"""),"Ley")</f>
        <v>Ley</v>
      </c>
      <c r="K389" s="20">
        <f ca="1">IFERROR(__xludf.DUMMYFUNCTION("""COMPUTED_VALUE"""),33305)</f>
        <v>33305</v>
      </c>
      <c r="L389" s="20" t="str">
        <f ca="1">IFERROR(__xludf.DUMMYFUNCTION("""COMPUTED_VALUE"""),"Poder Ejecutivo Provincial")</f>
        <v>Poder Ejecutivo Provincial</v>
      </c>
      <c r="M389" s="20" t="str">
        <f ca="1">IFERROR(__xludf.DUMMYFUNCTION("""COMPUTED_VALUE"""),"Ratificando el Decreto Provincial N° 614 de fecha 18 de junio de 2021, disponiendo un régimen de diferimiento y exención para los servicios de transporte automotor de pasajeros autorizados que encuadren en el artículo 9°, incisos D, E, F y G, de la Ley N°"&amp;" 8669 de Explotación del Servicio Público de Transporte en la Provincia de Córdoba")</f>
        <v>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v>
      </c>
      <c r="N389" s="20" t="str">
        <f ca="1">IFERROR(__xludf.DUMMYFUNCTION("""COMPUTED_VALUE"""),"NO")</f>
        <v>NO</v>
      </c>
      <c r="O389" s="20" t="str">
        <f ca="1">IFERROR(__xludf.DUMMYFUNCTION("""COMPUTED_VALUE"""),"NO")</f>
        <v>NO</v>
      </c>
      <c r="P389" s="20">
        <f ca="1">IFERROR(__xludf.DUMMYFUNCTION("""COMPUTED_VALUE"""),0)</f>
        <v>0</v>
      </c>
      <c r="Q389" s="113" t="str">
        <f ca="1">IFERROR(__xludf.DUMMYFUNCTION("""COMPUTED_VALUE"""),"https://gld.legislaturacba.gob.ar/_cdd/api/Documento/descargar?guid=b2f1914d-e47d-4c9b-bdcf-3c9336878aa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v>
      </c>
      <c r="R389" s="113" t="str">
        <f ca="1">IFERROR(__xludf.DUMMYFUNCTION("""COMPUTED_VALUE"""),"https://www.youtube.com/watch?v=TK6sY1TJLw0")</f>
        <v>https://www.youtube.com/watch?v=TK6sY1TJLw0</v>
      </c>
      <c r="S389" s="113" t="str">
        <f ca="1">IFERROR(__xludf.DUMMYFUNCTION("""COMPUTED_VALUE"""),"https://gld.legislaturacba.gob.ar/Publics/Actas.aspx?id=Qp4l2cZq678=;https://gld.legislaturacba.gob.ar/Publics/Actas.aspx?id=zfVK4F1zbaQ=")</f>
        <v>https://gld.legislaturacba.gob.ar/Publics/Actas.aspx?id=Qp4l2cZq678=;https://gld.legislaturacba.gob.ar/Publics/Actas.aspx?id=zfVK4F1zbaQ=</v>
      </c>
      <c r="T389" s="99">
        <f t="shared" ca="1" si="0"/>
        <v>0</v>
      </c>
    </row>
    <row r="390" spans="1:20">
      <c r="A390" s="20">
        <f ca="1">IFERROR(__xludf.DUMMYFUNCTION("""COMPUTED_VALUE"""),152)</f>
        <v>152</v>
      </c>
      <c r="B390" s="20">
        <f ca="1">IFERROR(__xludf.DUMMYFUNCTION("""COMPUTED_VALUE"""),2021)</f>
        <v>2021</v>
      </c>
      <c r="C390" s="20" t="str">
        <f ca="1">IFERROR(__xludf.DUMMYFUNCTION("""COMPUTED_VALUE"""),"VIRTUAL")</f>
        <v>VIRTUAL</v>
      </c>
      <c r="D390" s="96">
        <f ca="1">IFERROR(__xludf.DUMMYFUNCTION("""COMPUTED_VALUE"""),44413)</f>
        <v>44413</v>
      </c>
      <c r="E390" s="20" t="str">
        <f ca="1">IFERROR(__xludf.DUMMYFUNCTION("""COMPUTED_VALUE"""),"NO")</f>
        <v>NO</v>
      </c>
      <c r="F390" s="20" t="str">
        <f ca="1">IFERROR(__xludf.DUMMYFUNCTION("""COMPUTED_VALUE"""),"EQUIDAD Y LUCHA CONTRA LA VIOLENCIA DE GÉNERO")</f>
        <v>EQUIDAD Y LUCHA CONTRA LA VIOLENCIA DE GÉNERO</v>
      </c>
      <c r="G390" s="20">
        <f ca="1">IFERROR(__xludf.DUMMYFUNCTION("""COMPUTED_VALUE"""),1)</f>
        <v>1</v>
      </c>
      <c r="H390" s="20">
        <f ca="1">IFERROR(__xludf.DUMMYFUNCTION("""COMPUTED_VALUE"""),1)</f>
        <v>1</v>
      </c>
      <c r="I390" s="20">
        <f ca="1">IFERROR(__xludf.DUMMYFUNCTION("""COMPUTED_VALUE"""),1)</f>
        <v>1</v>
      </c>
      <c r="J390" s="20" t="str">
        <f ca="1">IFERROR(__xludf.DUMMYFUNCTION("""COMPUTED_VALUE"""),"NA")</f>
        <v>NA</v>
      </c>
      <c r="K390" s="20" t="str">
        <f ca="1">IFERROR(__xludf.DUMMYFUNCTION("""COMPUTED_VALUE"""),"NA")</f>
        <v>NA</v>
      </c>
      <c r="L390" s="20" t="str">
        <f ca="1">IFERROR(__xludf.DUMMYFUNCTION("""COMPUTED_VALUE"""),"NA")</f>
        <v>NA</v>
      </c>
      <c r="M390" s="20" t="str">
        <f ca="1">IFERROR(__xludf.DUMMYFUNCTION("""COMPUTED_VALUE"""),"Organización Argentina de Jovenes para las Naciones Unidas (OAJNU) reseña de la organización, descripción de los proyectos que llevan adelante. Proyecto ONU Mujeres")</f>
        <v>Organización Argentina de Jovenes para las Naciones Unidas (OAJNU) reseña de la organización, descripción de los proyectos que llevan adelante. Proyecto ONU Mujeres</v>
      </c>
      <c r="N390" s="20" t="str">
        <f ca="1">IFERROR(__xludf.DUMMYFUNCTION("""COMPUTED_VALUE"""),"NA")</f>
        <v>NA</v>
      </c>
      <c r="O390" s="20" t="str">
        <f ca="1">IFERROR(__xludf.DUMMYFUNCTION("""COMPUTED_VALUE"""),"SI")</f>
        <v>SI</v>
      </c>
      <c r="P390" s="20">
        <f ca="1">IFERROR(__xludf.DUMMYFUNCTION("""COMPUTED_VALUE"""),4)</f>
        <v>4</v>
      </c>
      <c r="Q390" s="113" t="str">
        <f ca="1">IFERROR(__xludf.DUMMYFUNCTION("""COMPUTED_VALUE"""),"https://gld.legislaturacba.gob.ar/_cdd/api/Documento/descargar?guid=a527d100-afdf-4b57-a1e8-cf4764c6b107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v>
      </c>
      <c r="R390" s="20" t="str">
        <f ca="1">IFERROR(__xludf.DUMMYFUNCTION("""COMPUTED_VALUE"""),"NA")</f>
        <v>NA</v>
      </c>
      <c r="S390" s="113" t="str">
        <f ca="1">IFERROR(__xludf.DUMMYFUNCTION("""COMPUTED_VALUE"""),"https://gld.legislaturacba.gob.ar/Publics/Actas.aspx?id=V16OhtnbYTI=")</f>
        <v>https://gld.legislaturacba.gob.ar/Publics/Actas.aspx?id=V16OhtnbYTI=</v>
      </c>
      <c r="T390" s="99">
        <f t="shared" ca="1" si="0"/>
        <v>0</v>
      </c>
    </row>
    <row r="391" spans="1:20">
      <c r="A391" s="20">
        <f ca="1">IFERROR(__xludf.DUMMYFUNCTION("""COMPUTED_VALUE"""),153)</f>
        <v>153</v>
      </c>
      <c r="B391" s="20">
        <f ca="1">IFERROR(__xludf.DUMMYFUNCTION("""COMPUTED_VALUE"""),2021)</f>
        <v>2021</v>
      </c>
      <c r="C391" s="20" t="str">
        <f ca="1">IFERROR(__xludf.DUMMYFUNCTION("""COMPUTED_VALUE"""),"VIRTUAL")</f>
        <v>VIRTUAL</v>
      </c>
      <c r="D391" s="96">
        <f ca="1">IFERROR(__xludf.DUMMYFUNCTION("""COMPUTED_VALUE"""),44413)</f>
        <v>44413</v>
      </c>
      <c r="E391" s="20" t="str">
        <f ca="1">IFERROR(__xludf.DUMMYFUNCTION("""COMPUTED_VALUE"""),"NO")</f>
        <v>NO</v>
      </c>
      <c r="F391" s="20" t="str">
        <f ca="1">IFERROR(__xludf.DUMMYFUNCTION("""COMPUTED_VALUE"""),"SALUD HUMANA")</f>
        <v>SALUD HUMANA</v>
      </c>
      <c r="G391" s="20">
        <f ca="1">IFERROR(__xludf.DUMMYFUNCTION("""COMPUTED_VALUE"""),1)</f>
        <v>1</v>
      </c>
      <c r="H391" s="20">
        <f ca="1">IFERROR(__xludf.DUMMYFUNCTION("""COMPUTED_VALUE"""),1)</f>
        <v>1</v>
      </c>
      <c r="I391" s="20">
        <f ca="1">IFERROR(__xludf.DUMMYFUNCTION("""COMPUTED_VALUE"""),1)</f>
        <v>1</v>
      </c>
      <c r="J391" s="20" t="str">
        <f ca="1">IFERROR(__xludf.DUMMYFUNCTION("""COMPUTED_VALUE"""),"NA")</f>
        <v>NA</v>
      </c>
      <c r="K391" s="20" t="str">
        <f ca="1">IFERROR(__xludf.DUMMYFUNCTION("""COMPUTED_VALUE"""),"NA")</f>
        <v>NA</v>
      </c>
      <c r="L391" s="20" t="str">
        <f ca="1">IFERROR(__xludf.DUMMYFUNCTION("""COMPUTED_VALUE"""),"NA")</f>
        <v>NA</v>
      </c>
      <c r="M391" s="20" t="str">
        <f ca="1">IFERROR(__xludf.DUMMYFUNCTION("""COMPUTED_VALUE"""),"Maternidad e infancia")</f>
        <v>Maternidad e infancia</v>
      </c>
      <c r="N391" s="20" t="str">
        <f ca="1">IFERROR(__xludf.DUMMYFUNCTION("""COMPUTED_VALUE"""),"NA")</f>
        <v>NA</v>
      </c>
      <c r="O391" s="20" t="str">
        <f ca="1">IFERROR(__xludf.DUMMYFUNCTION("""COMPUTED_VALUE"""),"SI")</f>
        <v>SI</v>
      </c>
      <c r="P391" s="20">
        <f ca="1">IFERROR(__xludf.DUMMYFUNCTION("""COMPUTED_VALUE"""),1)</f>
        <v>1</v>
      </c>
      <c r="Q391" s="113" t="str">
        <f ca="1">IFERROR(__xludf.DUMMYFUNCTION("""COMPUTED_VALUE"""),"https://gld.legislaturacba.gob.ar/_cdd/api/Documento/descargar?guid=4e824086-d242-4d53-a98b-c0cb67ab54c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v>
      </c>
      <c r="R391" s="113" t="str">
        <f ca="1">IFERROR(__xludf.DUMMYFUNCTION("""COMPUTED_VALUE"""),"https://www.youtube.com/watch?v=zB64CC5gLMc")</f>
        <v>https://www.youtube.com/watch?v=zB64CC5gLMc</v>
      </c>
      <c r="S391" s="113" t="str">
        <f ca="1">IFERROR(__xludf.DUMMYFUNCTION("""COMPUTED_VALUE"""),"https://gld.legislaturacba.gob.ar/Publics/Actas.aspx?id=s02NJisIHGY=")</f>
        <v>https://gld.legislaturacba.gob.ar/Publics/Actas.aspx?id=s02NJisIHGY=</v>
      </c>
      <c r="T391" s="99">
        <f t="shared" ca="1" si="0"/>
        <v>0</v>
      </c>
    </row>
    <row r="392" spans="1:20">
      <c r="A392" s="20">
        <f ca="1">IFERROR(__xludf.DUMMYFUNCTION("""COMPUTED_VALUE"""),154)</f>
        <v>154</v>
      </c>
      <c r="B392" s="20">
        <f ca="1">IFERROR(__xludf.DUMMYFUNCTION("""COMPUTED_VALUE"""),2021)</f>
        <v>2021</v>
      </c>
      <c r="C392" s="20" t="str">
        <f ca="1">IFERROR(__xludf.DUMMYFUNCTION("""COMPUTED_VALUE"""),"VIRTUAL")</f>
        <v>VIRTUAL</v>
      </c>
      <c r="D392" s="96">
        <f ca="1">IFERROR(__xludf.DUMMYFUNCTION("""COMPUTED_VALUE"""),44418)</f>
        <v>44418</v>
      </c>
      <c r="E392" s="20" t="str">
        <f ca="1">IFERROR(__xludf.DUMMYFUNCTION("""COMPUTED_VALUE"""),"NO")</f>
        <v>NO</v>
      </c>
      <c r="F392" s="20" t="str">
        <f ca="1">IFERROR(__xludf.DUMMYFUNCTION("""COMPUTED_VALUE"""),"OBRAS PÚBLICAS, VIVIENDA Y COMUNICACIONES")</f>
        <v>OBRAS PÚBLICAS, VIVIENDA Y COMUNICACIONES</v>
      </c>
      <c r="G392" s="20">
        <f ca="1">IFERROR(__xludf.DUMMYFUNCTION("""COMPUTED_VALUE"""),1)</f>
        <v>1</v>
      </c>
      <c r="H392" s="20">
        <f ca="1">IFERROR(__xludf.DUMMYFUNCTION("""COMPUTED_VALUE"""),1)</f>
        <v>1</v>
      </c>
      <c r="I392" s="20">
        <f ca="1">IFERROR(__xludf.DUMMYFUNCTION("""COMPUTED_VALUE"""),1)</f>
        <v>1</v>
      </c>
      <c r="J392" s="20" t="str">
        <f ca="1">IFERROR(__xludf.DUMMYFUNCTION("""COMPUTED_VALUE"""),"Ley")</f>
        <v>Ley</v>
      </c>
      <c r="K392" s="20">
        <f ca="1">IFERROR(__xludf.DUMMYFUNCTION("""COMPUTED_VALUE"""),33366)</f>
        <v>33366</v>
      </c>
      <c r="L392" s="20" t="str">
        <f ca="1">IFERROR(__xludf.DUMMYFUNCTION("""COMPUTED_VALUE"""),"Poder Ejecutivo Provincial")</f>
        <v>Poder Ejecutivo Provincial</v>
      </c>
      <c r="M392" s="20" t="str">
        <f ca="1">IFERROR(__xludf.DUMMYFUNCTION("""COMPUTED_VALUE"""),"Aprobando el Decreto N° 50/21, convalidando lo actuado por el Ministerio de Seguridad y ratificando el Convenio Marco de Cooperación Interjurisdiccional sobre Diseño y Ejecución de Políticas Públicas en materia de Seguridad Vial")</f>
        <v>Aprobando el Decreto N° 50/21, convalidando lo actuado por el Ministerio de Seguridad y ratificando el Convenio Marco de Cooperación Interjurisdiccional sobre Diseño y Ejecución de Políticas Públicas en materia de Seguridad Vial</v>
      </c>
      <c r="N392" s="20" t="str">
        <f ca="1">IFERROR(__xludf.DUMMYFUNCTION("""COMPUTED_VALUE"""),"NO")</f>
        <v>NO</v>
      </c>
      <c r="O392" s="20" t="str">
        <f ca="1">IFERROR(__xludf.DUMMYFUNCTION("""COMPUTED_VALUE"""),"SI")</f>
        <v>SI</v>
      </c>
      <c r="P392" s="20">
        <f ca="1">IFERROR(__xludf.DUMMYFUNCTION("""COMPUTED_VALUE"""),1)</f>
        <v>1</v>
      </c>
      <c r="Q392" s="113" t="str">
        <f ca="1">IFERROR(__xludf.DUMMYFUNCTION("""COMPUTED_VALUE"""),"https://gld.legislaturacba.gob.ar/_cdd/api/Documento/descargar?guid=1ed72045-511c-4025-9119-251a161da85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v>
      </c>
      <c r="R392" s="20" t="str">
        <f ca="1">IFERROR(__xludf.DUMMYFUNCTION("""COMPUTED_VALUE"""),"NA")</f>
        <v>NA</v>
      </c>
      <c r="S392" s="113" t="str">
        <f ca="1">IFERROR(__xludf.DUMMYFUNCTION("""COMPUTED_VALUE"""),"https://gld.legislaturacba.gob.ar/Publics/Actas.aspx?id=E0_WZxfkY5I=")</f>
        <v>https://gld.legislaturacba.gob.ar/Publics/Actas.aspx?id=E0_WZxfkY5I=</v>
      </c>
      <c r="T392" s="99">
        <f t="shared" ca="1" si="0"/>
        <v>0</v>
      </c>
    </row>
    <row r="393" spans="1:20">
      <c r="A393" s="20">
        <f ca="1">IFERROR(__xludf.DUMMYFUNCTION("""COMPUTED_VALUE"""),155)</f>
        <v>155</v>
      </c>
      <c r="B393" s="20">
        <f ca="1">IFERROR(__xludf.DUMMYFUNCTION("""COMPUTED_VALUE"""),2021)</f>
        <v>2021</v>
      </c>
      <c r="C393" s="20" t="str">
        <f ca="1">IFERROR(__xludf.DUMMYFUNCTION("""COMPUTED_VALUE"""),"VIRTUAL")</f>
        <v>VIRTUAL</v>
      </c>
      <c r="D393" s="96">
        <f ca="1">IFERROR(__xludf.DUMMYFUNCTION("""COMPUTED_VALUE"""),44418)</f>
        <v>44418</v>
      </c>
      <c r="E393" s="20" t="str">
        <f ca="1">IFERROR(__xludf.DUMMYFUNCTION("""COMPUTED_VALUE"""),"NO")</f>
        <v>NO</v>
      </c>
      <c r="F393" s="20" t="str">
        <f ca="1">IFERROR(__xludf.DUMMYFUNCTION("""COMPUTED_VALUE"""),"ASUNTOS INSTITUCIONALES, MUNICIPALES Y COMUNALES")</f>
        <v>ASUNTOS INSTITUCIONALES, MUNICIPALES Y COMUNALES</v>
      </c>
      <c r="G393" s="20">
        <f ca="1">IFERROR(__xludf.DUMMYFUNCTION("""COMPUTED_VALUE"""),1)</f>
        <v>1</v>
      </c>
      <c r="H393" s="20">
        <f ca="1">IFERROR(__xludf.DUMMYFUNCTION("""COMPUTED_VALUE"""),1)</f>
        <v>1</v>
      </c>
      <c r="I393" s="20">
        <f ca="1">IFERROR(__xludf.DUMMYFUNCTION("""COMPUTED_VALUE"""),1)</f>
        <v>1</v>
      </c>
      <c r="J393" s="20" t="str">
        <f ca="1">IFERROR(__xludf.DUMMYFUNCTION("""COMPUTED_VALUE"""),"Ley")</f>
        <v>Ley</v>
      </c>
      <c r="K393" s="20">
        <f ca="1">IFERROR(__xludf.DUMMYFUNCTION("""COMPUTED_VALUE"""),33125)</f>
        <v>33125</v>
      </c>
      <c r="L393" s="20" t="str">
        <f ca="1">IFERROR(__xludf.DUMMYFUNCTION("""COMPUTED_VALUE"""),"Poder Ejecutivo Provincial")</f>
        <v>Poder Ejecutivo Provincial</v>
      </c>
      <c r="M393" s="20" t="str">
        <f ca="1">IFERROR(__xludf.DUMMYFUNCTION("""COMPUTED_VALUE"""),"Modificando el radio municipal de la localidad de Carrilobo, Dpto. Rio Segundo")</f>
        <v>Modificando el radio municipal de la localidad de Carrilobo, Dpto. Rio Segundo</v>
      </c>
      <c r="N393" s="20" t="str">
        <f ca="1">IFERROR(__xludf.DUMMYFUNCTION("""COMPUTED_VALUE"""),"SI")</f>
        <v>SI</v>
      </c>
      <c r="O393" s="20" t="str">
        <f ca="1">IFERROR(__xludf.DUMMYFUNCTION("""COMPUTED_VALUE"""),"NO")</f>
        <v>NO</v>
      </c>
      <c r="P393" s="20">
        <f ca="1">IFERROR(__xludf.DUMMYFUNCTION("""COMPUTED_VALUE"""),0)</f>
        <v>0</v>
      </c>
      <c r="Q393" s="113" t="str">
        <f ca="1">IFERROR(__xludf.DUMMYFUNCTION("""COMPUTED_VALUE"""),"https://gld.legislaturacba.gob.ar/_cdd/api/Documento/descargar?guid=423bccbd-295b-4bb5-a3b8-8d4e9b007726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v>
      </c>
      <c r="R393" s="113" t="str">
        <f ca="1">IFERROR(__xludf.DUMMYFUNCTION("""COMPUTED_VALUE"""),"https://www.youtube.com/watch?v=nHOpTto2WOA")</f>
        <v>https://www.youtube.com/watch?v=nHOpTto2WOA</v>
      </c>
      <c r="S393" s="113" t="str">
        <f ca="1">IFERROR(__xludf.DUMMYFUNCTION("""COMPUTED_VALUE"""),"https://gld.legislaturacba.gob.ar/Publics/Actas.aspx?id=1r0Q75d_onI=")</f>
        <v>https://gld.legislaturacba.gob.ar/Publics/Actas.aspx?id=1r0Q75d_onI=</v>
      </c>
      <c r="T393" s="99">
        <f t="shared" ca="1" si="0"/>
        <v>0</v>
      </c>
    </row>
    <row r="394" spans="1:20">
      <c r="A394" s="20">
        <f ca="1">IFERROR(__xludf.DUMMYFUNCTION("""COMPUTED_VALUE"""),156)</f>
        <v>156</v>
      </c>
      <c r="B394" s="20">
        <f ca="1">IFERROR(__xludf.DUMMYFUNCTION("""COMPUTED_VALUE"""),2021)</f>
        <v>2021</v>
      </c>
      <c r="C394" s="20" t="str">
        <f ca="1">IFERROR(__xludf.DUMMYFUNCTION("""COMPUTED_VALUE"""),"VIRTUAL")</f>
        <v>VIRTUAL</v>
      </c>
      <c r="D394" s="96">
        <f ca="1">IFERROR(__xludf.DUMMYFUNCTION("""COMPUTED_VALUE"""),44418)</f>
        <v>44418</v>
      </c>
      <c r="E394" s="20" t="str">
        <f ca="1">IFERROR(__xludf.DUMMYFUNCTION("""COMPUTED_VALUE"""),"SI")</f>
        <v>SI</v>
      </c>
      <c r="F394" s="20" t="str">
        <f ca="1">IFERROR(__xludf.DUMMYFUNCTION("""COMPUTED_VALUE"""),"ECONOMÍA, PRESUPUESTO, GESTIÓN PÚBLICA E INNOVACIÓN;SERVICIOS PÚBLICOS")</f>
        <v>ECONOMÍA, PRESUPUESTO, GESTIÓN PÚBLICA E INNOVACIÓN;SERVICIOS PÚBLICOS</v>
      </c>
      <c r="G394" s="20">
        <f ca="1">IFERROR(__xludf.DUMMYFUNCTION("""COMPUTED_VALUE"""),2)</f>
        <v>2</v>
      </c>
      <c r="H394" s="20">
        <f ca="1">IFERROR(__xludf.DUMMYFUNCTION("""COMPUTED_VALUE"""),1)</f>
        <v>1</v>
      </c>
      <c r="I394" s="20">
        <f ca="1">IFERROR(__xludf.DUMMYFUNCTION("""COMPUTED_VALUE"""),1)</f>
        <v>1</v>
      </c>
      <c r="J394" s="20" t="str">
        <f ca="1">IFERROR(__xludf.DUMMYFUNCTION("""COMPUTED_VALUE"""),"Ley")</f>
        <v>Ley</v>
      </c>
      <c r="K394" s="20">
        <f ca="1">IFERROR(__xludf.DUMMYFUNCTION("""COMPUTED_VALUE"""),33305)</f>
        <v>33305</v>
      </c>
      <c r="L394" s="20" t="str">
        <f ca="1">IFERROR(__xludf.DUMMYFUNCTION("""COMPUTED_VALUE"""),"Poder Ejecutivo Provincial")</f>
        <v>Poder Ejecutivo Provincial</v>
      </c>
      <c r="M394" s="20" t="str">
        <f ca="1">IFERROR(__xludf.DUMMYFUNCTION("""COMPUTED_VALUE"""),"Ratificando el Decreto Provincial N° 614 de fecha 18 de junio de 2021, disponiendo un régimen de diferimiento y exención para los servicios de transporte automotor de pasajeros autorizados que encuadren en el artículo 9°, incisos D, E, F y G, de la Ley N°"&amp;" 8669 de Explotación del Servicio Público de Transporte en la Provincia de Córdoba")</f>
        <v>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v>
      </c>
      <c r="N394" s="20" t="str">
        <f ca="1">IFERROR(__xludf.DUMMYFUNCTION("""COMPUTED_VALUE"""),"SI")</f>
        <v>SI</v>
      </c>
      <c r="O394" s="20" t="str">
        <f ca="1">IFERROR(__xludf.DUMMYFUNCTION("""COMPUTED_VALUE"""),"NO")</f>
        <v>NO</v>
      </c>
      <c r="P394" s="20">
        <f ca="1">IFERROR(__xludf.DUMMYFUNCTION("""COMPUTED_VALUE"""),0)</f>
        <v>0</v>
      </c>
      <c r="Q394" s="113" t="str">
        <f ca="1">IFERROR(__xludf.DUMMYFUNCTION("""COMPUTED_VALUE"""),"https://gld.legislaturacba.gob.ar/_cdd/api/Documento/descargar?guid=c46c2321-de4c-4779-999f-dc77033ead80&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v>
      </c>
      <c r="R394" s="113" t="str">
        <f ca="1">IFERROR(__xludf.DUMMYFUNCTION("""COMPUTED_VALUE"""),"https://www.youtube.com/watch?v=ZdfYSq7GUps")</f>
        <v>https://www.youtube.com/watch?v=ZdfYSq7GUps</v>
      </c>
      <c r="S394" s="113" t="str">
        <f ca="1">IFERROR(__xludf.DUMMYFUNCTION("""COMPUTED_VALUE"""),"https://gld.legislaturacba.gob.ar/Publics/Actas.aspx?id=NCUaovdGwb4=;https://gld.legislaturacba.gob.ar/Publics/Actas.aspx?id=Otnba9yxKXQ=")</f>
        <v>https://gld.legislaturacba.gob.ar/Publics/Actas.aspx?id=NCUaovdGwb4=;https://gld.legislaturacba.gob.ar/Publics/Actas.aspx?id=Otnba9yxKXQ=</v>
      </c>
      <c r="T394" s="99">
        <f t="shared" ca="1" si="0"/>
        <v>0</v>
      </c>
    </row>
    <row r="395" spans="1:20">
      <c r="A395" s="20">
        <f ca="1">IFERROR(__xludf.DUMMYFUNCTION("""COMPUTED_VALUE"""),157)</f>
        <v>157</v>
      </c>
      <c r="B395" s="20">
        <f ca="1">IFERROR(__xludf.DUMMYFUNCTION("""COMPUTED_VALUE"""),2021)</f>
        <v>2021</v>
      </c>
      <c r="C395" s="20" t="str">
        <f ca="1">IFERROR(__xludf.DUMMYFUNCTION("""COMPUTED_VALUE"""),"VIRTUAL")</f>
        <v>VIRTUAL</v>
      </c>
      <c r="D395" s="96">
        <f ca="1">IFERROR(__xludf.DUMMYFUNCTION("""COMPUTED_VALUE"""),44420)</f>
        <v>44420</v>
      </c>
      <c r="E395" s="20" t="str">
        <f ca="1">IFERROR(__xludf.DUMMYFUNCTION("""COMPUTED_VALUE"""),"NO")</f>
        <v>NO</v>
      </c>
      <c r="F395" s="20" t="str">
        <f ca="1">IFERROR(__xludf.DUMMYFUNCTION("""COMPUTED_VALUE"""),"AMBIENTE")</f>
        <v>AMBIENTE</v>
      </c>
      <c r="G395" s="20">
        <f ca="1">IFERROR(__xludf.DUMMYFUNCTION("""COMPUTED_VALUE"""),1)</f>
        <v>1</v>
      </c>
      <c r="H395" s="20">
        <f ca="1">IFERROR(__xludf.DUMMYFUNCTION("""COMPUTED_VALUE"""),2)</f>
        <v>2</v>
      </c>
      <c r="I395" s="20">
        <f ca="1">IFERROR(__xludf.DUMMYFUNCTION("""COMPUTED_VALUE"""),1)</f>
        <v>1</v>
      </c>
      <c r="J395" s="20" t="str">
        <f ca="1">IFERROR(__xludf.DUMMYFUNCTION("""COMPUTED_VALUE"""),"Resolución")</f>
        <v>Resolución</v>
      </c>
      <c r="K395" s="20">
        <f ca="1">IFERROR(__xludf.DUMMYFUNCTION("""COMPUTED_VALUE"""),32404)</f>
        <v>32404</v>
      </c>
      <c r="L395" s="20" t="str">
        <f ca="1">IFERROR(__xludf.DUMMYFUNCTION("""COMPUTED_VALUE"""),"Poder Legislativo Provincial")</f>
        <v>Poder Legislativo Provincial</v>
      </c>
      <c r="M395" s="20" t="str">
        <f ca="1">IFERROR(__xludf.DUMMYFUNCTION("""COMPUTED_VALUE"""),"Solicitando al Poder Ejecutivo informe (Art. 102 CP) sobre el funcionamiento, incorporación de personal y presupuesto destinado al proyecto de creación de Equipos Técnicos de Acción ante Catástrofes")</f>
        <v>Solicitando al Poder Ejecutivo informe (Art. 102 CP) sobre el funcionamiento, incorporación de personal y presupuesto destinado al proyecto de creación de Equipos Técnicos de Acción ante Catástrofes</v>
      </c>
      <c r="N395" s="20" t="str">
        <f ca="1">IFERROR(__xludf.DUMMYFUNCTION("""COMPUTED_VALUE"""),"NO")</f>
        <v>NO</v>
      </c>
      <c r="O395" s="20" t="str">
        <f ca="1">IFERROR(__xludf.DUMMYFUNCTION("""COMPUTED_VALUE"""),"SI")</f>
        <v>SI</v>
      </c>
      <c r="P395" s="20">
        <f ca="1">IFERROR(__xludf.DUMMYFUNCTION("""COMPUTED_VALUE"""),1)</f>
        <v>1</v>
      </c>
      <c r="Q395" s="113" t="str">
        <f ca="1">IFERROR(__xludf.DUMMYFUNCTION("""COMPUTED_VALUE"""),"https://gld.legislaturacba.gob.ar/_cdd/api/Documento/descargar?guid=b7a29436-cafb-42aa-98f4-875e7eea55a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v>
      </c>
      <c r="R395" s="113" t="str">
        <f ca="1">IFERROR(__xludf.DUMMYFUNCTION("""COMPUTED_VALUE"""),"https://www.youtube.com/watch?v=bmkeftXCDUY")</f>
        <v>https://www.youtube.com/watch?v=bmkeftXCDUY</v>
      </c>
      <c r="S395" s="113" t="str">
        <f ca="1">IFERROR(__xludf.DUMMYFUNCTION("""COMPUTED_VALUE"""),"https://gld.legislaturacba.gob.ar/Publics/Actas.aspx?id=umaHansLNwU=")</f>
        <v>https://gld.legislaturacba.gob.ar/Publics/Actas.aspx?id=umaHansLNwU=</v>
      </c>
      <c r="T395" s="99">
        <f t="shared" ca="1" si="0"/>
        <v>0</v>
      </c>
    </row>
    <row r="396" spans="1:20">
      <c r="A396" s="20">
        <f ca="1">IFERROR(__xludf.DUMMYFUNCTION("""COMPUTED_VALUE"""),158)</f>
        <v>158</v>
      </c>
      <c r="B396" s="20">
        <f ca="1">IFERROR(__xludf.DUMMYFUNCTION("""COMPUTED_VALUE"""),2021)</f>
        <v>2021</v>
      </c>
      <c r="C396" s="20" t="str">
        <f ca="1">IFERROR(__xludf.DUMMYFUNCTION("""COMPUTED_VALUE"""),"VIRTUAL")</f>
        <v>VIRTUAL</v>
      </c>
      <c r="D396" s="96">
        <f ca="1">IFERROR(__xludf.DUMMYFUNCTION("""COMPUTED_VALUE"""),44420)</f>
        <v>44420</v>
      </c>
      <c r="E396" s="20" t="str">
        <f ca="1">IFERROR(__xludf.DUMMYFUNCTION("""COMPUTED_VALUE"""),"NO")</f>
        <v>NO</v>
      </c>
      <c r="F396" s="20" t="str">
        <f ca="1">IFERROR(__xludf.DUMMYFUNCTION("""COMPUTED_VALUE"""),"TURISMO Y SU RELACIÓN CON EL DESARROLLO REGIONAL")</f>
        <v>TURISMO Y SU RELACIÓN CON EL DESARROLLO REGIONAL</v>
      </c>
      <c r="G396" s="20">
        <f ca="1">IFERROR(__xludf.DUMMYFUNCTION("""COMPUTED_VALUE"""),1)</f>
        <v>1</v>
      </c>
      <c r="H396" s="20">
        <f ca="1">IFERROR(__xludf.DUMMYFUNCTION("""COMPUTED_VALUE"""),1)</f>
        <v>1</v>
      </c>
      <c r="I396" s="20">
        <f ca="1">IFERROR(__xludf.DUMMYFUNCTION("""COMPUTED_VALUE"""),1)</f>
        <v>1</v>
      </c>
      <c r="J396" s="20" t="str">
        <f ca="1">IFERROR(__xludf.DUMMYFUNCTION("""COMPUTED_VALUE"""),"NA")</f>
        <v>NA</v>
      </c>
      <c r="K396" s="20" t="str">
        <f ca="1">IFERROR(__xludf.DUMMYFUNCTION("""COMPUTED_VALUE"""),"NA")</f>
        <v>NA</v>
      </c>
      <c r="L396" s="20" t="str">
        <f ca="1">IFERROR(__xludf.DUMMYFUNCTION("""COMPUTED_VALUE"""),"NA")</f>
        <v>NA</v>
      </c>
      <c r="M396" s="20" t="str">
        <f ca="1">IFERROR(__xludf.DUMMYFUNCTION("""COMPUTED_VALUE"""),"Astroturismo o turismo astronómico como modalidad de turismo responsable, sostenible e innovador")</f>
        <v>Astroturismo o turismo astronómico como modalidad de turismo responsable, sostenible e innovador</v>
      </c>
      <c r="N396" s="20" t="str">
        <f ca="1">IFERROR(__xludf.DUMMYFUNCTION("""COMPUTED_VALUE"""),"NA")</f>
        <v>NA</v>
      </c>
      <c r="O396" s="20" t="str">
        <f ca="1">IFERROR(__xludf.DUMMYFUNCTION("""COMPUTED_VALUE"""),"SI")</f>
        <v>SI</v>
      </c>
      <c r="P396" s="20">
        <f ca="1">IFERROR(__xludf.DUMMYFUNCTION("""COMPUTED_VALUE"""),4)</f>
        <v>4</v>
      </c>
      <c r="Q396" s="113" t="str">
        <f ca="1">IFERROR(__xludf.DUMMYFUNCTION("""COMPUTED_VALUE"""),"https://gld.legislaturacba.gob.ar/_cdd/api/Documento/descargar?guid=9444dbaf-847f-480e-80e8-ca8363b90be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v>
      </c>
      <c r="R396" s="113" t="str">
        <f ca="1">IFERROR(__xludf.DUMMYFUNCTION("""COMPUTED_VALUE"""),"https://www.youtube.com/watch?v=1gKllbjM6pI")</f>
        <v>https://www.youtube.com/watch?v=1gKllbjM6pI</v>
      </c>
      <c r="S396" s="113" t="str">
        <f ca="1">IFERROR(__xludf.DUMMYFUNCTION("""COMPUTED_VALUE"""),"https://gld.legislaturacba.gob.ar/Publics/Actas.aspx?id=c7SlWdbqPps=")</f>
        <v>https://gld.legislaturacba.gob.ar/Publics/Actas.aspx?id=c7SlWdbqPps=</v>
      </c>
      <c r="T396" s="99">
        <f t="shared" ca="1" si="0"/>
        <v>0</v>
      </c>
    </row>
    <row r="397" spans="1:20">
      <c r="A397" s="20">
        <f ca="1">IFERROR(__xludf.DUMMYFUNCTION("""COMPUTED_VALUE"""),159)</f>
        <v>159</v>
      </c>
      <c r="B397" s="20">
        <f ca="1">IFERROR(__xludf.DUMMYFUNCTION("""COMPUTED_VALUE"""),2021)</f>
        <v>2021</v>
      </c>
      <c r="C397" s="20" t="str">
        <f ca="1">IFERROR(__xludf.DUMMYFUNCTION("""COMPUTED_VALUE"""),"VIRTUAL")</f>
        <v>VIRTUAL</v>
      </c>
      <c r="D397" s="96">
        <f ca="1">IFERROR(__xludf.DUMMYFUNCTION("""COMPUTED_VALUE"""),44420)</f>
        <v>44420</v>
      </c>
      <c r="E397" s="20" t="str">
        <f ca="1">IFERROR(__xludf.DUMMYFUNCTION("""COMPUTED_VALUE"""),"NO")</f>
        <v>NO</v>
      </c>
      <c r="F397" s="20" t="str">
        <f ca="1">IFERROR(__xludf.DUMMYFUNCTION("""COMPUTED_VALUE"""),"PROMOCIÓN Y DEFENSA DE LOS DERECHOS DE LA NIÑEZ, ADOLESCENCIA Y FAMILIA")</f>
        <v>PROMOCIÓN Y DEFENSA DE LOS DERECHOS DE LA NIÑEZ, ADOLESCENCIA Y FAMILIA</v>
      </c>
      <c r="G397" s="20">
        <f ca="1">IFERROR(__xludf.DUMMYFUNCTION("""COMPUTED_VALUE"""),1)</f>
        <v>1</v>
      </c>
      <c r="H397" s="20">
        <f ca="1">IFERROR(__xludf.DUMMYFUNCTION("""COMPUTED_VALUE"""),1)</f>
        <v>1</v>
      </c>
      <c r="I397" s="20">
        <f ca="1">IFERROR(__xludf.DUMMYFUNCTION("""COMPUTED_VALUE"""),1)</f>
        <v>1</v>
      </c>
      <c r="J397" s="20" t="str">
        <f ca="1">IFERROR(__xludf.DUMMYFUNCTION("""COMPUTED_VALUE"""),"NA")</f>
        <v>NA</v>
      </c>
      <c r="K397" s="20" t="str">
        <f ca="1">IFERROR(__xludf.DUMMYFUNCTION("""COMPUTED_VALUE"""),"NA")</f>
        <v>NA</v>
      </c>
      <c r="L397" s="20" t="str">
        <f ca="1">IFERROR(__xludf.DUMMYFUNCTION("""COMPUTED_VALUE"""),"NA")</f>
        <v>NA</v>
      </c>
      <c r="M397" s="20" t="str">
        <f ca="1">IFERROR(__xludf.DUMMYFUNCTION("""COMPUTED_VALUE"""),"Principales Líneas de trabajo de la Secretaría de Niñez, Adolescencia y Familia")</f>
        <v>Principales Líneas de trabajo de la Secretaría de Niñez, Adolescencia y Familia</v>
      </c>
      <c r="N397" s="20" t="str">
        <f ca="1">IFERROR(__xludf.DUMMYFUNCTION("""COMPUTED_VALUE"""),"NA")</f>
        <v>NA</v>
      </c>
      <c r="O397" s="20" t="str">
        <f ca="1">IFERROR(__xludf.DUMMYFUNCTION("""COMPUTED_VALUE"""),"SI")</f>
        <v>SI</v>
      </c>
      <c r="P397" s="20">
        <f ca="1">IFERROR(__xludf.DUMMYFUNCTION("""COMPUTED_VALUE"""),1)</f>
        <v>1</v>
      </c>
      <c r="Q397" s="113" t="str">
        <f ca="1">IFERROR(__xludf.DUMMYFUNCTION("""COMPUTED_VALUE"""),"https://gld.legislaturacba.gob.ar/_cdd/api/Documento/descargar?guid=32b92223-0c9d-43db-901e-af3f1a229e5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v>
      </c>
      <c r="R397" s="20" t="str">
        <f ca="1">IFERROR(__xludf.DUMMYFUNCTION("""COMPUTED_VALUE"""),"NA")</f>
        <v>NA</v>
      </c>
      <c r="S397" s="113" t="str">
        <f ca="1">IFERROR(__xludf.DUMMYFUNCTION("""COMPUTED_VALUE"""),"https://gld.legislaturacba.gob.ar/Publics/Actas.aspx?id=5dXSoqLfYFw=")</f>
        <v>https://gld.legislaturacba.gob.ar/Publics/Actas.aspx?id=5dXSoqLfYFw=</v>
      </c>
      <c r="T397" s="99">
        <f t="shared" ca="1" si="0"/>
        <v>0</v>
      </c>
    </row>
    <row r="398" spans="1:20">
      <c r="A398" s="20">
        <f ca="1">IFERROR(__xludf.DUMMYFUNCTION("""COMPUTED_VALUE"""),160)</f>
        <v>160</v>
      </c>
      <c r="B398" s="20">
        <f ca="1">IFERROR(__xludf.DUMMYFUNCTION("""COMPUTED_VALUE"""),2021)</f>
        <v>2021</v>
      </c>
      <c r="C398" s="20" t="str">
        <f ca="1">IFERROR(__xludf.DUMMYFUNCTION("""COMPUTED_VALUE"""),"VIRTUAL")</f>
        <v>VIRTUAL</v>
      </c>
      <c r="D398" s="96">
        <f ca="1">IFERROR(__xludf.DUMMYFUNCTION("""COMPUTED_VALUE"""),44425)</f>
        <v>44425</v>
      </c>
      <c r="E398" s="20" t="str">
        <f ca="1">IFERROR(__xludf.DUMMYFUNCTION("""COMPUTED_VALUE"""),"NO")</f>
        <v>NO</v>
      </c>
      <c r="F398" s="20" t="str">
        <f ca="1">IFERROR(__xludf.DUMMYFUNCTION("""COMPUTED_VALUE"""),"EDUCACIÓN, CULTURA, CIENCIA, TECNOLOGÍA E INFORMÁTICA")</f>
        <v>EDUCACIÓN, CULTURA, CIENCIA, TECNOLOGÍA E INFORMÁTICA</v>
      </c>
      <c r="G398" s="20">
        <f ca="1">IFERROR(__xludf.DUMMYFUNCTION("""COMPUTED_VALUE"""),1)</f>
        <v>1</v>
      </c>
      <c r="H398" s="20">
        <f ca="1">IFERROR(__xludf.DUMMYFUNCTION("""COMPUTED_VALUE"""),1)</f>
        <v>1</v>
      </c>
      <c r="I398" s="20">
        <f ca="1">IFERROR(__xludf.DUMMYFUNCTION("""COMPUTED_VALUE"""),1)</f>
        <v>1</v>
      </c>
      <c r="J398" s="20" t="str">
        <f ca="1">IFERROR(__xludf.DUMMYFUNCTION("""COMPUTED_VALUE"""),"Ley")</f>
        <v>Ley</v>
      </c>
      <c r="K398" s="20">
        <f ca="1">IFERROR(__xludf.DUMMYFUNCTION("""COMPUTED_VALUE"""),30639)</f>
        <v>30639</v>
      </c>
      <c r="L398" s="20" t="str">
        <f ca="1">IFERROR(__xludf.DUMMYFUNCTION("""COMPUTED_VALUE"""),"Poder Legislativo Provincial")</f>
        <v>Poder Legislativo Provincial</v>
      </c>
      <c r="M398" s="20" t="str">
        <f ca="1">IFERROR(__xludf.DUMMYFUNCTION("""COMPUTED_VALUE"""),"Instituyendo el día 29 de mayo de cada año como ""Día del Licenciado en producción de bio-imágenes"", en honor a la fecha del reconocimiento para todo el territorio argentino por parte del Ministerio de Educación (Resolución 969/98) del título mencionado,"&amp;" de la Escuela de Tecnología Médica dependiente de la Facultad de Ciencias Médicas de la Universidad Nacional de Córdoba")</f>
        <v>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v>
      </c>
      <c r="N398" s="20" t="str">
        <f ca="1">IFERROR(__xludf.DUMMYFUNCTION("""COMPUTED_VALUE"""),"SI")</f>
        <v>SI</v>
      </c>
      <c r="O398" s="20" t="str">
        <f ca="1">IFERROR(__xludf.DUMMYFUNCTION("""COMPUTED_VALUE"""),"SI")</f>
        <v>SI</v>
      </c>
      <c r="P398" s="20">
        <f ca="1">IFERROR(__xludf.DUMMYFUNCTION("""COMPUTED_VALUE"""),1)</f>
        <v>1</v>
      </c>
      <c r="Q398" s="20" t="str">
        <f ca="1">IFERROR(__xludf.DUMMYFUNCTION("""COMPUTED_VALUE"""),"NA")</f>
        <v>NA</v>
      </c>
      <c r="R398" s="20" t="str">
        <f ca="1">IFERROR(__xludf.DUMMYFUNCTION("""COMPUTED_VALUE"""),"NA")</f>
        <v>NA</v>
      </c>
      <c r="S398" s="113" t="str">
        <f ca="1">IFERROR(__xludf.DUMMYFUNCTION("""COMPUTED_VALUE"""),"https://gld.legislaturacba.gob.ar/Publics/Actas.aspx?id=383ECyYsBvk=")</f>
        <v>https://gld.legislaturacba.gob.ar/Publics/Actas.aspx?id=383ECyYsBvk=</v>
      </c>
      <c r="T398" s="99">
        <f t="shared" ca="1" si="0"/>
        <v>0</v>
      </c>
    </row>
    <row r="399" spans="1:20">
      <c r="A399" s="20">
        <f ca="1">IFERROR(__xludf.DUMMYFUNCTION("""COMPUTED_VALUE"""),161)</f>
        <v>161</v>
      </c>
      <c r="B399" s="20">
        <f ca="1">IFERROR(__xludf.DUMMYFUNCTION("""COMPUTED_VALUE"""),2021)</f>
        <v>2021</v>
      </c>
      <c r="C399" s="20" t="str">
        <f ca="1">IFERROR(__xludf.DUMMYFUNCTION("""COMPUTED_VALUE"""),"VIRTUAL")</f>
        <v>VIRTUAL</v>
      </c>
      <c r="D399" s="96">
        <f ca="1">IFERROR(__xludf.DUMMYFUNCTION("""COMPUTED_VALUE"""),44425)</f>
        <v>44425</v>
      </c>
      <c r="E399" s="20" t="str">
        <f ca="1">IFERROR(__xludf.DUMMYFUNCTION("""COMPUTED_VALUE"""),"NO")</f>
        <v>NO</v>
      </c>
      <c r="F399" s="20" t="str">
        <f ca="1">IFERROR(__xludf.DUMMYFUNCTION("""COMPUTED_VALUE"""),"DEPORTES Y RECREACIÓN")</f>
        <v>DEPORTES Y RECREACIÓN</v>
      </c>
      <c r="G399" s="20">
        <f ca="1">IFERROR(__xludf.DUMMYFUNCTION("""COMPUTED_VALUE"""),1)</f>
        <v>1</v>
      </c>
      <c r="H399" s="20">
        <f ca="1">IFERROR(__xludf.DUMMYFUNCTION("""COMPUTED_VALUE"""),2)</f>
        <v>2</v>
      </c>
      <c r="I399" s="20">
        <f ca="1">IFERROR(__xludf.DUMMYFUNCTION("""COMPUTED_VALUE"""),1)</f>
        <v>1</v>
      </c>
      <c r="J399" s="20" t="str">
        <f ca="1">IFERROR(__xludf.DUMMYFUNCTION("""COMPUTED_VALUE"""),"Declaración")</f>
        <v>Declaración</v>
      </c>
      <c r="K399" s="20">
        <f ca="1">IFERROR(__xludf.DUMMYFUNCTION("""COMPUTED_VALUE"""),33407)</f>
        <v>33407</v>
      </c>
      <c r="L399" s="20" t="str">
        <f ca="1">IFERROR(__xludf.DUMMYFUNCTION("""COMPUTED_VALUE"""),"Poder Legislativo Provincial")</f>
        <v>Poder Legislativo Provincial</v>
      </c>
      <c r="M399" s="20" t="str">
        <f ca="1">IFERROR(__xludf.DUMMYFUNCTION("""COMPUTED_VALUE"""),"Reconociendo a las deportistas cordobesas la nadadora Cecilia E. Biagioli y a la boxeadora Dayana E. Sánchez por su participación en los Juegos Olímpicos Tokio 2021")</f>
        <v>Reconociendo a las deportistas cordobesas la nadadora Cecilia E. Biagioli y a la boxeadora Dayana E. Sánchez por su participación en los Juegos Olímpicos Tokio 2021</v>
      </c>
      <c r="N399" s="20" t="str">
        <f ca="1">IFERROR(__xludf.DUMMYFUNCTION("""COMPUTED_VALUE"""),"SI")</f>
        <v>SI</v>
      </c>
      <c r="O399" s="20" t="str">
        <f ca="1">IFERROR(__xludf.DUMMYFUNCTION("""COMPUTED_VALUE"""),"NO")</f>
        <v>NO</v>
      </c>
      <c r="P399" s="20">
        <f ca="1">IFERROR(__xludf.DUMMYFUNCTION("""COMPUTED_VALUE"""),0)</f>
        <v>0</v>
      </c>
      <c r="Q399" s="113" t="str">
        <f ca="1">IFERROR(__xludf.DUMMYFUNCTION("""COMPUTED_VALUE"""),"https://gld.legislaturacba.gob.ar/_cdd/api/Documento/descargar?guid=1513d280-75e0-4236-a489-20cab8d63799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v>
      </c>
      <c r="R399" s="113" t="str">
        <f ca="1">IFERROR(__xludf.DUMMYFUNCTION("""COMPUTED_VALUE"""),"https://www.youtube.com/watch?v=nVuyO6Ais3U")</f>
        <v>https://www.youtube.com/watch?v=nVuyO6Ais3U</v>
      </c>
      <c r="S399" s="113" t="str">
        <f ca="1">IFERROR(__xludf.DUMMYFUNCTION("""COMPUTED_VALUE"""),"https://gld.legislaturacba.gob.ar/Publics/Actas.aspx?id=PJhlRlUBtNs=")</f>
        <v>https://gld.legislaturacba.gob.ar/Publics/Actas.aspx?id=PJhlRlUBtNs=</v>
      </c>
      <c r="T399" s="99">
        <f t="shared" ca="1" si="0"/>
        <v>0</v>
      </c>
    </row>
    <row r="400" spans="1:20">
      <c r="A400" s="20">
        <f ca="1">IFERROR(__xludf.DUMMYFUNCTION("""COMPUTED_VALUE"""),162)</f>
        <v>162</v>
      </c>
      <c r="B400" s="20">
        <f ca="1">IFERROR(__xludf.DUMMYFUNCTION("""COMPUTED_VALUE"""),2021)</f>
        <v>2021</v>
      </c>
      <c r="C400" s="20" t="str">
        <f ca="1">IFERROR(__xludf.DUMMYFUNCTION("""COMPUTED_VALUE"""),"VIRTUAL")</f>
        <v>VIRTUAL</v>
      </c>
      <c r="D400" s="96">
        <f ca="1">IFERROR(__xludf.DUMMYFUNCTION("""COMPUTED_VALUE"""),44425)</f>
        <v>44425</v>
      </c>
      <c r="E400" s="20" t="str">
        <f ca="1">IFERROR(__xludf.DUMMYFUNCTION("""COMPUTED_VALUE"""),"NO")</f>
        <v>NO</v>
      </c>
      <c r="F400" s="20" t="str">
        <f ca="1">IFERROR(__xludf.DUMMYFUNCTION("""COMPUTED_VALUE"""),"LEGISLACIÓN GENERAL")</f>
        <v>LEGISLACIÓN GENERAL</v>
      </c>
      <c r="G400" s="20">
        <f ca="1">IFERROR(__xludf.DUMMYFUNCTION("""COMPUTED_VALUE"""),1)</f>
        <v>1</v>
      </c>
      <c r="H400" s="20">
        <f ca="1">IFERROR(__xludf.DUMMYFUNCTION("""COMPUTED_VALUE"""),2)</f>
        <v>2</v>
      </c>
      <c r="I400" s="20">
        <f ca="1">IFERROR(__xludf.DUMMYFUNCTION("""COMPUTED_VALUE"""),1)</f>
        <v>1</v>
      </c>
      <c r="J400" s="20" t="str">
        <f ca="1">IFERROR(__xludf.DUMMYFUNCTION("""COMPUTED_VALUE"""),"Ley")</f>
        <v>Ley</v>
      </c>
      <c r="K400" s="20">
        <f ca="1">IFERROR(__xludf.DUMMYFUNCTION("""COMPUTED_VALUE"""),33366)</f>
        <v>33366</v>
      </c>
      <c r="L400" s="20" t="str">
        <f ca="1">IFERROR(__xludf.DUMMYFUNCTION("""COMPUTED_VALUE"""),"Poder Ejecutivo Provincial")</f>
        <v>Poder Ejecutivo Provincial</v>
      </c>
      <c r="M400" s="20" t="str">
        <f ca="1">IFERROR(__xludf.DUMMYFUNCTION("""COMPUTED_VALUE"""),"Aprobando el Decreto N° 50/21, convalidando lo actuado por el Ministerio de Seguridad y ratificando el Convenio Marco de Cooperación Interjurisdiccional sobre Diseño y Ejecución de Políticas Públicas en materia de Seguridad Vial")</f>
        <v>Aprobando el Decreto N° 50/21, convalidando lo actuado por el Ministerio de Seguridad y ratificando el Convenio Marco de Cooperación Interjurisdiccional sobre Diseño y Ejecución de Políticas Públicas en materia de Seguridad Vial</v>
      </c>
      <c r="N400" s="20" t="str">
        <f ca="1">IFERROR(__xludf.DUMMYFUNCTION("""COMPUTED_VALUE"""),"SI")</f>
        <v>SI</v>
      </c>
      <c r="O400" s="20" t="str">
        <f ca="1">IFERROR(__xludf.DUMMYFUNCTION("""COMPUTED_VALUE"""),"NO")</f>
        <v>NO</v>
      </c>
      <c r="P400" s="20">
        <f ca="1">IFERROR(__xludf.DUMMYFUNCTION("""COMPUTED_VALUE"""),0)</f>
        <v>0</v>
      </c>
      <c r="Q400" s="113" t="str">
        <f ca="1">IFERROR(__xludf.DUMMYFUNCTION("""COMPUTED_VALUE"""),"https://gld.legislaturacba.gob.ar/_cdd/api/Documento/descargar?guid=949fca6f-8ceb-421b-a590-ccbd5f95d250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v>
      </c>
      <c r="R400" s="113" t="str">
        <f ca="1">IFERROR(__xludf.DUMMYFUNCTION("""COMPUTED_VALUE"""),"https://www.youtube.com/watch?v=ozAd0n8VzFo")</f>
        <v>https://www.youtube.com/watch?v=ozAd0n8VzFo</v>
      </c>
      <c r="S400" s="113" t="str">
        <f ca="1">IFERROR(__xludf.DUMMYFUNCTION("""COMPUTED_VALUE"""),"https://gld.legislaturacba.gob.ar/Publics/Actas.aspx?id=PwK5VZGWPRk=")</f>
        <v>https://gld.legislaturacba.gob.ar/Publics/Actas.aspx?id=PwK5VZGWPRk=</v>
      </c>
      <c r="T400" s="99">
        <f t="shared" ca="1" si="0"/>
        <v>0</v>
      </c>
    </row>
    <row r="401" spans="1:20">
      <c r="A401" s="20">
        <f ca="1">IFERROR(__xludf.DUMMYFUNCTION("""COMPUTED_VALUE"""),163)</f>
        <v>163</v>
      </c>
      <c r="B401" s="20">
        <f ca="1">IFERROR(__xludf.DUMMYFUNCTION("""COMPUTED_VALUE"""),2021)</f>
        <v>2021</v>
      </c>
      <c r="C401" s="20" t="str">
        <f ca="1">IFERROR(__xludf.DUMMYFUNCTION("""COMPUTED_VALUE"""),"VIRTUAL")</f>
        <v>VIRTUAL</v>
      </c>
      <c r="D401" s="96">
        <f ca="1">IFERROR(__xludf.DUMMYFUNCTION("""COMPUTED_VALUE"""),44425)</f>
        <v>44425</v>
      </c>
      <c r="E401" s="20" t="str">
        <f ca="1">IFERROR(__xludf.DUMMYFUNCTION("""COMPUTED_VALUE"""),"SI")</f>
        <v>SI</v>
      </c>
      <c r="F401" s="20" t="str">
        <f ca="1">IFERROR(__xludf.DUMMYFUNCTION("""COMPUTED_VALUE"""),"AMBIENTE;ASUNTOS INSTITUCIONALES, MUNICIPALES Y COMUNALES;LEGISLACIÓN GENERAL;TURISMO Y SU RELACIÓN CON EL DESARROLLO REGIONAL")</f>
        <v>AMBIENTE;ASUNTOS INSTITUCIONALES, MUNICIPALES Y COMUNALES;LEGISLACIÓN GENERAL;TURISMO Y SU RELACIÓN CON EL DESARROLLO REGIONAL</v>
      </c>
      <c r="G401" s="20">
        <f ca="1">IFERROR(__xludf.DUMMYFUNCTION("""COMPUTED_VALUE"""),4)</f>
        <v>4</v>
      </c>
      <c r="H401" s="20">
        <f ca="1">IFERROR(__xludf.DUMMYFUNCTION("""COMPUTED_VALUE"""),1)</f>
        <v>1</v>
      </c>
      <c r="I401" s="20">
        <f ca="1">IFERROR(__xludf.DUMMYFUNCTION("""COMPUTED_VALUE"""),1)</f>
        <v>1</v>
      </c>
      <c r="J401" s="20" t="str">
        <f ca="1">IFERROR(__xludf.DUMMYFUNCTION("""COMPUTED_VALUE"""),"Ley")</f>
        <v>Ley</v>
      </c>
      <c r="K401" s="20">
        <f ca="1">IFERROR(__xludf.DUMMYFUNCTION("""COMPUTED_VALUE"""),33412)</f>
        <v>33412</v>
      </c>
      <c r="L401" s="20" t="str">
        <f ca="1">IFERROR(__xludf.DUMMYFUNCTION("""COMPUTED_VALUE"""),"Poder Ejecutivo Provincial")</f>
        <v>Poder Ejecutivo Provincial</v>
      </c>
      <c r="M401" s="20" t="str">
        <f ca="1">IFERROR(__xludf.DUMMYFUNCTION("""COMPUTED_VALUE"""),"Cediendo a favor del Estado Nacional de acuerdo a las competencias previstas en la Ley 22.351 de Parques Nacionales, Monumentos nacionales y Reservas Nacionales; el dominio y jurisdicción ambiental de los terrenos comprendidos en el espejo de agua de la L"&amp;"aguna Mar Chiquita o Mar de Ansenuza y los humedales constituidos por los bañados del Río Dulce y la parte norte del espejo de agua de la Laguna de Mar Chiquita, a los fines de crear el Parque Nacional Ansenuza y Reserva Nacional Ansenuza")</f>
        <v>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v>
      </c>
      <c r="N401" s="20" t="str">
        <f ca="1">IFERROR(__xludf.DUMMYFUNCTION("""COMPUTED_VALUE"""),"NO")</f>
        <v>NO</v>
      </c>
      <c r="O401" s="20" t="str">
        <f ca="1">IFERROR(__xludf.DUMMYFUNCTION("""COMPUTED_VALUE"""),"SI")</f>
        <v>SI</v>
      </c>
      <c r="P401" s="20">
        <f ca="1">IFERROR(__xludf.DUMMYFUNCTION("""COMPUTED_VALUE"""),6)</f>
        <v>6</v>
      </c>
      <c r="Q401" s="113" t="str">
        <f ca="1">IFERROR(__xludf.DUMMYFUNCTION("""COMPUTED_VALUE"""),"https://gld.legislaturacba.gob.ar/_cdd/api/Documento/descargar?guid=6ea8224d-77a0-4c32-be5b-5d28357468a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v>
      </c>
      <c r="R401" s="113" t="str">
        <f ca="1">IFERROR(__xludf.DUMMYFUNCTION("""COMPUTED_VALUE"""),"https://www.youtube.com/watch?v=O0VgqOcu1Ok")</f>
        <v>https://www.youtube.com/watch?v=O0VgqOcu1Ok</v>
      </c>
      <c r="S401" s="113" t="str">
        <f ca="1">IFERROR(__xludf.DUMMYFUNCTION("""COMPUTED_VALUE"""),"https://gld.legislaturacba.gob.ar/Publics/Actas.aspx?id=Cv9D6ApKRew=;https://gld.legislaturacba.gob.ar/Publics/Actas.aspx?id=q5WfCqCu8Tw=;https://gld.legislaturacba.gob.ar/Publics/Actas.aspx?id=MhN0F7i8cwg=;https://gld.legislaturacba.gob.ar/Publics/Actas."&amp;"aspx?id=jwPaScIegQw=")</f>
        <v>https://gld.legislaturacba.gob.ar/Publics/Actas.aspx?id=Cv9D6ApKRew=;https://gld.legislaturacba.gob.ar/Publics/Actas.aspx?id=q5WfCqCu8Tw=;https://gld.legislaturacba.gob.ar/Publics/Actas.aspx?id=MhN0F7i8cwg=;https://gld.legislaturacba.gob.ar/Publics/Actas.aspx?id=jwPaScIegQw=</v>
      </c>
      <c r="T401" s="99">
        <f t="shared" ca="1" si="0"/>
        <v>0</v>
      </c>
    </row>
    <row r="402" spans="1:20">
      <c r="A402" s="20">
        <f ca="1">IFERROR(__xludf.DUMMYFUNCTION("""COMPUTED_VALUE"""),164)</f>
        <v>164</v>
      </c>
      <c r="B402" s="20">
        <f ca="1">IFERROR(__xludf.DUMMYFUNCTION("""COMPUTED_VALUE"""),2021)</f>
        <v>2021</v>
      </c>
      <c r="C402" s="20" t="str">
        <f ca="1">IFERROR(__xludf.DUMMYFUNCTION("""COMPUTED_VALUE"""),"VIRTUAL")</f>
        <v>VIRTUAL</v>
      </c>
      <c r="D402" s="96">
        <f ca="1">IFERROR(__xludf.DUMMYFUNCTION("""COMPUTED_VALUE"""),44427)</f>
        <v>44427</v>
      </c>
      <c r="E402" s="20" t="str">
        <f ca="1">IFERROR(__xludf.DUMMYFUNCTION("""COMPUTED_VALUE"""),"SI")</f>
        <v>SI</v>
      </c>
      <c r="F402" s="20" t="str">
        <f ca="1">IFERROR(__xludf.DUMMYFUNCTION("""COMPUTED_VALUE"""),"AGRICULTURA, GANADERÍA Y RECURSOS RENOVABLES;PROMOCIÓN Y DESARROLLO DE ECONOMÍAS REGIONALES Y PYMES")</f>
        <v>AGRICULTURA, GANADERÍA Y RECURSOS RENOVABLES;PROMOCIÓN Y DESARROLLO DE ECONOMÍAS REGIONALES Y PYMES</v>
      </c>
      <c r="G402" s="20">
        <f ca="1">IFERROR(__xludf.DUMMYFUNCTION("""COMPUTED_VALUE"""),2)</f>
        <v>2</v>
      </c>
      <c r="H402" s="20">
        <f ca="1">IFERROR(__xludf.DUMMYFUNCTION("""COMPUTED_VALUE"""),2)</f>
        <v>2</v>
      </c>
      <c r="I402" s="20">
        <f ca="1">IFERROR(__xludf.DUMMYFUNCTION("""COMPUTED_VALUE"""),1)</f>
        <v>1</v>
      </c>
      <c r="J402" s="20" t="str">
        <f ca="1">IFERROR(__xludf.DUMMYFUNCTION("""COMPUTED_VALUE"""),"Ley")</f>
        <v>Ley</v>
      </c>
      <c r="K402" s="20">
        <f ca="1">IFERROR(__xludf.DUMMYFUNCTION("""COMPUTED_VALUE"""),33273)</f>
        <v>33273</v>
      </c>
      <c r="L402" s="20" t="str">
        <f ca="1">IFERROR(__xludf.DUMMYFUNCTION("""COMPUTED_VALUE"""),"Poder Legislativo Provincial")</f>
        <v>Poder Legislativo Provincial</v>
      </c>
      <c r="M402" s="20" t="str">
        <f ca="1">IFERROR(__xludf.DUMMYFUNCTION("""COMPUTED_VALUE"""),"Creando el Programa Provincial de Promoción de la Agricultura Urbana")</f>
        <v>Creando el Programa Provincial de Promoción de la Agricultura Urbana</v>
      </c>
      <c r="N402" s="20" t="str">
        <f ca="1">IFERROR(__xludf.DUMMYFUNCTION("""COMPUTED_VALUE"""),"NO")</f>
        <v>NO</v>
      </c>
      <c r="O402" s="20" t="str">
        <f ca="1">IFERROR(__xludf.DUMMYFUNCTION("""COMPUTED_VALUE"""),"NO")</f>
        <v>NO</v>
      </c>
      <c r="P402" s="20">
        <f ca="1">IFERROR(__xludf.DUMMYFUNCTION("""COMPUTED_VALUE"""),0)</f>
        <v>0</v>
      </c>
      <c r="Q402" s="113" t="str">
        <f ca="1">IFERROR(__xludf.DUMMYFUNCTION("""COMPUTED_VALUE"""),"https://gld.legislaturacba.gob.ar/_cdd/api/Documento/descargar?guid=14216789-2bf9-4987-af1b-4490b73db801&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v>
      </c>
      <c r="R402" s="113" t="str">
        <f ca="1">IFERROR(__xludf.DUMMYFUNCTION("""COMPUTED_VALUE"""),"https://www.youtube.com/watch?v=ger3Q8VHvmY")</f>
        <v>https://www.youtube.com/watch?v=ger3Q8VHvmY</v>
      </c>
      <c r="S402" s="113" t="str">
        <f ca="1">IFERROR(__xludf.DUMMYFUNCTION("""COMPUTED_VALUE"""),"https://gld.legislaturacba.gob.ar/Publics/Actas.aspx?id=mbRHxobTh3g=;https://gld.legislaturacba.gob.ar/Publics/Actas.aspx?id=hvM3D8hFMyw=")</f>
        <v>https://gld.legislaturacba.gob.ar/Publics/Actas.aspx?id=mbRHxobTh3g=;https://gld.legislaturacba.gob.ar/Publics/Actas.aspx?id=hvM3D8hFMyw=</v>
      </c>
      <c r="T402" s="99">
        <f t="shared" ca="1" si="0"/>
        <v>0</v>
      </c>
    </row>
    <row r="403" spans="1:20">
      <c r="A403" s="20">
        <f ca="1">IFERROR(__xludf.DUMMYFUNCTION("""COMPUTED_VALUE"""),165)</f>
        <v>165</v>
      </c>
      <c r="B403" s="20">
        <f ca="1">IFERROR(__xludf.DUMMYFUNCTION("""COMPUTED_VALUE"""),2021)</f>
        <v>2021</v>
      </c>
      <c r="C403" s="20" t="str">
        <f ca="1">IFERROR(__xludf.DUMMYFUNCTION("""COMPUTED_VALUE"""),"VIRTUAL")</f>
        <v>VIRTUAL</v>
      </c>
      <c r="D403" s="96">
        <f ca="1">IFERROR(__xludf.DUMMYFUNCTION("""COMPUTED_VALUE"""),44427)</f>
        <v>44427</v>
      </c>
      <c r="E403" s="20" t="str">
        <f ca="1">IFERROR(__xludf.DUMMYFUNCTION("""COMPUTED_VALUE"""),"NO")</f>
        <v>NO</v>
      </c>
      <c r="F403" s="20" t="str">
        <f ca="1">IFERROR(__xludf.DUMMYFUNCTION("""COMPUTED_VALUE"""),"RELACIONES INTERNACIONALES, MERCOSUR Y COMERCIO EXTERIOR")</f>
        <v>RELACIONES INTERNACIONALES, MERCOSUR Y COMERCIO EXTERIOR</v>
      </c>
      <c r="G403" s="20">
        <f ca="1">IFERROR(__xludf.DUMMYFUNCTION("""COMPUTED_VALUE"""),1)</f>
        <v>1</v>
      </c>
      <c r="H403" s="20">
        <f ca="1">IFERROR(__xludf.DUMMYFUNCTION("""COMPUTED_VALUE"""),1)</f>
        <v>1</v>
      </c>
      <c r="I403" s="20">
        <f ca="1">IFERROR(__xludf.DUMMYFUNCTION("""COMPUTED_VALUE"""),1)</f>
        <v>1</v>
      </c>
      <c r="J403" s="20" t="str">
        <f ca="1">IFERROR(__xludf.DUMMYFUNCTION("""COMPUTED_VALUE"""),"NA")</f>
        <v>NA</v>
      </c>
      <c r="K403" s="20" t="str">
        <f ca="1">IFERROR(__xludf.DUMMYFUNCTION("""COMPUTED_VALUE"""),"NA")</f>
        <v>NA</v>
      </c>
      <c r="L403" s="20" t="str">
        <f ca="1">IFERROR(__xludf.DUMMYFUNCTION("""COMPUTED_VALUE"""),"NA")</f>
        <v>NA</v>
      </c>
      <c r="M403" s="20" t="str">
        <f ca="1">IFERROR(__xludf.DUMMYFUNCTION("""COMPUTED_VALUE"""),"Consejo Federal de Relaciones Exteriores y Comercio Internacional, las posibilidades de las exportaciones cordobesas en el contexto internacional y temas relacionados con el Comercio Exterior del país")</f>
        <v>Consejo Federal de Relaciones Exteriores y Comercio Internacional, las posibilidades de las exportaciones cordobesas en el contexto internacional y temas relacionados con el Comercio Exterior del país</v>
      </c>
      <c r="N403" s="20" t="str">
        <f ca="1">IFERROR(__xludf.DUMMYFUNCTION("""COMPUTED_VALUE"""),"NA")</f>
        <v>NA</v>
      </c>
      <c r="O403" s="20" t="str">
        <f ca="1">IFERROR(__xludf.DUMMYFUNCTION("""COMPUTED_VALUE"""),"SI")</f>
        <v>SI</v>
      </c>
      <c r="P403" s="20">
        <f ca="1">IFERROR(__xludf.DUMMYFUNCTION("""COMPUTED_VALUE"""),1)</f>
        <v>1</v>
      </c>
      <c r="Q403" s="113" t="str">
        <f ca="1">IFERROR(__xludf.DUMMYFUNCTION("""COMPUTED_VALUE"""),"https://gld.legislaturacba.gob.ar/_cdd/api/Documento/descargar?guid=39698c1f-00a7-4bc7-9efc-5199a7b58214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v>
      </c>
      <c r="R403" s="113" t="str">
        <f ca="1">IFERROR(__xludf.DUMMYFUNCTION("""COMPUTED_VALUE"""),"https://www.youtube.com/watch?v=2gnKDh0EiuU")</f>
        <v>https://www.youtube.com/watch?v=2gnKDh0EiuU</v>
      </c>
      <c r="S403" s="113" t="str">
        <f ca="1">IFERROR(__xludf.DUMMYFUNCTION("""COMPUTED_VALUE"""),"https://gld.legislaturacba.gob.ar/Publics/Actas.aspx?id=KbIxLCxOvO8=")</f>
        <v>https://gld.legislaturacba.gob.ar/Publics/Actas.aspx?id=KbIxLCxOvO8=</v>
      </c>
      <c r="T403" s="99">
        <f t="shared" ca="1" si="0"/>
        <v>0</v>
      </c>
    </row>
    <row r="404" spans="1:20">
      <c r="A404" s="20">
        <f ca="1">IFERROR(__xludf.DUMMYFUNCTION("""COMPUTED_VALUE"""),166)</f>
        <v>166</v>
      </c>
      <c r="B404" s="20">
        <f ca="1">IFERROR(__xludf.DUMMYFUNCTION("""COMPUTED_VALUE"""),2021)</f>
        <v>2021</v>
      </c>
      <c r="C404" s="20" t="str">
        <f ca="1">IFERROR(__xludf.DUMMYFUNCTION("""COMPUTED_VALUE"""),"VIRTUAL")</f>
        <v>VIRTUAL</v>
      </c>
      <c r="D404" s="96">
        <f ca="1">IFERROR(__xludf.DUMMYFUNCTION("""COMPUTED_VALUE"""),44427)</f>
        <v>44427</v>
      </c>
      <c r="E404" s="20" t="str">
        <f ca="1">IFERROR(__xludf.DUMMYFUNCTION("""COMPUTED_VALUE"""),"NO")</f>
        <v>NO</v>
      </c>
      <c r="F404" s="20" t="str">
        <f ca="1">IFERROR(__xludf.DUMMYFUNCTION("""COMPUTED_VALUE"""),"SALUD HUMANA")</f>
        <v>SALUD HUMANA</v>
      </c>
      <c r="G404" s="20">
        <f ca="1">IFERROR(__xludf.DUMMYFUNCTION("""COMPUTED_VALUE"""),1)</f>
        <v>1</v>
      </c>
      <c r="H404" s="20">
        <f ca="1">IFERROR(__xludf.DUMMYFUNCTION("""COMPUTED_VALUE"""),1)</f>
        <v>1</v>
      </c>
      <c r="I404" s="20">
        <f ca="1">IFERROR(__xludf.DUMMYFUNCTION("""COMPUTED_VALUE"""),1)</f>
        <v>1</v>
      </c>
      <c r="J404" s="20" t="str">
        <f ca="1">IFERROR(__xludf.DUMMYFUNCTION("""COMPUTED_VALUE"""),"Ley")</f>
        <v>Ley</v>
      </c>
      <c r="K404" s="20">
        <f ca="1">IFERROR(__xludf.DUMMYFUNCTION("""COMPUTED_VALUE"""),33003)</f>
        <v>33003</v>
      </c>
      <c r="L404" s="20" t="str">
        <f ca="1">IFERROR(__xludf.DUMMYFUNCTION("""COMPUTED_VALUE"""),"Poder Legislativo Provincial")</f>
        <v>Poder Legislativo Provincial</v>
      </c>
      <c r="M404" s="20" t="str">
        <f ca="1">IFERROR(__xludf.DUMMYFUNCTION("""COMPUTED_VALUE"""),"Creando un Fondo de Insumos y bono de emergencia para el sistema de salud ante el colapso sanitario")</f>
        <v>Creando un Fondo de Insumos y bono de emergencia para el sistema de salud ante el colapso sanitario</v>
      </c>
      <c r="N404" s="20" t="str">
        <f ca="1">IFERROR(__xludf.DUMMYFUNCTION("""COMPUTED_VALUE"""),"NO")</f>
        <v>NO</v>
      </c>
      <c r="O404" s="20" t="str">
        <f ca="1">IFERROR(__xludf.DUMMYFUNCTION("""COMPUTED_VALUE"""),"NO")</f>
        <v>NO</v>
      </c>
      <c r="P404" s="20">
        <f ca="1">IFERROR(__xludf.DUMMYFUNCTION("""COMPUTED_VALUE"""),0)</f>
        <v>0</v>
      </c>
      <c r="Q404" s="113" t="str">
        <f ca="1">IFERROR(__xludf.DUMMYFUNCTION("""COMPUTED_VALUE"""),"https://gld.legislaturacba.gob.ar/_cdd/api/Documento/descargar?guid=e8c34c5d-538b-43f2-a7e0-2725c3c5497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v>
      </c>
      <c r="R404" s="113" t="str">
        <f ca="1">IFERROR(__xludf.DUMMYFUNCTION("""COMPUTED_VALUE"""),"https://www.youtube.com/watch?v=sfv6khuJACM")</f>
        <v>https://www.youtube.com/watch?v=sfv6khuJACM</v>
      </c>
      <c r="S404" s="113" t="str">
        <f ca="1">IFERROR(__xludf.DUMMYFUNCTION("""COMPUTED_VALUE"""),"https://gld.legislaturacba.gob.ar/Publics/Actas.aspx?id=D-fAcS2XjdY=")</f>
        <v>https://gld.legislaturacba.gob.ar/Publics/Actas.aspx?id=D-fAcS2XjdY=</v>
      </c>
      <c r="T404" s="99">
        <f t="shared" ca="1" si="0"/>
        <v>0</v>
      </c>
    </row>
    <row r="405" spans="1:20">
      <c r="A405" s="20">
        <f ca="1">IFERROR(__xludf.DUMMYFUNCTION("""COMPUTED_VALUE"""),167)</f>
        <v>167</v>
      </c>
      <c r="B405" s="20">
        <f ca="1">IFERROR(__xludf.DUMMYFUNCTION("""COMPUTED_VALUE"""),2021)</f>
        <v>2021</v>
      </c>
      <c r="C405" s="20" t="str">
        <f ca="1">IFERROR(__xludf.DUMMYFUNCTION("""COMPUTED_VALUE"""),"VIRTUAL")</f>
        <v>VIRTUAL</v>
      </c>
      <c r="D405" s="96">
        <f ca="1">IFERROR(__xludf.DUMMYFUNCTION("""COMPUTED_VALUE"""),44432)</f>
        <v>44432</v>
      </c>
      <c r="E405" s="20" t="str">
        <f ca="1">IFERROR(__xludf.DUMMYFUNCTION("""COMPUTED_VALUE"""),"SI")</f>
        <v>SI</v>
      </c>
      <c r="F405" s="20" t="str">
        <f ca="1">IFERROR(__xludf.DUMMYFUNCTION("""COMPUTED_VALUE"""),"LEGISLACIÓN DEL TRABAJO, PREVISIÓN Y SEGURIDAD SOCIAL;SALUD HUMANA")</f>
        <v>LEGISLACIÓN DEL TRABAJO, PREVISIÓN Y SEGURIDAD SOCIAL;SALUD HUMANA</v>
      </c>
      <c r="G405" s="20">
        <f ca="1">IFERROR(__xludf.DUMMYFUNCTION("""COMPUTED_VALUE"""),2)</f>
        <v>2</v>
      </c>
      <c r="H405" s="20">
        <f ca="1">IFERROR(__xludf.DUMMYFUNCTION("""COMPUTED_VALUE"""),1)</f>
        <v>1</v>
      </c>
      <c r="I405" s="20">
        <f ca="1">IFERROR(__xludf.DUMMYFUNCTION("""COMPUTED_VALUE"""),1)</f>
        <v>1</v>
      </c>
      <c r="J405" s="20" t="str">
        <f ca="1">IFERROR(__xludf.DUMMYFUNCTION("""COMPUTED_VALUE"""),"Ley")</f>
        <v>Ley</v>
      </c>
      <c r="K405" s="20">
        <f ca="1">IFERROR(__xludf.DUMMYFUNCTION("""COMPUTED_VALUE"""),32825)</f>
        <v>32825</v>
      </c>
      <c r="L405" s="20" t="str">
        <f ca="1">IFERROR(__xludf.DUMMYFUNCTION("""COMPUTED_VALUE"""),"Poder Legislativo Provincial")</f>
        <v>Poder Legislativo Provincial</v>
      </c>
      <c r="M405" s="20" t="str">
        <f ca="1">IFERROR(__xludf.DUMMYFUNCTION("""COMPUTED_VALUE"""),"Regulando el ejercicio de los profesionales y auxiliares de la enfermería en la Provincia de Córdoba")</f>
        <v>Regulando el ejercicio de los profesionales y auxiliares de la enfermería en la Provincia de Córdoba</v>
      </c>
      <c r="N405" s="20" t="str">
        <f ca="1">IFERROR(__xludf.DUMMYFUNCTION("""COMPUTED_VALUE"""),"NO")</f>
        <v>NO</v>
      </c>
      <c r="O405" s="20" t="str">
        <f ca="1">IFERROR(__xludf.DUMMYFUNCTION("""COMPUTED_VALUE"""),"NO")</f>
        <v>NO</v>
      </c>
      <c r="P405" s="20">
        <f ca="1">IFERROR(__xludf.DUMMYFUNCTION("""COMPUTED_VALUE"""),0)</f>
        <v>0</v>
      </c>
      <c r="Q405" s="113" t="str">
        <f ca="1">IFERROR(__xludf.DUMMYFUNCTION("""COMPUTED_VALUE"""),"https://gld.legislaturacba.gob.ar/_cdd/api/Documento/descargar?guid=49f51250-840d-4006-8e80-9abd1c699339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v>
      </c>
      <c r="R405" s="113" t="str">
        <f ca="1">IFERROR(__xludf.DUMMYFUNCTION("""COMPUTED_VALUE"""),"https://www.youtube.com/watch?v=HipTyxwdteI")</f>
        <v>https://www.youtube.com/watch?v=HipTyxwdteI</v>
      </c>
      <c r="S405" s="113" t="str">
        <f ca="1">IFERROR(__xludf.DUMMYFUNCTION("""COMPUTED_VALUE"""),"https://gld.legislaturacba.gob.ar/Publics/Actas.aspx?id=LB08U3Zc8Js=;https://gld.legislaturacba.gob.ar/Publics/Actas.aspx?id=DhVyg8WhYOo=")</f>
        <v>https://gld.legislaturacba.gob.ar/Publics/Actas.aspx?id=LB08U3Zc8Js=;https://gld.legislaturacba.gob.ar/Publics/Actas.aspx?id=DhVyg8WhYOo=</v>
      </c>
      <c r="T405" s="99">
        <f t="shared" ca="1" si="0"/>
        <v>0</v>
      </c>
    </row>
    <row r="406" spans="1:20">
      <c r="A406" s="20">
        <f ca="1">IFERROR(__xludf.DUMMYFUNCTION("""COMPUTED_VALUE"""),168)</f>
        <v>168</v>
      </c>
      <c r="B406" s="20">
        <f ca="1">IFERROR(__xludf.DUMMYFUNCTION("""COMPUTED_VALUE"""),2021)</f>
        <v>2021</v>
      </c>
      <c r="C406" s="20" t="str">
        <f ca="1">IFERROR(__xludf.DUMMYFUNCTION("""COMPUTED_VALUE"""),"VIRTUAL")</f>
        <v>VIRTUAL</v>
      </c>
      <c r="D406" s="96">
        <f ca="1">IFERROR(__xludf.DUMMYFUNCTION("""COMPUTED_VALUE"""),44432)</f>
        <v>44432</v>
      </c>
      <c r="E406" s="20" t="str">
        <f ca="1">IFERROR(__xludf.DUMMYFUNCTION("""COMPUTED_VALUE"""),"NO")</f>
        <v>NO</v>
      </c>
      <c r="F406" s="20" t="str">
        <f ca="1">IFERROR(__xludf.DUMMYFUNCTION("""COMPUTED_VALUE"""),"PROMOCIÓN Y DEFENSA DE LOS DERECHOS DE LA NIÑEZ, ADOLESCENCIA Y FAMILIA")</f>
        <v>PROMOCIÓN Y DEFENSA DE LOS DERECHOS DE LA NIÑEZ, ADOLESCENCIA Y FAMILIA</v>
      </c>
      <c r="G406" s="20">
        <f ca="1">IFERROR(__xludf.DUMMYFUNCTION("""COMPUTED_VALUE"""),1)</f>
        <v>1</v>
      </c>
      <c r="H406" s="20">
        <f ca="1">IFERROR(__xludf.DUMMYFUNCTION("""COMPUTED_VALUE"""),1)</f>
        <v>1</v>
      </c>
      <c r="I406" s="20">
        <f ca="1">IFERROR(__xludf.DUMMYFUNCTION("""COMPUTED_VALUE"""),1)</f>
        <v>1</v>
      </c>
      <c r="J406" s="20" t="str">
        <f ca="1">IFERROR(__xludf.DUMMYFUNCTION("""COMPUTED_VALUE"""),"Declaración")</f>
        <v>Declaración</v>
      </c>
      <c r="K406" s="20">
        <f ca="1">IFERROR(__xludf.DUMMYFUNCTION("""COMPUTED_VALUE"""),33539)</f>
        <v>33539</v>
      </c>
      <c r="L406" s="20" t="str">
        <f ca="1">IFERROR(__xludf.DUMMYFUNCTION("""COMPUTED_VALUE"""),"Poder Legislativo Provincial")</f>
        <v>Poder Legislativo Provincial</v>
      </c>
      <c r="M406" s="20" t="str">
        <f ca="1">IFERROR(__xludf.DUMMYFUNCTION("""COMPUTED_VALUE"""),"Proyecto de Declaración adhiriendo a las Primeras Jornadas Federales sobre Adopción “Abriendo Caminos”")</f>
        <v>Proyecto de Declaración adhiriendo a las Primeras Jornadas Federales sobre Adopción “Abriendo Caminos”</v>
      </c>
      <c r="N406" s="20" t="str">
        <f ca="1">IFERROR(__xludf.DUMMYFUNCTION("""COMPUTED_VALUE"""),"NO")</f>
        <v>NO</v>
      </c>
      <c r="O406" s="20" t="str">
        <f ca="1">IFERROR(__xludf.DUMMYFUNCTION("""COMPUTED_VALUE"""),"SI")</f>
        <v>SI</v>
      </c>
      <c r="P406" s="20">
        <f ca="1">IFERROR(__xludf.DUMMYFUNCTION("""COMPUTED_VALUE"""),7)</f>
        <v>7</v>
      </c>
      <c r="Q406" s="113" t="str">
        <f ca="1">IFERROR(__xludf.DUMMYFUNCTION("""COMPUTED_VALUE"""),"https://gld.legislaturacba.gob.ar/_cdd/api/Documento/descargar?guid=3f5c5a73-5910-4b2f-86de-e4167fab6ec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v>
      </c>
      <c r="R406" s="20" t="str">
        <f ca="1">IFERROR(__xludf.DUMMYFUNCTION("""COMPUTED_VALUE"""),"NA")</f>
        <v>NA</v>
      </c>
      <c r="S406" s="113" t="str">
        <f ca="1">IFERROR(__xludf.DUMMYFUNCTION("""COMPUTED_VALUE"""),"https://gld.legislaturacba.gob.ar/Publics/Actas.aspx?id=WSsFsBypBwI=")</f>
        <v>https://gld.legislaturacba.gob.ar/Publics/Actas.aspx?id=WSsFsBypBwI=</v>
      </c>
      <c r="T406" s="99">
        <f t="shared" ca="1" si="0"/>
        <v>0</v>
      </c>
    </row>
    <row r="407" spans="1:20">
      <c r="A407" s="20">
        <f ca="1">IFERROR(__xludf.DUMMYFUNCTION("""COMPUTED_VALUE"""),169)</f>
        <v>169</v>
      </c>
      <c r="B407" s="20">
        <f ca="1">IFERROR(__xludf.DUMMYFUNCTION("""COMPUTED_VALUE"""),2021)</f>
        <v>2021</v>
      </c>
      <c r="C407" s="20" t="str">
        <f ca="1">IFERROR(__xludf.DUMMYFUNCTION("""COMPUTED_VALUE"""),"VIRTUAL")</f>
        <v>VIRTUAL</v>
      </c>
      <c r="D407" s="96">
        <f ca="1">IFERROR(__xludf.DUMMYFUNCTION("""COMPUTED_VALUE"""),44432)</f>
        <v>44432</v>
      </c>
      <c r="E407" s="20" t="str">
        <f ca="1">IFERROR(__xludf.DUMMYFUNCTION("""COMPUTED_VALUE"""),"SI")</f>
        <v>SI</v>
      </c>
      <c r="F407" s="20" t="str">
        <f ca="1">IFERROR(__xludf.DUMMYFUNCTION("""COMPUTED_VALUE"""),"AMBIENTE;ASUNTOS INSTITUCIONALES, MUNICIPALES Y COMUNALES;LEGISLACIÓN GENERAL;PROMOCIÓN Y DESARROLLO DE LAS COMUNIDADES REGIONALES;TURISMO Y SU RELACIÓN CON EL DESARROLLO REGIONAL")</f>
        <v>AMBIENTE;ASUNTOS INSTITUCIONALES, MUNICIPALES Y COMUNALES;LEGISLACIÓN GENERAL;PROMOCIÓN Y DESARROLLO DE LAS COMUNIDADES REGIONALES;TURISMO Y SU RELACIÓN CON EL DESARROLLO REGIONAL</v>
      </c>
      <c r="G407" s="20">
        <f ca="1">IFERROR(__xludf.DUMMYFUNCTION("""COMPUTED_VALUE"""),5)</f>
        <v>5</v>
      </c>
      <c r="H407" s="20">
        <f ca="1">IFERROR(__xludf.DUMMYFUNCTION("""COMPUTED_VALUE"""),1)</f>
        <v>1</v>
      </c>
      <c r="I407" s="20">
        <f ca="1">IFERROR(__xludf.DUMMYFUNCTION("""COMPUTED_VALUE"""),1)</f>
        <v>1</v>
      </c>
      <c r="J407" s="20" t="str">
        <f ca="1">IFERROR(__xludf.DUMMYFUNCTION("""COMPUTED_VALUE"""),"Ley")</f>
        <v>Ley</v>
      </c>
      <c r="K407" s="20">
        <f ca="1">IFERROR(__xludf.DUMMYFUNCTION("""COMPUTED_VALUE"""),33412)</f>
        <v>33412</v>
      </c>
      <c r="L407" s="20" t="str">
        <f ca="1">IFERROR(__xludf.DUMMYFUNCTION("""COMPUTED_VALUE"""),"Poder Ejecutivo Provincial")</f>
        <v>Poder Ejecutivo Provincial</v>
      </c>
      <c r="M407" s="20" t="str">
        <f ca="1">IFERROR(__xludf.DUMMYFUNCTION("""COMPUTED_VALUE"""),"Cediendo a favor del Estado Nacional de acuerdo a las competencias previstas en la Ley 22.351 de Parques Nacionales, Monumentos nacionales y Reservas Nacionales; el dominio y jurisdicción ambiental de los terrenos comprendidos en el espejo de agua de la L"&amp;"aguna Mar Chiquita o Mar de Ansenuza y los humedales constituidos por los bañados del Río Dulce y la parte norte del espejo de agua de la Laguna de Mar Chiquita, a los fines de crear el Parque Nacional Ansenuza y Reserva Nacional Ansenuza")</f>
        <v>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v>
      </c>
      <c r="N407" s="20" t="str">
        <f ca="1">IFERROR(__xludf.DUMMYFUNCTION("""COMPUTED_VALUE"""),"SI")</f>
        <v>SI</v>
      </c>
      <c r="O407" s="20" t="str">
        <f ca="1">IFERROR(__xludf.DUMMYFUNCTION("""COMPUTED_VALUE"""),"NO")</f>
        <v>NO</v>
      </c>
      <c r="P407" s="20">
        <f ca="1">IFERROR(__xludf.DUMMYFUNCTION("""COMPUTED_VALUE"""),0)</f>
        <v>0</v>
      </c>
      <c r="Q407" s="113" t="str">
        <f ca="1">IFERROR(__xludf.DUMMYFUNCTION("""COMPUTED_VALUE"""),"https://gld.legislaturacba.gob.ar/_cdd/api/Documento/descargar?guid=675aeac8-aef9-4e13-91b8-402a7fbda052&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v>
      </c>
      <c r="R407" s="20" t="str">
        <f ca="1">IFERROR(__xludf.DUMMYFUNCTION("""COMPUTED_VALUE"""),"NA")</f>
        <v>NA</v>
      </c>
      <c r="S407" s="113" t="str">
        <f ca="1">IFERROR(__xludf.DUMMYFUNCTION("""COMPUTED_VALUE"""),"https://gld.legislaturacba.gob.ar/Publics/Actas.aspx?id=rxi9_pwrpmk=;https://gld.legislaturacba.gob.ar/Publics/Actas.aspx?id=JaqBMqnEpVk=;https://gld.legislaturacba.gob.ar/Publics/Actas.aspx?id=_9xLcdg04aU=;https://gld.legislaturacba.gob.ar/Publics/Actas."&amp;"aspx?id=fIp0B02BCYE=;https://gld.legislaturacba.gob.ar/Publics/Actas.aspx?id=Lf2s-7fnWOg=")</f>
        <v>https://gld.legislaturacba.gob.ar/Publics/Actas.aspx?id=rxi9_pwrpmk=;https://gld.legislaturacba.gob.ar/Publics/Actas.aspx?id=JaqBMqnEpVk=;https://gld.legislaturacba.gob.ar/Publics/Actas.aspx?id=_9xLcdg04aU=;https://gld.legislaturacba.gob.ar/Publics/Actas.aspx?id=fIp0B02BCYE=;https://gld.legislaturacba.gob.ar/Publics/Actas.aspx?id=Lf2s-7fnWOg=</v>
      </c>
      <c r="T407" s="99">
        <f t="shared" ca="1" si="0"/>
        <v>0</v>
      </c>
    </row>
    <row r="408" spans="1:20">
      <c r="A408" s="20">
        <f ca="1">IFERROR(__xludf.DUMMYFUNCTION("""COMPUTED_VALUE"""),170)</f>
        <v>170</v>
      </c>
      <c r="B408" s="20">
        <f ca="1">IFERROR(__xludf.DUMMYFUNCTION("""COMPUTED_VALUE"""),2021)</f>
        <v>2021</v>
      </c>
      <c r="C408" s="20" t="str">
        <f ca="1">IFERROR(__xludf.DUMMYFUNCTION("""COMPUTED_VALUE"""),"VIRTUAL")</f>
        <v>VIRTUAL</v>
      </c>
      <c r="D408" s="96">
        <f ca="1">IFERROR(__xludf.DUMMYFUNCTION("""COMPUTED_VALUE"""),44434)</f>
        <v>44434</v>
      </c>
      <c r="E408" s="20" t="str">
        <f ca="1">IFERROR(__xludf.DUMMYFUNCTION("""COMPUTED_VALUE"""),"NO")</f>
        <v>NO</v>
      </c>
      <c r="F408" s="20" t="str">
        <f ca="1">IFERROR(__xludf.DUMMYFUNCTION("""COMPUTED_VALUE"""),"EDUCACIÓN, CULTURA, CIENCIA, TECNOLOGÍA E INFORMÁTICA")</f>
        <v>EDUCACIÓN, CULTURA, CIENCIA, TECNOLOGÍA E INFORMÁTICA</v>
      </c>
      <c r="G408" s="20">
        <f ca="1">IFERROR(__xludf.DUMMYFUNCTION("""COMPUTED_VALUE"""),1)</f>
        <v>1</v>
      </c>
      <c r="H408" s="20">
        <f ca="1">IFERROR(__xludf.DUMMYFUNCTION("""COMPUTED_VALUE"""),1)</f>
        <v>1</v>
      </c>
      <c r="I408" s="20">
        <f ca="1">IFERROR(__xludf.DUMMYFUNCTION("""COMPUTED_VALUE"""),1)</f>
        <v>1</v>
      </c>
      <c r="J408" s="20" t="str">
        <f ca="1">IFERROR(__xludf.DUMMYFUNCTION("""COMPUTED_VALUE"""),"Ley")</f>
        <v>Ley</v>
      </c>
      <c r="K408" s="20">
        <f ca="1">IFERROR(__xludf.DUMMYFUNCTION("""COMPUTED_VALUE"""),32472)</f>
        <v>32472</v>
      </c>
      <c r="L408" s="20" t="str">
        <f ca="1">IFERROR(__xludf.DUMMYFUNCTION("""COMPUTED_VALUE"""),"Poder Legislativo Provincial")</f>
        <v>Poder Legislativo Provincial</v>
      </c>
      <c r="M408" s="20" t="str">
        <f ca="1">IFERROR(__xludf.DUMMYFUNCTION("""COMPUTED_VALUE"""),"Estableciendo el 18 de junio de cada año como Día Provincial de la Jota Cordobesa")</f>
        <v>Estableciendo el 18 de junio de cada año como Día Provincial de la Jota Cordobesa</v>
      </c>
      <c r="N408" s="20" t="str">
        <f ca="1">IFERROR(__xludf.DUMMYFUNCTION("""COMPUTED_VALUE"""),"SI")</f>
        <v>SI</v>
      </c>
      <c r="O408" s="20" t="str">
        <f ca="1">IFERROR(__xludf.DUMMYFUNCTION("""COMPUTED_VALUE"""),"SI")</f>
        <v>SI</v>
      </c>
      <c r="P408" s="20">
        <f ca="1">IFERROR(__xludf.DUMMYFUNCTION("""COMPUTED_VALUE"""),4)</f>
        <v>4</v>
      </c>
      <c r="Q408" s="113" t="str">
        <f ca="1">IFERROR(__xludf.DUMMYFUNCTION("""COMPUTED_VALUE"""),"https://gld.legislaturacba.gob.ar/_cdd/api/Documento/descargar?guid=08388edb-f888-439c-aee7-cb024ed96fc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v>
      </c>
      <c r="R408" s="113" t="str">
        <f ca="1">IFERROR(__xludf.DUMMYFUNCTION("""COMPUTED_VALUE"""),"https://www.youtube.com/watch?v=VEwNO-aG6F8")</f>
        <v>https://www.youtube.com/watch?v=VEwNO-aG6F8</v>
      </c>
      <c r="S408" s="113" t="str">
        <f ca="1">IFERROR(__xludf.DUMMYFUNCTION("""COMPUTED_VALUE"""),"https://gld.legislaturacba.gob.ar/Publics/Actas.aspx?id=zigLZ5rVo2I=")</f>
        <v>https://gld.legislaturacba.gob.ar/Publics/Actas.aspx?id=zigLZ5rVo2I=</v>
      </c>
      <c r="T408" s="99">
        <f t="shared" ca="1" si="0"/>
        <v>0</v>
      </c>
    </row>
    <row r="409" spans="1:20">
      <c r="A409" s="20">
        <f ca="1">IFERROR(__xludf.DUMMYFUNCTION("""COMPUTED_VALUE"""),171)</f>
        <v>171</v>
      </c>
      <c r="B409" s="20">
        <f ca="1">IFERROR(__xludf.DUMMYFUNCTION("""COMPUTED_VALUE"""),2021)</f>
        <v>2021</v>
      </c>
      <c r="C409" s="20" t="str">
        <f ca="1">IFERROR(__xludf.DUMMYFUNCTION("""COMPUTED_VALUE"""),"VIRTUAL")</f>
        <v>VIRTUAL</v>
      </c>
      <c r="D409" s="96">
        <f ca="1">IFERROR(__xludf.DUMMYFUNCTION("""COMPUTED_VALUE"""),44434)</f>
        <v>44434</v>
      </c>
      <c r="E409" s="20" t="str">
        <f ca="1">IFERROR(__xludf.DUMMYFUNCTION("""COMPUTED_VALUE"""),"NO")</f>
        <v>NO</v>
      </c>
      <c r="F409" s="20" t="str">
        <f ca="1">IFERROR(__xludf.DUMMYFUNCTION("""COMPUTED_VALUE"""),"ASUNTOS INSTITUCIONALES, MUNICIPALES Y COMUNALES")</f>
        <v>ASUNTOS INSTITUCIONALES, MUNICIPALES Y COMUNALES</v>
      </c>
      <c r="G409" s="20">
        <f ca="1">IFERROR(__xludf.DUMMYFUNCTION("""COMPUTED_VALUE"""),1)</f>
        <v>1</v>
      </c>
      <c r="H409" s="20">
        <f ca="1">IFERROR(__xludf.DUMMYFUNCTION("""COMPUTED_VALUE"""),1)</f>
        <v>1</v>
      </c>
      <c r="I409" s="20">
        <f ca="1">IFERROR(__xludf.DUMMYFUNCTION("""COMPUTED_VALUE"""),1)</f>
        <v>1</v>
      </c>
      <c r="J409" s="20" t="str">
        <f ca="1">IFERROR(__xludf.DUMMYFUNCTION("""COMPUTED_VALUE"""),"Ley")</f>
        <v>Ley</v>
      </c>
      <c r="K409" s="20">
        <f ca="1">IFERROR(__xludf.DUMMYFUNCTION("""COMPUTED_VALUE"""),33129)</f>
        <v>33129</v>
      </c>
      <c r="L409" s="20" t="str">
        <f ca="1">IFERROR(__xludf.DUMMYFUNCTION("""COMPUTED_VALUE"""),"Poder Ejecutivo Provincial")</f>
        <v>Poder Ejecutivo Provincial</v>
      </c>
      <c r="M409" s="20" t="str">
        <f ca="1">IFERROR(__xludf.DUMMYFUNCTION("""COMPUTED_VALUE"""),"Modificando el radio municipal de la localidad de Santa Eufemia, Departamento Juarez Celman")</f>
        <v>Modificando el radio municipal de la localidad de Santa Eufemia, Departamento Juarez Celman</v>
      </c>
      <c r="N409" s="20" t="str">
        <f ca="1">IFERROR(__xludf.DUMMYFUNCTION("""COMPUTED_VALUE"""),"SI")</f>
        <v>SI</v>
      </c>
      <c r="O409" s="20" t="str">
        <f ca="1">IFERROR(__xludf.DUMMYFUNCTION("""COMPUTED_VALUE"""),"NO")</f>
        <v>NO</v>
      </c>
      <c r="P409" s="20">
        <f ca="1">IFERROR(__xludf.DUMMYFUNCTION("""COMPUTED_VALUE"""),0)</f>
        <v>0</v>
      </c>
      <c r="Q409" s="113" t="str">
        <f ca="1">IFERROR(__xludf.DUMMYFUNCTION("""COMPUTED_VALUE"""),"https://gld.legislaturacba.gob.ar/_cdd/api/Documento/descargar?guid=8dc86c8b-a77f-48bb-bc69-6e8a32d261f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v>
      </c>
      <c r="R409" s="113" t="str">
        <f ca="1">IFERROR(__xludf.DUMMYFUNCTION("""COMPUTED_VALUE"""),"https://www.youtube.com/watch?v=gosAJzmVfGM")</f>
        <v>https://www.youtube.com/watch?v=gosAJzmVfGM</v>
      </c>
      <c r="S409" s="113" t="str">
        <f ca="1">IFERROR(__xludf.DUMMYFUNCTION("""COMPUTED_VALUE"""),"https://gld.legislaturacba.gob.ar/Publics/Actas.aspx?id=9rtykumbLY8=")</f>
        <v>https://gld.legislaturacba.gob.ar/Publics/Actas.aspx?id=9rtykumbLY8=</v>
      </c>
      <c r="T409" s="99">
        <f t="shared" ca="1" si="0"/>
        <v>0</v>
      </c>
    </row>
    <row r="410" spans="1:20">
      <c r="A410" s="20">
        <f ca="1">IFERROR(__xludf.DUMMYFUNCTION("""COMPUTED_VALUE"""),172)</f>
        <v>172</v>
      </c>
      <c r="B410" s="20">
        <f ca="1">IFERROR(__xludf.DUMMYFUNCTION("""COMPUTED_VALUE"""),2021)</f>
        <v>2021</v>
      </c>
      <c r="C410" s="20" t="str">
        <f ca="1">IFERROR(__xludf.DUMMYFUNCTION("""COMPUTED_VALUE"""),"VIRTUAL")</f>
        <v>VIRTUAL</v>
      </c>
      <c r="D410" s="96">
        <f ca="1">IFERROR(__xludf.DUMMYFUNCTION("""COMPUTED_VALUE"""),44439)</f>
        <v>44439</v>
      </c>
      <c r="E410" s="20" t="str">
        <f ca="1">IFERROR(__xludf.DUMMYFUNCTION("""COMPUTED_VALUE"""),"SI")</f>
        <v>SI</v>
      </c>
      <c r="F410" s="20" t="str">
        <f ca="1">IFERROR(__xludf.DUMMYFUNCTION("""COMPUTED_VALUE"""),"LEGISLACIÓN DEL TRABAJO, PREVISIÓN Y SEGURIDAD SOCIAL;SALUD HUMANA")</f>
        <v>LEGISLACIÓN DEL TRABAJO, PREVISIÓN Y SEGURIDAD SOCIAL;SALUD HUMANA</v>
      </c>
      <c r="G410" s="20">
        <f ca="1">IFERROR(__xludf.DUMMYFUNCTION("""COMPUTED_VALUE"""),2)</f>
        <v>2</v>
      </c>
      <c r="H410" s="20">
        <f ca="1">IFERROR(__xludf.DUMMYFUNCTION("""COMPUTED_VALUE"""),1)</f>
        <v>1</v>
      </c>
      <c r="I410" s="20">
        <f ca="1">IFERROR(__xludf.DUMMYFUNCTION("""COMPUTED_VALUE"""),1)</f>
        <v>1</v>
      </c>
      <c r="J410" s="20" t="str">
        <f ca="1">IFERROR(__xludf.DUMMYFUNCTION("""COMPUTED_VALUE"""),"Ley")</f>
        <v>Ley</v>
      </c>
      <c r="K410" s="20">
        <f ca="1">IFERROR(__xludf.DUMMYFUNCTION("""COMPUTED_VALUE"""),32825)</f>
        <v>32825</v>
      </c>
      <c r="L410" s="20" t="str">
        <f ca="1">IFERROR(__xludf.DUMMYFUNCTION("""COMPUTED_VALUE"""),"Poder Legislativo Provincial")</f>
        <v>Poder Legislativo Provincial</v>
      </c>
      <c r="M410" s="20" t="str">
        <f ca="1">IFERROR(__xludf.DUMMYFUNCTION("""COMPUTED_VALUE"""),"Regulando el ejercicio de los profesionales y auxiliares de la enfermería en la Provincia de Córdoba")</f>
        <v>Regulando el ejercicio de los profesionales y auxiliares de la enfermería en la Provincia de Córdoba</v>
      </c>
      <c r="N410" s="20" t="str">
        <f ca="1">IFERROR(__xludf.DUMMYFUNCTION("""COMPUTED_VALUE"""),"NO")</f>
        <v>NO</v>
      </c>
      <c r="O410" s="20" t="str">
        <f ca="1">IFERROR(__xludf.DUMMYFUNCTION("""COMPUTED_VALUE"""),"SI")</f>
        <v>SI</v>
      </c>
      <c r="P410" s="20">
        <f ca="1">IFERROR(__xludf.DUMMYFUNCTION("""COMPUTED_VALUE"""),2)</f>
        <v>2</v>
      </c>
      <c r="Q410" s="113" t="str">
        <f ca="1">IFERROR(__xludf.DUMMYFUNCTION("""COMPUTED_VALUE"""),"https://gld.legislaturacba.gob.ar/_cdd/api/Documento/descargar?guid=0f32aab4-c59b-41fc-a655-4a8de4e23e67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v>
      </c>
      <c r="R410" s="113" t="str">
        <f ca="1">IFERROR(__xludf.DUMMYFUNCTION("""COMPUTED_VALUE"""),"https://www.youtube.com/watch?v=weduzrR5L4s")</f>
        <v>https://www.youtube.com/watch?v=weduzrR5L4s</v>
      </c>
      <c r="S410" s="113" t="str">
        <f ca="1">IFERROR(__xludf.DUMMYFUNCTION("""COMPUTED_VALUE"""),"https://gld.legislaturacba.gob.ar/Publics/Actas.aspx?id=Lk6ehE3VoFk=;https://gld.legislaturacba.gob.ar/Publics/Actas.aspx?id=XhUcA_ei_fk=")</f>
        <v>https://gld.legislaturacba.gob.ar/Publics/Actas.aspx?id=Lk6ehE3VoFk=;https://gld.legislaturacba.gob.ar/Publics/Actas.aspx?id=XhUcA_ei_fk=</v>
      </c>
      <c r="T410" s="99">
        <f t="shared" ca="1" si="0"/>
        <v>0</v>
      </c>
    </row>
    <row r="411" spans="1:20">
      <c r="A411" s="20">
        <f ca="1">IFERROR(__xludf.DUMMYFUNCTION("""COMPUTED_VALUE"""),173)</f>
        <v>173</v>
      </c>
      <c r="B411" s="20">
        <f ca="1">IFERROR(__xludf.DUMMYFUNCTION("""COMPUTED_VALUE"""),2021)</f>
        <v>2021</v>
      </c>
      <c r="C411" s="20" t="str">
        <f ca="1">IFERROR(__xludf.DUMMYFUNCTION("""COMPUTED_VALUE"""),"VIRTUAL")</f>
        <v>VIRTUAL</v>
      </c>
      <c r="D411" s="96">
        <f ca="1">IFERROR(__xludf.DUMMYFUNCTION("""COMPUTED_VALUE"""),44439)</f>
        <v>44439</v>
      </c>
      <c r="E411" s="20" t="str">
        <f ca="1">IFERROR(__xludf.DUMMYFUNCTION("""COMPUTED_VALUE"""),"NO")</f>
        <v>NO</v>
      </c>
      <c r="F411" s="20" t="str">
        <f ca="1">IFERROR(__xludf.DUMMYFUNCTION("""COMPUTED_VALUE"""),"LEGISLACIÓN GENERAL")</f>
        <v>LEGISLACIÓN GENERAL</v>
      </c>
      <c r="G411" s="20">
        <f ca="1">IFERROR(__xludf.DUMMYFUNCTION("""COMPUTED_VALUE"""),1)</f>
        <v>1</v>
      </c>
      <c r="H411" s="20">
        <f ca="1">IFERROR(__xludf.DUMMYFUNCTION("""COMPUTED_VALUE"""),3)</f>
        <v>3</v>
      </c>
      <c r="I411" s="20">
        <f ca="1">IFERROR(__xludf.DUMMYFUNCTION("""COMPUTED_VALUE"""),1)</f>
        <v>1</v>
      </c>
      <c r="J411" s="20" t="str">
        <f ca="1">IFERROR(__xludf.DUMMYFUNCTION("""COMPUTED_VALUE"""),"Ley")</f>
        <v>Ley</v>
      </c>
      <c r="K411" s="20">
        <f ca="1">IFERROR(__xludf.DUMMYFUNCTION("""COMPUTED_VALUE"""),30639)</f>
        <v>30639</v>
      </c>
      <c r="L411" s="20" t="str">
        <f ca="1">IFERROR(__xludf.DUMMYFUNCTION("""COMPUTED_VALUE"""),"Poder Legislativo Provincial")</f>
        <v>Poder Legislativo Provincial</v>
      </c>
      <c r="M411" s="20" t="str">
        <f ca="1">IFERROR(__xludf.DUMMYFUNCTION("""COMPUTED_VALUE"""),"Instituyendo el día 29 de mayo de cada año como ""Día del Licenciado en producción de bio-imágenes"", en honor a la fecha del reconocimiento para todo el territorio argentino por parte del Ministerio de Educación (Resolución 969/98) del título mencionado,"&amp;" de la Escuela de Tecnología Médica dependiente de la Facultad de Ciencias Médicas de la Universidad Nacional de Córdoba")</f>
        <v>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v>
      </c>
      <c r="N411" s="20" t="str">
        <f ca="1">IFERROR(__xludf.DUMMYFUNCTION("""COMPUTED_VALUE"""),"NO")</f>
        <v>NO</v>
      </c>
      <c r="O411" s="20" t="str">
        <f ca="1">IFERROR(__xludf.DUMMYFUNCTION("""COMPUTED_VALUE"""),"NO")</f>
        <v>NO</v>
      </c>
      <c r="P411" s="20">
        <f ca="1">IFERROR(__xludf.DUMMYFUNCTION("""COMPUTED_VALUE"""),0)</f>
        <v>0</v>
      </c>
      <c r="Q411" s="113" t="str">
        <f ca="1">IFERROR(__xludf.DUMMYFUNCTION("""COMPUTED_VALUE"""),"https://gld.legislaturacba.gob.ar/_cdd/api/Documento/descargar?guid=a0691c9a-2efa-41ea-a719-0875ba6f600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v>
      </c>
      <c r="R411" s="113" t="str">
        <f ca="1">IFERROR(__xludf.DUMMYFUNCTION("""COMPUTED_VALUE"""),"https://www.youtube.com/watch?v=RsPnoR6XsjU")</f>
        <v>https://www.youtube.com/watch?v=RsPnoR6XsjU</v>
      </c>
      <c r="S411" s="113" t="str">
        <f ca="1">IFERROR(__xludf.DUMMYFUNCTION("""COMPUTED_VALUE"""),"https://gld.legislaturacba.gob.ar/Publics/Actas.aspx?id=uVszuvJcJqg=")</f>
        <v>https://gld.legislaturacba.gob.ar/Publics/Actas.aspx?id=uVszuvJcJqg=</v>
      </c>
      <c r="T411" s="99">
        <f t="shared" ca="1" si="0"/>
        <v>0</v>
      </c>
    </row>
    <row r="412" spans="1:20">
      <c r="A412" s="20">
        <f ca="1">IFERROR(__xludf.DUMMYFUNCTION("""COMPUTED_VALUE"""),174)</f>
        <v>174</v>
      </c>
      <c r="B412" s="20">
        <f ca="1">IFERROR(__xludf.DUMMYFUNCTION("""COMPUTED_VALUE"""),2021)</f>
        <v>2021</v>
      </c>
      <c r="C412" s="20" t="str">
        <f ca="1">IFERROR(__xludf.DUMMYFUNCTION("""COMPUTED_VALUE"""),"VIRTUAL")</f>
        <v>VIRTUAL</v>
      </c>
      <c r="D412" s="96">
        <f ca="1">IFERROR(__xludf.DUMMYFUNCTION("""COMPUTED_VALUE"""),44440)</f>
        <v>44440</v>
      </c>
      <c r="E412" s="20" t="str">
        <f ca="1">IFERROR(__xludf.DUMMYFUNCTION("""COMPUTED_VALUE"""),"NO")</f>
        <v>NO</v>
      </c>
      <c r="F412" s="20" t="str">
        <f ca="1">IFERROR(__xludf.DUMMYFUNCTION("""COMPUTED_VALUE"""),"DEPORTES Y RECREACIÓN")</f>
        <v>DEPORTES Y RECREACIÓN</v>
      </c>
      <c r="G412" s="20">
        <f ca="1">IFERROR(__xludf.DUMMYFUNCTION("""COMPUTED_VALUE"""),1)</f>
        <v>1</v>
      </c>
      <c r="H412" s="20">
        <f ca="1">IFERROR(__xludf.DUMMYFUNCTION("""COMPUTED_VALUE"""),1)</f>
        <v>1</v>
      </c>
      <c r="I412" s="20">
        <f ca="1">IFERROR(__xludf.DUMMYFUNCTION("""COMPUTED_VALUE"""),1)</f>
        <v>1</v>
      </c>
      <c r="J412" s="20" t="str">
        <f ca="1">IFERROR(__xludf.DUMMYFUNCTION("""COMPUTED_VALUE"""),"Declaración")</f>
        <v>Declaración</v>
      </c>
      <c r="K412" s="20">
        <f ca="1">IFERROR(__xludf.DUMMYFUNCTION("""COMPUTED_VALUE"""),33603)</f>
        <v>33603</v>
      </c>
      <c r="L412" s="20" t="str">
        <f ca="1">IFERROR(__xludf.DUMMYFUNCTION("""COMPUTED_VALUE"""),"Poder Legislativo Provincial")</f>
        <v>Poder Legislativo Provincial</v>
      </c>
      <c r="M412" s="20" t="str">
        <f ca="1">IFERROR(__xludf.DUMMYFUNCTION("""COMPUTED_VALUE"""),"Declaración de beneplácito por el centésimo aniversario de la fundación de la Asociación Argentina de Tenis")</f>
        <v>Declaración de beneplácito por el centésimo aniversario de la fundación de la Asociación Argentina de Tenis</v>
      </c>
      <c r="N412" s="20" t="str">
        <f ca="1">IFERROR(__xludf.DUMMYFUNCTION("""COMPUTED_VALUE"""),"NO")</f>
        <v>NO</v>
      </c>
      <c r="O412" s="20" t="str">
        <f ca="1">IFERROR(__xludf.DUMMYFUNCTION("""COMPUTED_VALUE"""),"NO")</f>
        <v>NO</v>
      </c>
      <c r="P412" s="20">
        <f ca="1">IFERROR(__xludf.DUMMYFUNCTION("""COMPUTED_VALUE"""),0)</f>
        <v>0</v>
      </c>
      <c r="Q412" s="113" t="str">
        <f ca="1">IFERROR(__xludf.DUMMYFUNCTION("""COMPUTED_VALUE"""),"https://gld.legislaturacba.gob.ar/_cdd/api/Documento/descargar?guid=8f2df8a1-ff7b-42b1-9df7-d33dc4d2a946&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v>
      </c>
      <c r="R412" s="113" t="str">
        <f ca="1">IFERROR(__xludf.DUMMYFUNCTION("""COMPUTED_VALUE"""),"https://www.youtube.com/watch?v=0EVza5T55BY")</f>
        <v>https://www.youtube.com/watch?v=0EVza5T55BY</v>
      </c>
      <c r="S412" s="113" t="str">
        <f ca="1">IFERROR(__xludf.DUMMYFUNCTION("""COMPUTED_VALUE"""),"https://gld.legislaturacba.gob.ar/Publics/Actas.aspx?id=cHr1dT5HBkY=")</f>
        <v>https://gld.legislaturacba.gob.ar/Publics/Actas.aspx?id=cHr1dT5HBkY=</v>
      </c>
      <c r="T412" s="99">
        <f t="shared" ca="1" si="0"/>
        <v>0</v>
      </c>
    </row>
    <row r="413" spans="1:20">
      <c r="A413" s="20">
        <f ca="1">IFERROR(__xludf.DUMMYFUNCTION("""COMPUTED_VALUE"""),175)</f>
        <v>175</v>
      </c>
      <c r="B413" s="20">
        <f ca="1">IFERROR(__xludf.DUMMYFUNCTION("""COMPUTED_VALUE"""),2021)</f>
        <v>2021</v>
      </c>
      <c r="C413" s="20" t="str">
        <f ca="1">IFERROR(__xludf.DUMMYFUNCTION("""COMPUTED_VALUE"""),"VIRTUAL")</f>
        <v>VIRTUAL</v>
      </c>
      <c r="D413" s="96">
        <f ca="1">IFERROR(__xludf.DUMMYFUNCTION("""COMPUTED_VALUE"""),44441)</f>
        <v>44441</v>
      </c>
      <c r="E413" s="20" t="str">
        <f ca="1">IFERROR(__xludf.DUMMYFUNCTION("""COMPUTED_VALUE"""),"NO")</f>
        <v>NO</v>
      </c>
      <c r="F413" s="20" t="str">
        <f ca="1">IFERROR(__xludf.DUMMYFUNCTION("""COMPUTED_VALUE"""),"TURISMO Y SU RELACIÓN CON EL DESARROLLO REGIONAL")</f>
        <v>TURISMO Y SU RELACIÓN CON EL DESARROLLO REGIONAL</v>
      </c>
      <c r="G413" s="20">
        <f ca="1">IFERROR(__xludf.DUMMYFUNCTION("""COMPUTED_VALUE"""),1)</f>
        <v>1</v>
      </c>
      <c r="H413" s="20">
        <f ca="1">IFERROR(__xludf.DUMMYFUNCTION("""COMPUTED_VALUE"""),1)</f>
        <v>1</v>
      </c>
      <c r="I413" s="20">
        <f ca="1">IFERROR(__xludf.DUMMYFUNCTION("""COMPUTED_VALUE"""),1)</f>
        <v>1</v>
      </c>
      <c r="J413" s="20" t="str">
        <f ca="1">IFERROR(__xludf.DUMMYFUNCTION("""COMPUTED_VALUE"""),"NA")</f>
        <v>NA</v>
      </c>
      <c r="K413" s="20" t="str">
        <f ca="1">IFERROR(__xludf.DUMMYFUNCTION("""COMPUTED_VALUE"""),"NA")</f>
        <v>NA</v>
      </c>
      <c r="L413" s="20" t="str">
        <f ca="1">IFERROR(__xludf.DUMMYFUNCTION("""COMPUTED_VALUE"""),"NA")</f>
        <v>NA</v>
      </c>
      <c r="M413" s="20" t="str">
        <f ca="1">IFERROR(__xludf.DUMMYFUNCTION("""COMPUTED_VALUE"""),"Astroturismo o turismo astronómico como modalidad de turismo responsable, sostenible e innovador")</f>
        <v>Astroturismo o turismo astronómico como modalidad de turismo responsable, sostenible e innovador</v>
      </c>
      <c r="N413" s="20" t="str">
        <f ca="1">IFERROR(__xludf.DUMMYFUNCTION("""COMPUTED_VALUE"""),"NA")</f>
        <v>NA</v>
      </c>
      <c r="O413" s="20" t="str">
        <f ca="1">IFERROR(__xludf.DUMMYFUNCTION("""COMPUTED_VALUE"""),"SI")</f>
        <v>SI</v>
      </c>
      <c r="P413" s="20">
        <f ca="1">IFERROR(__xludf.DUMMYFUNCTION("""COMPUTED_VALUE"""),7)</f>
        <v>7</v>
      </c>
      <c r="Q413" s="113" t="str">
        <f ca="1">IFERROR(__xludf.DUMMYFUNCTION("""COMPUTED_VALUE"""),"https://gld.legislaturacba.gob.ar/_cdd/api/Documento/descargar?guid=bb45b499-c488-4458-96af-904ab42aa44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v>
      </c>
      <c r="R413" s="113" t="str">
        <f ca="1">IFERROR(__xludf.DUMMYFUNCTION("""COMPUTED_VALUE"""),"https://www.youtube.com/watch?v=j-8viw0ehLU")</f>
        <v>https://www.youtube.com/watch?v=j-8viw0ehLU</v>
      </c>
      <c r="S413" s="113" t="str">
        <f ca="1">IFERROR(__xludf.DUMMYFUNCTION("""COMPUTED_VALUE"""),"https://gld.legislaturacba.gob.ar/Publics/Actas.aspx?id=UlEsmzKr8Cg=")</f>
        <v>https://gld.legislaturacba.gob.ar/Publics/Actas.aspx?id=UlEsmzKr8Cg=</v>
      </c>
      <c r="T413" s="99">
        <f t="shared" ca="1" si="0"/>
        <v>0</v>
      </c>
    </row>
    <row r="414" spans="1:20">
      <c r="A414" s="20">
        <f ca="1">IFERROR(__xludf.DUMMYFUNCTION("""COMPUTED_VALUE"""),176)</f>
        <v>176</v>
      </c>
      <c r="B414" s="20">
        <f ca="1">IFERROR(__xludf.DUMMYFUNCTION("""COMPUTED_VALUE"""),2021)</f>
        <v>2021</v>
      </c>
      <c r="C414" s="20" t="str">
        <f ca="1">IFERROR(__xludf.DUMMYFUNCTION("""COMPUTED_VALUE"""),"VIRTUAL")</f>
        <v>VIRTUAL</v>
      </c>
      <c r="D414" s="96">
        <f ca="1">IFERROR(__xludf.DUMMYFUNCTION("""COMPUTED_VALUE"""),44441)</f>
        <v>44441</v>
      </c>
      <c r="E414" s="20" t="str">
        <f ca="1">IFERROR(__xludf.DUMMYFUNCTION("""COMPUTED_VALUE"""),"NO")</f>
        <v>NO</v>
      </c>
      <c r="F414" s="20" t="str">
        <f ca="1">IFERROR(__xludf.DUMMYFUNCTION("""COMPUTED_VALUE"""),"PROMOCIÓN Y DESARROLLO DE LAS COMUNIDADES REGIONALES")</f>
        <v>PROMOCIÓN Y DESARROLLO DE LAS COMUNIDADES REGIONALES</v>
      </c>
      <c r="G414" s="20">
        <f ca="1">IFERROR(__xludf.DUMMYFUNCTION("""COMPUTED_VALUE"""),1)</f>
        <v>1</v>
      </c>
      <c r="H414" s="20">
        <f ca="1">IFERROR(__xludf.DUMMYFUNCTION("""COMPUTED_VALUE"""),1)</f>
        <v>1</v>
      </c>
      <c r="I414" s="20">
        <f ca="1">IFERROR(__xludf.DUMMYFUNCTION("""COMPUTED_VALUE"""),1)</f>
        <v>1</v>
      </c>
      <c r="J414" s="20" t="str">
        <f ca="1">IFERROR(__xludf.DUMMYFUNCTION("""COMPUTED_VALUE"""),"NA")</f>
        <v>NA</v>
      </c>
      <c r="K414" s="20" t="str">
        <f ca="1">IFERROR(__xludf.DUMMYFUNCTION("""COMPUTED_VALUE"""),"NA")</f>
        <v>NA</v>
      </c>
      <c r="L414" s="20" t="str">
        <f ca="1">IFERROR(__xludf.DUMMYFUNCTION("""COMPUTED_VALUE"""),"NA")</f>
        <v>NA</v>
      </c>
      <c r="M414" s="20" t="str">
        <f ca="1">IFERROR(__xludf.DUMMYFUNCTION("""COMPUTED_VALUE"""),"Estrategias políticas, económicas y de gestión pública en las Comunidades Regionales de Córdoba: conceptos y experiencias")</f>
        <v>Estrategias políticas, económicas y de gestión pública en las Comunidades Regionales de Córdoba: conceptos y experiencias</v>
      </c>
      <c r="N414" s="20" t="str">
        <f ca="1">IFERROR(__xludf.DUMMYFUNCTION("""COMPUTED_VALUE"""),"NA")</f>
        <v>NA</v>
      </c>
      <c r="O414" s="20" t="str">
        <f ca="1">IFERROR(__xludf.DUMMYFUNCTION("""COMPUTED_VALUE"""),"SI")</f>
        <v>SI</v>
      </c>
      <c r="P414" s="20">
        <f ca="1">IFERROR(__xludf.DUMMYFUNCTION("""COMPUTED_VALUE"""),1)</f>
        <v>1</v>
      </c>
      <c r="Q414" s="20" t="str">
        <f ca="1">IFERROR(__xludf.DUMMYFUNCTION("""COMPUTED_VALUE"""),"NA")</f>
        <v>NA</v>
      </c>
      <c r="R414" s="113" t="str">
        <f ca="1">IFERROR(__xludf.DUMMYFUNCTION("""COMPUTED_VALUE"""),"https://www.youtube.com/watch?v=xQ6bCxG93cE")</f>
        <v>https://www.youtube.com/watch?v=xQ6bCxG93cE</v>
      </c>
      <c r="S414" s="113" t="str">
        <f ca="1">IFERROR(__xludf.DUMMYFUNCTION("""COMPUTED_VALUE"""),"https://gld.legislaturacba.gob.ar/Publics/Actas.aspx?id=G1v1KJEXDcU=")</f>
        <v>https://gld.legislaturacba.gob.ar/Publics/Actas.aspx?id=G1v1KJEXDcU=</v>
      </c>
      <c r="T414" s="99">
        <f t="shared" ca="1" si="0"/>
        <v>0</v>
      </c>
    </row>
    <row r="415" spans="1:20">
      <c r="A415" s="20">
        <f ca="1">IFERROR(__xludf.DUMMYFUNCTION("""COMPUTED_VALUE"""),177)</f>
        <v>177</v>
      </c>
      <c r="B415" s="20">
        <f ca="1">IFERROR(__xludf.DUMMYFUNCTION("""COMPUTED_VALUE"""),2021)</f>
        <v>2021</v>
      </c>
      <c r="C415" s="20" t="str">
        <f ca="1">IFERROR(__xludf.DUMMYFUNCTION("""COMPUTED_VALUE"""),"VIRTUAL")</f>
        <v>VIRTUAL</v>
      </c>
      <c r="D415" s="96">
        <f ca="1">IFERROR(__xludf.DUMMYFUNCTION("""COMPUTED_VALUE"""),44441)</f>
        <v>44441</v>
      </c>
      <c r="E415" s="20" t="str">
        <f ca="1">IFERROR(__xludf.DUMMYFUNCTION("""COMPUTED_VALUE"""),"NO")</f>
        <v>NO</v>
      </c>
      <c r="F415" s="20" t="str">
        <f ca="1">IFERROR(__xludf.DUMMYFUNCTION("""COMPUTED_VALUE"""),"ASUNTOS INSTITUCIONALES, MUNICIPALES Y COMUNALES")</f>
        <v>ASUNTOS INSTITUCIONALES, MUNICIPALES Y COMUNALES</v>
      </c>
      <c r="G415" s="20">
        <f ca="1">IFERROR(__xludf.DUMMYFUNCTION("""COMPUTED_VALUE"""),1)</f>
        <v>1</v>
      </c>
      <c r="H415" s="20">
        <f ca="1">IFERROR(__xludf.DUMMYFUNCTION("""COMPUTED_VALUE"""),1)</f>
        <v>1</v>
      </c>
      <c r="I415" s="20">
        <f ca="1">IFERROR(__xludf.DUMMYFUNCTION("""COMPUTED_VALUE"""),1)</f>
        <v>1</v>
      </c>
      <c r="J415" s="20" t="str">
        <f ca="1">IFERROR(__xludf.DUMMYFUNCTION("""COMPUTED_VALUE"""),"Ley")</f>
        <v>Ley</v>
      </c>
      <c r="K415" s="20">
        <f ca="1">IFERROR(__xludf.DUMMYFUNCTION("""COMPUTED_VALUE"""),33149)</f>
        <v>33149</v>
      </c>
      <c r="L415" s="20" t="str">
        <f ca="1">IFERROR(__xludf.DUMMYFUNCTION("""COMPUTED_VALUE"""),"Poder Ejecutivo Provincial")</f>
        <v>Poder Ejecutivo Provincial</v>
      </c>
      <c r="M415" s="20" t="str">
        <f ca="1">IFERROR(__xludf.DUMMYFUNCTION("""COMPUTED_VALUE"""),"modificando el radio municipal de la localidad de Estación Juarez Celman, Departamento Colón")</f>
        <v>modificando el radio municipal de la localidad de Estación Juarez Celman, Departamento Colón</v>
      </c>
      <c r="N415" s="20" t="str">
        <f ca="1">IFERROR(__xludf.DUMMYFUNCTION("""COMPUTED_VALUE"""),"SI")</f>
        <v>SI</v>
      </c>
      <c r="O415" s="20" t="str">
        <f ca="1">IFERROR(__xludf.DUMMYFUNCTION("""COMPUTED_VALUE"""),"NO")</f>
        <v>NO</v>
      </c>
      <c r="P415" s="20">
        <f ca="1">IFERROR(__xludf.DUMMYFUNCTION("""COMPUTED_VALUE"""),0)</f>
        <v>0</v>
      </c>
      <c r="Q415" s="113" t="str">
        <f ca="1">IFERROR(__xludf.DUMMYFUNCTION("""COMPUTED_VALUE"""),"https://gld.legislaturacba.gob.ar/_cdd/api/Documento/descargar?guid=7a321adf-8312-4ffd-bc9f-10b6a0e0e265&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v>
      </c>
      <c r="R415" s="113" t="str">
        <f ca="1">IFERROR(__xludf.DUMMYFUNCTION("""COMPUTED_VALUE"""),"https://www.youtube.com/watch?v=GBUP35jvbEw")</f>
        <v>https://www.youtube.com/watch?v=GBUP35jvbEw</v>
      </c>
      <c r="S415" s="113" t="str">
        <f ca="1">IFERROR(__xludf.DUMMYFUNCTION("""COMPUTED_VALUE"""),"https://gld.legislaturacba.gob.ar/Publics/Actas.aspx?id=NmQB2-gzEK0=")</f>
        <v>https://gld.legislaturacba.gob.ar/Publics/Actas.aspx?id=NmQB2-gzEK0=</v>
      </c>
      <c r="T415" s="99">
        <f t="shared" ca="1" si="0"/>
        <v>0</v>
      </c>
    </row>
    <row r="416" spans="1:20">
      <c r="A416" s="20">
        <f ca="1">IFERROR(__xludf.DUMMYFUNCTION("""COMPUTED_VALUE"""),178)</f>
        <v>178</v>
      </c>
      <c r="B416" s="20">
        <f ca="1">IFERROR(__xludf.DUMMYFUNCTION("""COMPUTED_VALUE"""),2021)</f>
        <v>2021</v>
      </c>
      <c r="C416" s="20" t="str">
        <f ca="1">IFERROR(__xludf.DUMMYFUNCTION("""COMPUTED_VALUE"""),"VIRTUAL")</f>
        <v>VIRTUAL</v>
      </c>
      <c r="D416" s="96">
        <f ca="1">IFERROR(__xludf.DUMMYFUNCTION("""COMPUTED_VALUE"""),44453)</f>
        <v>44453</v>
      </c>
      <c r="E416" s="20" t="str">
        <f ca="1">IFERROR(__xludf.DUMMYFUNCTION("""COMPUTED_VALUE"""),"SI")</f>
        <v>SI</v>
      </c>
      <c r="F416" s="20" t="str">
        <f ca="1">IFERROR(__xludf.DUMMYFUNCTION("""COMPUTED_VALUE"""),"LEGISLACIÓN DEL TRABAJO, PREVISIÓN Y SEGURIDAD SOCIAL;SALUD HUMANA")</f>
        <v>LEGISLACIÓN DEL TRABAJO, PREVISIÓN Y SEGURIDAD SOCIAL;SALUD HUMANA</v>
      </c>
      <c r="G416" s="20">
        <f ca="1">IFERROR(__xludf.DUMMYFUNCTION("""COMPUTED_VALUE"""),2)</f>
        <v>2</v>
      </c>
      <c r="H416" s="20">
        <f ca="1">IFERROR(__xludf.DUMMYFUNCTION("""COMPUTED_VALUE"""),1)</f>
        <v>1</v>
      </c>
      <c r="I416" s="20">
        <f ca="1">IFERROR(__xludf.DUMMYFUNCTION("""COMPUTED_VALUE"""),1)</f>
        <v>1</v>
      </c>
      <c r="J416" s="20" t="str">
        <f ca="1">IFERROR(__xludf.DUMMYFUNCTION("""COMPUTED_VALUE"""),"Ley")</f>
        <v>Ley</v>
      </c>
      <c r="K416" s="20">
        <f ca="1">IFERROR(__xludf.DUMMYFUNCTION("""COMPUTED_VALUE"""),32825)</f>
        <v>32825</v>
      </c>
      <c r="L416" s="20" t="str">
        <f ca="1">IFERROR(__xludf.DUMMYFUNCTION("""COMPUTED_VALUE"""),"Poder Legislativo Provincial")</f>
        <v>Poder Legislativo Provincial</v>
      </c>
      <c r="M416" s="20" t="str">
        <f ca="1">IFERROR(__xludf.DUMMYFUNCTION("""COMPUTED_VALUE"""),"Regulando el ejercicio de los profesionales y auxiliares de la enfermería en la Provincia de Córdoba")</f>
        <v>Regulando el ejercicio de los profesionales y auxiliares de la enfermería en la Provincia de Córdoba</v>
      </c>
      <c r="N416" s="20" t="str">
        <f ca="1">IFERROR(__xludf.DUMMYFUNCTION("""COMPUTED_VALUE"""),"NO")</f>
        <v>NO</v>
      </c>
      <c r="O416" s="20" t="str">
        <f ca="1">IFERROR(__xludf.DUMMYFUNCTION("""COMPUTED_VALUE"""),"SI")</f>
        <v>SI</v>
      </c>
      <c r="P416" s="20">
        <f ca="1">IFERROR(__xludf.DUMMYFUNCTION("""COMPUTED_VALUE"""),5)</f>
        <v>5</v>
      </c>
      <c r="Q416" s="113" t="str">
        <f ca="1">IFERROR(__xludf.DUMMYFUNCTION("""COMPUTED_VALUE"""),"https://gld.legislaturacba.gob.ar/_cdd/api/Documento/descargar?guid=2a0981d8-fa8d-46ae-9012-f73f28bbf3a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v>
      </c>
      <c r="R416" s="113" t="str">
        <f ca="1">IFERROR(__xludf.DUMMYFUNCTION("""COMPUTED_VALUE"""),"https://www.youtube.com/watch?v=luU-G4jeO8Q")</f>
        <v>https://www.youtube.com/watch?v=luU-G4jeO8Q</v>
      </c>
      <c r="S416" s="113" t="str">
        <f ca="1">IFERROR(__xludf.DUMMYFUNCTION("""COMPUTED_VALUE"""),"https://gld.legislaturacba.gob.ar/Publics/Actas.aspx?id=KSaZOvBFNv4=;https://gld.legislaturacba.gob.ar/Publics/Actas.aspx?id=ySIfip1qn4E=")</f>
        <v>https://gld.legislaturacba.gob.ar/Publics/Actas.aspx?id=KSaZOvBFNv4=;https://gld.legislaturacba.gob.ar/Publics/Actas.aspx?id=ySIfip1qn4E=</v>
      </c>
      <c r="T416" s="99">
        <f t="shared" ca="1" si="0"/>
        <v>0</v>
      </c>
    </row>
    <row r="417" spans="1:20">
      <c r="A417" s="20">
        <f ca="1">IFERROR(__xludf.DUMMYFUNCTION("""COMPUTED_VALUE"""),179)</f>
        <v>179</v>
      </c>
      <c r="B417" s="20">
        <f ca="1">IFERROR(__xludf.DUMMYFUNCTION("""COMPUTED_VALUE"""),2021)</f>
        <v>2021</v>
      </c>
      <c r="C417" s="20" t="str">
        <f ca="1">IFERROR(__xludf.DUMMYFUNCTION("""COMPUTED_VALUE"""),"VIRTUAL")</f>
        <v>VIRTUAL</v>
      </c>
      <c r="D417" s="96">
        <f ca="1">IFERROR(__xludf.DUMMYFUNCTION("""COMPUTED_VALUE"""),44453)</f>
        <v>44453</v>
      </c>
      <c r="E417" s="20" t="str">
        <f ca="1">IFERROR(__xludf.DUMMYFUNCTION("""COMPUTED_VALUE"""),"NO")</f>
        <v>NO</v>
      </c>
      <c r="F417" s="20" t="str">
        <f ca="1">IFERROR(__xludf.DUMMYFUNCTION("""COMPUTED_VALUE"""),"LEGISLACIÓN GENERAL")</f>
        <v>LEGISLACIÓN GENERAL</v>
      </c>
      <c r="G417" s="20">
        <f ca="1">IFERROR(__xludf.DUMMYFUNCTION("""COMPUTED_VALUE"""),1)</f>
        <v>1</v>
      </c>
      <c r="H417" s="20">
        <f ca="1">IFERROR(__xludf.DUMMYFUNCTION("""COMPUTED_VALUE"""),1)</f>
        <v>1</v>
      </c>
      <c r="I417" s="20">
        <f ca="1">IFERROR(__xludf.DUMMYFUNCTION("""COMPUTED_VALUE"""),1)</f>
        <v>1</v>
      </c>
      <c r="J417" s="20" t="str">
        <f ca="1">IFERROR(__xludf.DUMMYFUNCTION("""COMPUTED_VALUE"""),"Ley")</f>
        <v>Ley</v>
      </c>
      <c r="K417" s="20">
        <f ca="1">IFERROR(__xludf.DUMMYFUNCTION("""COMPUTED_VALUE"""),33149)</f>
        <v>33149</v>
      </c>
      <c r="L417" s="20" t="str">
        <f ca="1">IFERROR(__xludf.DUMMYFUNCTION("""COMPUTED_VALUE"""),"Poder Ejecutivo Provincial")</f>
        <v>Poder Ejecutivo Provincial</v>
      </c>
      <c r="M417" s="20" t="str">
        <f ca="1">IFERROR(__xludf.DUMMYFUNCTION("""COMPUTED_VALUE"""),"Modificando el radio municipal de la localidad de Estación Juarez Celman, Departamento Colón")</f>
        <v>Modificando el radio municipal de la localidad de Estación Juarez Celman, Departamento Colón</v>
      </c>
      <c r="N417" s="20" t="str">
        <f ca="1">IFERROR(__xludf.DUMMYFUNCTION("""COMPUTED_VALUE"""),"NO")</f>
        <v>NO</v>
      </c>
      <c r="O417" s="20" t="str">
        <f ca="1">IFERROR(__xludf.DUMMYFUNCTION("""COMPUTED_VALUE"""),"NO")</f>
        <v>NO</v>
      </c>
      <c r="P417" s="20">
        <f ca="1">IFERROR(__xludf.DUMMYFUNCTION("""COMPUTED_VALUE"""),0)</f>
        <v>0</v>
      </c>
      <c r="Q417" s="113" t="str">
        <f ca="1">IFERROR(__xludf.DUMMYFUNCTION("""COMPUTED_VALUE"""),"https://gld.legislaturacba.gob.ar/_cdd/api/Documento/descargar?guid=6ab51469-3dbb-4380-b0fc-51b9cca5ca85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v>
      </c>
      <c r="R417" s="113" t="str">
        <f ca="1">IFERROR(__xludf.DUMMYFUNCTION("""COMPUTED_VALUE"""),"https://www.youtube.com/watch?v=YvkLmQjo8Zg")</f>
        <v>https://www.youtube.com/watch?v=YvkLmQjo8Zg</v>
      </c>
      <c r="S417" s="113" t="str">
        <f ca="1">IFERROR(__xludf.DUMMYFUNCTION("""COMPUTED_VALUE"""),"https://gld.legislaturacba.gob.ar/Publics/Actas.aspx?id=Z4Q6z8X8III=")</f>
        <v>https://gld.legislaturacba.gob.ar/Publics/Actas.aspx?id=Z4Q6z8X8III=</v>
      </c>
      <c r="T417" s="99">
        <f t="shared" ca="1" si="0"/>
        <v>0</v>
      </c>
    </row>
    <row r="418" spans="1:20">
      <c r="A418" s="20">
        <f ca="1">IFERROR(__xludf.DUMMYFUNCTION("""COMPUTED_VALUE"""),180)</f>
        <v>180</v>
      </c>
      <c r="B418" s="20">
        <f ca="1">IFERROR(__xludf.DUMMYFUNCTION("""COMPUTED_VALUE"""),2021)</f>
        <v>2021</v>
      </c>
      <c r="C418" s="20" t="str">
        <f ca="1">IFERROR(__xludf.DUMMYFUNCTION("""COMPUTED_VALUE"""),"VIRTUAL")</f>
        <v>VIRTUAL</v>
      </c>
      <c r="D418" s="96">
        <f ca="1">IFERROR(__xludf.DUMMYFUNCTION("""COMPUTED_VALUE"""),44453)</f>
        <v>44453</v>
      </c>
      <c r="E418" s="20" t="str">
        <f ca="1">IFERROR(__xludf.DUMMYFUNCTION("""COMPUTED_VALUE"""),"NO")</f>
        <v>NO</v>
      </c>
      <c r="F418" s="20" t="str">
        <f ca="1">IFERROR(__xludf.DUMMYFUNCTION("""COMPUTED_VALUE"""),"PROMOCIÓN Y DEFENSA DE LOS DERECHOS DE LA NIÑEZ, ADOLESCENCIA Y FAMILIA")</f>
        <v>PROMOCIÓN Y DEFENSA DE LOS DERECHOS DE LA NIÑEZ, ADOLESCENCIA Y FAMILIA</v>
      </c>
      <c r="G418" s="20">
        <f ca="1">IFERROR(__xludf.DUMMYFUNCTION("""COMPUTED_VALUE"""),1)</f>
        <v>1</v>
      </c>
      <c r="H418" s="20">
        <f ca="1">IFERROR(__xludf.DUMMYFUNCTION("""COMPUTED_VALUE"""),1)</f>
        <v>1</v>
      </c>
      <c r="I418" s="20">
        <f ca="1">IFERROR(__xludf.DUMMYFUNCTION("""COMPUTED_VALUE"""),1)</f>
        <v>1</v>
      </c>
      <c r="J418" s="20" t="str">
        <f ca="1">IFERROR(__xludf.DUMMYFUNCTION("""COMPUTED_VALUE"""),"Ley")</f>
        <v>Ley</v>
      </c>
      <c r="K418" s="20">
        <f ca="1">IFERROR(__xludf.DUMMYFUNCTION("""COMPUTED_VALUE"""),32770)</f>
        <v>32770</v>
      </c>
      <c r="L418" s="20" t="str">
        <f ca="1">IFERROR(__xludf.DUMMYFUNCTION("""COMPUTED_VALUE"""),"Poder Legislativo Provincial")</f>
        <v>Poder Legislativo Provincial</v>
      </c>
      <c r="M418" s="20" t="str">
        <f ca="1">IFERROR(__xludf.DUMMYFUNCTION("""COMPUTED_VALUE"""),"Creando el “Programa de Protección Digital” en el ámbito de la Defensoría de los Derechos de Niñas, Niños y Adolescentes de la Provincia de Córdoba")</f>
        <v>Creando el “Programa de Protección Digital” en el ámbito de la Defensoría de los Derechos de Niñas, Niños y Adolescentes de la Provincia de Córdoba</v>
      </c>
      <c r="N418" s="20" t="str">
        <f ca="1">IFERROR(__xludf.DUMMYFUNCTION("""COMPUTED_VALUE"""),"NO")</f>
        <v>NO</v>
      </c>
      <c r="O418" s="20" t="str">
        <f ca="1">IFERROR(__xludf.DUMMYFUNCTION("""COMPUTED_VALUE"""),"NO")</f>
        <v>NO</v>
      </c>
      <c r="P418" s="20">
        <f ca="1">IFERROR(__xludf.DUMMYFUNCTION("""COMPUTED_VALUE"""),0)</f>
        <v>0</v>
      </c>
      <c r="Q418" s="113" t="str">
        <f ca="1">IFERROR(__xludf.DUMMYFUNCTION("""COMPUTED_VALUE"""),"https://gld.legislaturacba.gob.ar/_cdd/api/Documento/descargar?guid=584bbb87-fd46-46ca-933a-516303eff2d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v>
      </c>
      <c r="R418" s="113" t="str">
        <f ca="1">IFERROR(__xludf.DUMMYFUNCTION("""COMPUTED_VALUE"""),"https://www.youtube.com/watch?v=D_PWBaL7GNg")</f>
        <v>https://www.youtube.com/watch?v=D_PWBaL7GNg</v>
      </c>
      <c r="S418" s="113" t="str">
        <f ca="1">IFERROR(__xludf.DUMMYFUNCTION("""COMPUTED_VALUE"""),"https://gld.legislaturacba.gob.ar/Publics/Actas.aspx?id=phju-SwG_RQ=")</f>
        <v>https://gld.legislaturacba.gob.ar/Publics/Actas.aspx?id=phju-SwG_RQ=</v>
      </c>
      <c r="T418" s="99">
        <f t="shared" ca="1" si="0"/>
        <v>0</v>
      </c>
    </row>
    <row r="419" spans="1:20">
      <c r="A419" s="20">
        <f ca="1">IFERROR(__xludf.DUMMYFUNCTION("""COMPUTED_VALUE"""),181)</f>
        <v>181</v>
      </c>
      <c r="B419" s="20">
        <f ca="1">IFERROR(__xludf.DUMMYFUNCTION("""COMPUTED_VALUE"""),2021)</f>
        <v>2021</v>
      </c>
      <c r="C419" s="20" t="str">
        <f ca="1">IFERROR(__xludf.DUMMYFUNCTION("""COMPUTED_VALUE"""),"VIRTUAL")</f>
        <v>VIRTUAL</v>
      </c>
      <c r="D419" s="96">
        <f ca="1">IFERROR(__xludf.DUMMYFUNCTION("""COMPUTED_VALUE"""),44453)</f>
        <v>44453</v>
      </c>
      <c r="E419" s="20" t="str">
        <f ca="1">IFERROR(__xludf.DUMMYFUNCTION("""COMPUTED_VALUE"""),"NO")</f>
        <v>NO</v>
      </c>
      <c r="F419" s="20" t="str">
        <f ca="1">IFERROR(__xludf.DUMMYFUNCTION("""COMPUTED_VALUE"""),"ASUNTOS CONSTITUCIONALES, JUSTICIA Y ACUERDOS")</f>
        <v>ASUNTOS CONSTITUCIONALES, JUSTICIA Y ACUERDOS</v>
      </c>
      <c r="G419" s="20">
        <f ca="1">IFERROR(__xludf.DUMMYFUNCTION("""COMPUTED_VALUE"""),1)</f>
        <v>1</v>
      </c>
      <c r="H419" s="20">
        <f ca="1">IFERROR(__xludf.DUMMYFUNCTION("""COMPUTED_VALUE"""),2)</f>
        <v>2</v>
      </c>
      <c r="I419" s="20">
        <f ca="1">IFERROR(__xludf.DUMMYFUNCTION("""COMPUTED_VALUE"""),1)</f>
        <v>1</v>
      </c>
      <c r="J419" s="20" t="str">
        <f ca="1">IFERROR(__xludf.DUMMYFUNCTION("""COMPUTED_VALUE"""),"Pliego")</f>
        <v>Pliego</v>
      </c>
      <c r="K419" s="20">
        <f ca="1">IFERROR(__xludf.DUMMYFUNCTION("""COMPUTED_VALUE"""),33564)</f>
        <v>33564</v>
      </c>
      <c r="L419" s="20" t="str">
        <f ca="1">IFERROR(__xludf.DUMMYFUNCTION("""COMPUTED_VALUE"""),"Poder Ejecutivo Provincial")</f>
        <v>Poder Ejecutivo Provincial</v>
      </c>
      <c r="M419" s="20" t="str">
        <f ca="1">IFERROR(__xludf.DUMMYFUNCTION("""COMPUTED_VALUE"""),"Solicitando acuerdo para designar al Abogado Juan Pablo Díaz Bialet como Juez de Primera Instancia en el Juzgado en lo Civil y Comercial, Conciliación y Familia de la Primera Circunscripción Judicial con asiento en la ciudad de Río Segundo")</f>
        <v>Solicitando acuerdo para designar al Abogado Juan Pablo Díaz Bialet como Juez de Primera Instancia en el Juzgado en lo Civil y Comercial, Conciliación y Familia de la Primera Circunscripción Judicial con asiento en la ciudad de Río Segundo</v>
      </c>
      <c r="N419" s="20" t="str">
        <f ca="1">IFERROR(__xludf.DUMMYFUNCTION("""COMPUTED_VALUE"""),"SI")</f>
        <v>SI</v>
      </c>
      <c r="O419" s="20" t="str">
        <f ca="1">IFERROR(__xludf.DUMMYFUNCTION("""COMPUTED_VALUE"""),"NO")</f>
        <v>NO</v>
      </c>
      <c r="P419" s="20">
        <f ca="1">IFERROR(__xludf.DUMMYFUNCTION("""COMPUTED_VALUE"""),0)</f>
        <v>0</v>
      </c>
      <c r="Q419" s="113" t="str">
        <f ca="1">IFERROR(__xludf.DUMMYFUNCTION("""COMPUTED_VALUE"""),"https://gld.legislaturacba.gob.ar/_cdd/api/Documento/descargar?guid=1f3b92d7-0277-4e01-a415-6abb27d5377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v>
      </c>
      <c r="R419" s="113" t="str">
        <f ca="1">IFERROR(__xludf.DUMMYFUNCTION("""COMPUTED_VALUE"""),"https://www.youtube.com/watch?v=dKUzhjCscm8")</f>
        <v>https://www.youtube.com/watch?v=dKUzhjCscm8</v>
      </c>
      <c r="S419" s="113" t="str">
        <f ca="1">IFERROR(__xludf.DUMMYFUNCTION("""COMPUTED_VALUE"""),"https://gld.legislaturacba.gob.ar/Publics/Actas.aspx?id=TmK7Mm-JOSI=")</f>
        <v>https://gld.legislaturacba.gob.ar/Publics/Actas.aspx?id=TmK7Mm-JOSI=</v>
      </c>
      <c r="T419" s="99">
        <f t="shared" ca="1" si="0"/>
        <v>0</v>
      </c>
    </row>
    <row r="420" spans="1:20">
      <c r="A420" s="20">
        <f ca="1">IFERROR(__xludf.DUMMYFUNCTION("""COMPUTED_VALUE"""),182)</f>
        <v>182</v>
      </c>
      <c r="B420" s="20">
        <f ca="1">IFERROR(__xludf.DUMMYFUNCTION("""COMPUTED_VALUE"""),2021)</f>
        <v>2021</v>
      </c>
      <c r="C420" s="20" t="str">
        <f ca="1">IFERROR(__xludf.DUMMYFUNCTION("""COMPUTED_VALUE"""),"VIRTUAL")</f>
        <v>VIRTUAL</v>
      </c>
      <c r="D420" s="96">
        <f ca="1">IFERROR(__xludf.DUMMYFUNCTION("""COMPUTED_VALUE"""),44455)</f>
        <v>44455</v>
      </c>
      <c r="E420" s="20" t="str">
        <f ca="1">IFERROR(__xludf.DUMMYFUNCTION("""COMPUTED_VALUE"""),"SI")</f>
        <v>SI</v>
      </c>
      <c r="F420" s="20" t="str">
        <f ca="1">IFERROR(__xludf.DUMMYFUNCTION("""COMPUTED_VALUE"""),"AGRICULTURA, GANADERÍA Y RECURSOS RENOVABLES;PROMOCIÓN Y DESARROLLO DE ECONOMÍAS REGIONALES Y PYMES")</f>
        <v>AGRICULTURA, GANADERÍA Y RECURSOS RENOVABLES;PROMOCIÓN Y DESARROLLO DE ECONOMÍAS REGIONALES Y PYMES</v>
      </c>
      <c r="G420" s="20">
        <f ca="1">IFERROR(__xludf.DUMMYFUNCTION("""COMPUTED_VALUE"""),2)</f>
        <v>2</v>
      </c>
      <c r="H420" s="20">
        <f ca="1">IFERROR(__xludf.DUMMYFUNCTION("""COMPUTED_VALUE"""),2)</f>
        <v>2</v>
      </c>
      <c r="I420" s="20">
        <f ca="1">IFERROR(__xludf.DUMMYFUNCTION("""COMPUTED_VALUE"""),1)</f>
        <v>1</v>
      </c>
      <c r="J420" s="20" t="str">
        <f ca="1">IFERROR(__xludf.DUMMYFUNCTION("""COMPUTED_VALUE"""),"Ley")</f>
        <v>Ley</v>
      </c>
      <c r="K420" s="20">
        <f ca="1">IFERROR(__xludf.DUMMYFUNCTION("""COMPUTED_VALUE"""),30511)</f>
        <v>30511</v>
      </c>
      <c r="L420" s="20" t="str">
        <f ca="1">IFERROR(__xludf.DUMMYFUNCTION("""COMPUTED_VALUE"""),"Poder Legislativo Provincial")</f>
        <v>Poder Legislativo Provincial</v>
      </c>
      <c r="M420" s="20" t="str">
        <f ca="1">IFERROR(__xludf.DUMMYFUNCTION("""COMPUTED_VALUE"""),"Creando el programa provincial para el fomento de la agricultura urbana y periurbana")</f>
        <v>Creando el programa provincial para el fomento de la agricultura urbana y periurbana</v>
      </c>
      <c r="N420" s="20" t="str">
        <f ca="1">IFERROR(__xludf.DUMMYFUNCTION("""COMPUTED_VALUE"""),"NO")</f>
        <v>NO</v>
      </c>
      <c r="O420" s="20" t="str">
        <f ca="1">IFERROR(__xludf.DUMMYFUNCTION("""COMPUTED_VALUE"""),"SI")</f>
        <v>SI</v>
      </c>
      <c r="P420" s="20">
        <f ca="1">IFERROR(__xludf.DUMMYFUNCTION("""COMPUTED_VALUE"""),1)</f>
        <v>1</v>
      </c>
      <c r="Q420" s="113" t="str">
        <f ca="1">IFERROR(__xludf.DUMMYFUNCTION("""COMPUTED_VALUE"""),"https://gld.legislaturacba.gob.ar/_cdd/api/Documento/descargar?guid=219eee9a-308c-4e45-8e42-a19205de6de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v>
      </c>
      <c r="R420" s="113" t="str">
        <f ca="1">IFERROR(__xludf.DUMMYFUNCTION("""COMPUTED_VALUE"""),"https://www.youtube.com/watch?v=z0SO279TV8g")</f>
        <v>https://www.youtube.com/watch?v=z0SO279TV8g</v>
      </c>
      <c r="S420" s="113" t="str">
        <f ca="1">IFERROR(__xludf.DUMMYFUNCTION("""COMPUTED_VALUE"""),"https://gld.legislaturacba.gob.ar/Publics/Actas.aspx?id=JsJ8e2X8Lk0=;https://gld.legislaturacba.gob.ar/Publics/Actas.aspx?id=vZvWx5cWyXI=")</f>
        <v>https://gld.legislaturacba.gob.ar/Publics/Actas.aspx?id=JsJ8e2X8Lk0=;https://gld.legislaturacba.gob.ar/Publics/Actas.aspx?id=vZvWx5cWyXI=</v>
      </c>
      <c r="T420" s="99">
        <f t="shared" ca="1" si="0"/>
        <v>0</v>
      </c>
    </row>
    <row r="421" spans="1:20">
      <c r="A421" s="20">
        <f ca="1">IFERROR(__xludf.DUMMYFUNCTION("""COMPUTED_VALUE"""),183)</f>
        <v>183</v>
      </c>
      <c r="B421" s="20">
        <f ca="1">IFERROR(__xludf.DUMMYFUNCTION("""COMPUTED_VALUE"""),2021)</f>
        <v>2021</v>
      </c>
      <c r="C421" s="20" t="str">
        <f ca="1">IFERROR(__xludf.DUMMYFUNCTION("""COMPUTED_VALUE"""),"VIRTUAL")</f>
        <v>VIRTUAL</v>
      </c>
      <c r="D421" s="96">
        <f ca="1">IFERROR(__xludf.DUMMYFUNCTION("""COMPUTED_VALUE"""),44455)</f>
        <v>44455</v>
      </c>
      <c r="E421" s="20" t="str">
        <f ca="1">IFERROR(__xludf.DUMMYFUNCTION("""COMPUTED_VALUE"""),"SI")</f>
        <v>SI</v>
      </c>
      <c r="F421"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21" s="20">
        <f ca="1">IFERROR(__xludf.DUMMYFUNCTION("""COMPUTED_VALUE"""),3)</f>
        <v>3</v>
      </c>
      <c r="H421" s="20">
        <f ca="1">IFERROR(__xludf.DUMMYFUNCTION("""COMPUTED_VALUE"""),1)</f>
        <v>1</v>
      </c>
      <c r="I421" s="20">
        <f ca="1">IFERROR(__xludf.DUMMYFUNCTION("""COMPUTED_VALUE"""),1)</f>
        <v>1</v>
      </c>
      <c r="J421" s="20" t="str">
        <f ca="1">IFERROR(__xludf.DUMMYFUNCTION("""COMPUTED_VALUE"""),"Ley")</f>
        <v>Ley</v>
      </c>
      <c r="K421" s="20">
        <f ca="1">IFERROR(__xludf.DUMMYFUNCTION("""COMPUTED_VALUE"""),30707)</f>
        <v>30707</v>
      </c>
      <c r="L421" s="20" t="str">
        <f ca="1">IFERROR(__xludf.DUMMYFUNCTION("""COMPUTED_VALUE"""),"Poder Legislativo Provincial")</f>
        <v>Poder Legislativo Provincial</v>
      </c>
      <c r="M421"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21" s="20" t="str">
        <f ca="1">IFERROR(__xludf.DUMMYFUNCTION("""COMPUTED_VALUE"""),"NO")</f>
        <v>NO</v>
      </c>
      <c r="O421" s="20" t="str">
        <f ca="1">IFERROR(__xludf.DUMMYFUNCTION("""COMPUTED_VALUE"""),"NO")</f>
        <v>NO</v>
      </c>
      <c r="P421" s="20">
        <f ca="1">IFERROR(__xludf.DUMMYFUNCTION("""COMPUTED_VALUE"""),0)</f>
        <v>0</v>
      </c>
      <c r="Q421" s="113" t="str">
        <f ca="1">IFERROR(__xludf.DUMMYFUNCTION("""COMPUTED_VALUE"""),"https://gld.legislaturacba.gob.ar/_cdd/api/Documento/descargar?guid=be18e312-700a-4e2a-8cce-7f615f11f88c&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v>
      </c>
      <c r="R421" s="113" t="str">
        <f ca="1">IFERROR(__xludf.DUMMYFUNCTION("""COMPUTED_VALUE"""),"https://www.youtube.com/watch?v=nmNeAY1zSUA")</f>
        <v>https://www.youtube.com/watch?v=nmNeAY1zSUA</v>
      </c>
      <c r="S421" s="113" t="str">
        <f ca="1">IFERROR(__xludf.DUMMYFUNCTION("""COMPUTED_VALUE"""),"https://gld.legislaturacba.gob.ar/Publics/Actas.aspx?id=QvSZN5OiFBI=;https://gld.legislaturacba.gob.ar/Publics/Actas.aspx?id=En1M2iHzibA=;https://gld.legislaturacba.gob.ar/Publics/Actas.aspx?id=vZvWx5cWyXI=")</f>
        <v>https://gld.legislaturacba.gob.ar/Publics/Actas.aspx?id=QvSZN5OiFBI=;https://gld.legislaturacba.gob.ar/Publics/Actas.aspx?id=En1M2iHzibA=;https://gld.legislaturacba.gob.ar/Publics/Actas.aspx?id=vZvWx5cWyXI=</v>
      </c>
      <c r="T421" s="99">
        <f t="shared" ca="1" si="0"/>
        <v>0</v>
      </c>
    </row>
    <row r="422" spans="1:20">
      <c r="A422" s="20">
        <f ca="1">IFERROR(__xludf.DUMMYFUNCTION("""COMPUTED_VALUE"""),184)</f>
        <v>184</v>
      </c>
      <c r="B422" s="20">
        <f ca="1">IFERROR(__xludf.DUMMYFUNCTION("""COMPUTED_VALUE"""),2021)</f>
        <v>2021</v>
      </c>
      <c r="C422" s="20" t="str">
        <f ca="1">IFERROR(__xludf.DUMMYFUNCTION("""COMPUTED_VALUE"""),"VIRTUAL")</f>
        <v>VIRTUAL</v>
      </c>
      <c r="D422" s="96">
        <f ca="1">IFERROR(__xludf.DUMMYFUNCTION("""COMPUTED_VALUE"""),44455)</f>
        <v>44455</v>
      </c>
      <c r="E422" s="20" t="str">
        <f ca="1">IFERROR(__xludf.DUMMYFUNCTION("""COMPUTED_VALUE"""),"NO")</f>
        <v>NO</v>
      </c>
      <c r="F422" s="20" t="str">
        <f ca="1">IFERROR(__xludf.DUMMYFUNCTION("""COMPUTED_VALUE"""),"ASUNTOS INSTITUCIONALES, MUNICIPALES Y COMUNALES")</f>
        <v>ASUNTOS INSTITUCIONALES, MUNICIPALES Y COMUNALES</v>
      </c>
      <c r="G422" s="20">
        <f ca="1">IFERROR(__xludf.DUMMYFUNCTION("""COMPUTED_VALUE"""),1)</f>
        <v>1</v>
      </c>
      <c r="H422" s="20">
        <f ca="1">IFERROR(__xludf.DUMMYFUNCTION("""COMPUTED_VALUE"""),1)</f>
        <v>1</v>
      </c>
      <c r="I422" s="20">
        <f ca="1">IFERROR(__xludf.DUMMYFUNCTION("""COMPUTED_VALUE"""),1)</f>
        <v>1</v>
      </c>
      <c r="J422" s="20" t="str">
        <f ca="1">IFERROR(__xludf.DUMMYFUNCTION("""COMPUTED_VALUE"""),"Ley")</f>
        <v>Ley</v>
      </c>
      <c r="K422" s="20">
        <f ca="1">IFERROR(__xludf.DUMMYFUNCTION("""COMPUTED_VALUE"""),33155)</f>
        <v>33155</v>
      </c>
      <c r="L422" s="20" t="str">
        <f ca="1">IFERROR(__xludf.DUMMYFUNCTION("""COMPUTED_VALUE"""),"Poder Ejecutivo Provincial")</f>
        <v>Poder Ejecutivo Provincial</v>
      </c>
      <c r="M422" s="20" t="str">
        <f ca="1">IFERROR(__xludf.DUMMYFUNCTION("""COMPUTED_VALUE"""),"Modificando el radio municipal de la localidad de Villa Parque Santa Ana, Departamento Santa María")</f>
        <v>Modificando el radio municipal de la localidad de Villa Parque Santa Ana, Departamento Santa María</v>
      </c>
      <c r="N422" s="20" t="str">
        <f ca="1">IFERROR(__xludf.DUMMYFUNCTION("""COMPUTED_VALUE"""),"SI")</f>
        <v>SI</v>
      </c>
      <c r="O422" s="20" t="str">
        <f ca="1">IFERROR(__xludf.DUMMYFUNCTION("""COMPUTED_VALUE"""),"NO")</f>
        <v>NO</v>
      </c>
      <c r="P422" s="20">
        <f ca="1">IFERROR(__xludf.DUMMYFUNCTION("""COMPUTED_VALUE"""),0)</f>
        <v>0</v>
      </c>
      <c r="Q422" s="113" t="str">
        <f ca="1">IFERROR(__xludf.DUMMYFUNCTION("""COMPUTED_VALUE"""),"https://gld.legislaturacba.gob.ar/_cdd/api/Documento/descargar?guid=6ddd56de-a935-4410-afdb-ab45fd422ca3&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v>
      </c>
      <c r="R422" s="20" t="str">
        <f ca="1">IFERROR(__xludf.DUMMYFUNCTION("""COMPUTED_VALUE"""),"NA")</f>
        <v>NA</v>
      </c>
      <c r="S422" s="113" t="str">
        <f ca="1">IFERROR(__xludf.DUMMYFUNCTION("""COMPUTED_VALUE"""),"https://gld.legislaturacba.gob.ar/Publics/Actas.aspx?id=vIi3uRtFUsU=")</f>
        <v>https://gld.legislaturacba.gob.ar/Publics/Actas.aspx?id=vIi3uRtFUsU=</v>
      </c>
      <c r="T422" s="99">
        <f t="shared" ca="1" si="0"/>
        <v>0</v>
      </c>
    </row>
    <row r="423" spans="1:20">
      <c r="A423" s="20">
        <f ca="1">IFERROR(__xludf.DUMMYFUNCTION("""COMPUTED_VALUE"""),185)</f>
        <v>185</v>
      </c>
      <c r="B423" s="20">
        <f ca="1">IFERROR(__xludf.DUMMYFUNCTION("""COMPUTED_VALUE"""),2021)</f>
        <v>2021</v>
      </c>
      <c r="C423" s="20" t="str">
        <f ca="1">IFERROR(__xludf.DUMMYFUNCTION("""COMPUTED_VALUE"""),"VIRTUAL")</f>
        <v>VIRTUAL</v>
      </c>
      <c r="D423" s="96">
        <f ca="1">IFERROR(__xludf.DUMMYFUNCTION("""COMPUTED_VALUE"""),44460)</f>
        <v>44460</v>
      </c>
      <c r="E423" s="20" t="str">
        <f ca="1">IFERROR(__xludf.DUMMYFUNCTION("""COMPUTED_VALUE"""),"SI")</f>
        <v>SI</v>
      </c>
      <c r="F423" s="20" t="str">
        <f ca="1">IFERROR(__xludf.DUMMYFUNCTION("""COMPUTED_VALUE"""),"LEGISLACIÓN DEL TRABAJO, PREVISIÓN Y SEGURIDAD SOCIAL;SALUD HUMANA")</f>
        <v>LEGISLACIÓN DEL TRABAJO, PREVISIÓN Y SEGURIDAD SOCIAL;SALUD HUMANA</v>
      </c>
      <c r="G423" s="20">
        <f ca="1">IFERROR(__xludf.DUMMYFUNCTION("""COMPUTED_VALUE"""),2)</f>
        <v>2</v>
      </c>
      <c r="H423" s="20">
        <f ca="1">IFERROR(__xludf.DUMMYFUNCTION("""COMPUTED_VALUE"""),1)</f>
        <v>1</v>
      </c>
      <c r="I423" s="20">
        <f ca="1">IFERROR(__xludf.DUMMYFUNCTION("""COMPUTED_VALUE"""),1)</f>
        <v>1</v>
      </c>
      <c r="J423" s="20" t="str">
        <f ca="1">IFERROR(__xludf.DUMMYFUNCTION("""COMPUTED_VALUE"""),"Ley")</f>
        <v>Ley</v>
      </c>
      <c r="K423" s="20">
        <f ca="1">IFERROR(__xludf.DUMMYFUNCTION("""COMPUTED_VALUE"""),32825)</f>
        <v>32825</v>
      </c>
      <c r="L423" s="20" t="str">
        <f ca="1">IFERROR(__xludf.DUMMYFUNCTION("""COMPUTED_VALUE"""),"Poder Legislativo Provincial")</f>
        <v>Poder Legislativo Provincial</v>
      </c>
      <c r="M423" s="20" t="str">
        <f ca="1">IFERROR(__xludf.DUMMYFUNCTION("""COMPUTED_VALUE"""),"Regulando el ejercicio de los profesionales y auxiliares de la enfermería en la Provincia de Córdoba")</f>
        <v>Regulando el ejercicio de los profesionales y auxiliares de la enfermería en la Provincia de Córdoba</v>
      </c>
      <c r="N423" s="20" t="str">
        <f ca="1">IFERROR(__xludf.DUMMYFUNCTION("""COMPUTED_VALUE"""),"SI")</f>
        <v>SI</v>
      </c>
      <c r="O423" s="20" t="str">
        <f ca="1">IFERROR(__xludf.DUMMYFUNCTION("""COMPUTED_VALUE"""),"NO")</f>
        <v>NO</v>
      </c>
      <c r="P423" s="20">
        <f ca="1">IFERROR(__xludf.DUMMYFUNCTION("""COMPUTED_VALUE"""),0)</f>
        <v>0</v>
      </c>
      <c r="Q423" s="113" t="str">
        <f ca="1">IFERROR(__xludf.DUMMYFUNCTION("""COMPUTED_VALUE"""),"https://gld.legislaturacba.gob.ar/_cdd/api/Documento/descargar?guid=3d5cb01f-6c96-4f05-a50c-81bb2db1f45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v>
      </c>
      <c r="R423" s="113" t="str">
        <f ca="1">IFERROR(__xludf.DUMMYFUNCTION("""COMPUTED_VALUE"""),"https://www.youtube.com/watch?v=ggJ8_X2pdVw")</f>
        <v>https://www.youtube.com/watch?v=ggJ8_X2pdVw</v>
      </c>
      <c r="S423" s="113" t="str">
        <f ca="1">IFERROR(__xludf.DUMMYFUNCTION("""COMPUTED_VALUE"""),"https://gld.legislaturacba.gob.ar/Publics/Actas.aspx?id=J3ig1WHpuiI=;https://gld.legislaturacba.gob.ar/Publics/Actas.aspx?id=MsNcmhcXa0A=")</f>
        <v>https://gld.legislaturacba.gob.ar/Publics/Actas.aspx?id=J3ig1WHpuiI=;https://gld.legislaturacba.gob.ar/Publics/Actas.aspx?id=MsNcmhcXa0A=</v>
      </c>
      <c r="T423" s="99">
        <f t="shared" ca="1" si="0"/>
        <v>0</v>
      </c>
    </row>
    <row r="424" spans="1:20">
      <c r="A424" s="20">
        <f ca="1">IFERROR(__xludf.DUMMYFUNCTION("""COMPUTED_VALUE"""),186)</f>
        <v>186</v>
      </c>
      <c r="B424" s="20">
        <f ca="1">IFERROR(__xludf.DUMMYFUNCTION("""COMPUTED_VALUE"""),2021)</f>
        <v>2021</v>
      </c>
      <c r="C424" s="20" t="str">
        <f ca="1">IFERROR(__xludf.DUMMYFUNCTION("""COMPUTED_VALUE"""),"VIRTUAL")</f>
        <v>VIRTUAL</v>
      </c>
      <c r="D424" s="96">
        <f ca="1">IFERROR(__xludf.DUMMYFUNCTION("""COMPUTED_VALUE"""),44460)</f>
        <v>44460</v>
      </c>
      <c r="E424" s="20" t="str">
        <f ca="1">IFERROR(__xludf.DUMMYFUNCTION("""COMPUTED_VALUE"""),"SI")</f>
        <v>SI</v>
      </c>
      <c r="F424" s="20" t="str">
        <f ca="1">IFERROR(__xludf.DUMMYFUNCTION("""COMPUTED_VALUE"""),"AMBIENTE;LEGISLACIÓN GENERAL")</f>
        <v>AMBIENTE;LEGISLACIÓN GENERAL</v>
      </c>
      <c r="G424" s="20">
        <f ca="1">IFERROR(__xludf.DUMMYFUNCTION("""COMPUTED_VALUE"""),2)</f>
        <v>2</v>
      </c>
      <c r="H424" s="20">
        <f ca="1">IFERROR(__xludf.DUMMYFUNCTION("""COMPUTED_VALUE"""),1)</f>
        <v>1</v>
      </c>
      <c r="I424" s="20">
        <f ca="1">IFERROR(__xludf.DUMMYFUNCTION("""COMPUTED_VALUE"""),1)</f>
        <v>1</v>
      </c>
      <c r="J424" s="20" t="str">
        <f ca="1">IFERROR(__xludf.DUMMYFUNCTION("""COMPUTED_VALUE"""),"Ley")</f>
        <v>Ley</v>
      </c>
      <c r="K424" s="20">
        <f ca="1">IFERROR(__xludf.DUMMYFUNCTION("""COMPUTED_VALUE"""),33548)</f>
        <v>33548</v>
      </c>
      <c r="L424" s="20" t="str">
        <f ca="1">IFERROR(__xludf.DUMMYFUNCTION("""COMPUTED_VALUE"""),"Poder Ejecutivo Provincial")</f>
        <v>Poder Ejecutivo Provincial</v>
      </c>
      <c r="M424" s="20" t="str">
        <f ca="1">IFERROR(__xludf.DUMMYFUNCTION("""COMPUTED_VALUE"""),"Aprobando el Decreto N° 624 de fecha 18 de junio de 2021, mediante el cual se aprobó el Convenio suscripto entre el Instituto Nacional del Agua (I.N.A.) y el Ministerio de Seguridad de la provincia, con el objeto de la adecuación y mantenimiento de Estaci"&amp;"ones Telemétricas de Tecnología ALERT para la obtención de datos hidrometeorológicos en tiempo real")</f>
        <v>Aprobando el Decreto N° 624 de fecha 18 de junio de 2021, mediante el cual se aprobó el Convenio suscripto entre el Instituto Nacional del Agua (I.N.A.) y el Ministerio de Seguridad de la provincia, con el objeto de la adecuación y mantenimiento de Estaciones Telemétricas de Tecnología ALERT para la obtención de datos hidrometeorológicos en tiempo real</v>
      </c>
      <c r="N424" s="20" t="str">
        <f ca="1">IFERROR(__xludf.DUMMYFUNCTION("""COMPUTED_VALUE"""),"SI")</f>
        <v>SI</v>
      </c>
      <c r="O424" s="20" t="str">
        <f ca="1">IFERROR(__xludf.DUMMYFUNCTION("""COMPUTED_VALUE"""),"SI")</f>
        <v>SI</v>
      </c>
      <c r="P424" s="20">
        <f ca="1">IFERROR(__xludf.DUMMYFUNCTION("""COMPUTED_VALUE"""),3)</f>
        <v>3</v>
      </c>
      <c r="Q424" s="113" t="str">
        <f ca="1">IFERROR(__xludf.DUMMYFUNCTION("""COMPUTED_VALUE"""),"https://gld.legislaturacba.gob.ar/_cdd/api/Documento/descargar?guid=a9988d7f-bd80-4e8b-8511-dfc4e31836a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v>
      </c>
      <c r="R424" s="113" t="str">
        <f ca="1">IFERROR(__xludf.DUMMYFUNCTION("""COMPUTED_VALUE"""),"https://www.youtube.com/watch?v=I4VOVNuLxO0")</f>
        <v>https://www.youtube.com/watch?v=I4VOVNuLxO0</v>
      </c>
      <c r="S424" s="113" t="str">
        <f ca="1">IFERROR(__xludf.DUMMYFUNCTION("""COMPUTED_VALUE"""),"https://gld.legislaturacba.gob.ar/Publics/Actas.aspx?id=09qUJHLGkN4=;https://gld.legislaturacba.gob.ar/Publics/Actas.aspx?id=nSX2fGZKIpc=")</f>
        <v>https://gld.legislaturacba.gob.ar/Publics/Actas.aspx?id=09qUJHLGkN4=;https://gld.legislaturacba.gob.ar/Publics/Actas.aspx?id=nSX2fGZKIpc=</v>
      </c>
      <c r="T424" s="99">
        <f t="shared" ca="1" si="0"/>
        <v>0</v>
      </c>
    </row>
    <row r="425" spans="1:20">
      <c r="A425" s="20">
        <f ca="1">IFERROR(__xludf.DUMMYFUNCTION("""COMPUTED_VALUE"""),187)</f>
        <v>187</v>
      </c>
      <c r="B425" s="20">
        <f ca="1">IFERROR(__xludf.DUMMYFUNCTION("""COMPUTED_VALUE"""),2021)</f>
        <v>2021</v>
      </c>
      <c r="C425" s="20" t="str">
        <f ca="1">IFERROR(__xludf.DUMMYFUNCTION("""COMPUTED_VALUE"""),"VIRTUAL")</f>
        <v>VIRTUAL</v>
      </c>
      <c r="D425" s="96">
        <f ca="1">IFERROR(__xludf.DUMMYFUNCTION("""COMPUTED_VALUE"""),44460)</f>
        <v>44460</v>
      </c>
      <c r="E425" s="20" t="str">
        <f ca="1">IFERROR(__xludf.DUMMYFUNCTION("""COMPUTED_VALUE"""),"SI")</f>
        <v>SI</v>
      </c>
      <c r="F425" s="20" t="str">
        <f ca="1">IFERROR(__xludf.DUMMYFUNCTION("""COMPUTED_VALUE"""),"AMBIENTE;EDUCACIÓN, CULTURA, CIENCIA, TECNOLOGÍA E INFORMÁTICA")</f>
        <v>AMBIENTE;EDUCACIÓN, CULTURA, CIENCIA, TECNOLOGÍA E INFORMÁTICA</v>
      </c>
      <c r="G425" s="20">
        <f ca="1">IFERROR(__xludf.DUMMYFUNCTION("""COMPUTED_VALUE"""),2)</f>
        <v>2</v>
      </c>
      <c r="H425" s="20">
        <f ca="1">IFERROR(__xludf.DUMMYFUNCTION("""COMPUTED_VALUE"""),1)</f>
        <v>1</v>
      </c>
      <c r="I425" s="20">
        <f ca="1">IFERROR(__xludf.DUMMYFUNCTION("""COMPUTED_VALUE"""),1)</f>
        <v>1</v>
      </c>
      <c r="J425" s="20" t="str">
        <f ca="1">IFERROR(__xludf.DUMMYFUNCTION("""COMPUTED_VALUE"""),"Ley")</f>
        <v>Ley</v>
      </c>
      <c r="K425" s="20">
        <f ca="1">IFERROR(__xludf.DUMMYFUNCTION("""COMPUTED_VALUE"""),33211)</f>
        <v>33211</v>
      </c>
      <c r="L425" s="20" t="str">
        <f ca="1">IFERROR(__xludf.DUMMYFUNCTION("""COMPUTED_VALUE"""),"Poder Legislativo Provincial")</f>
        <v>Poder Legislativo Provincial</v>
      </c>
      <c r="M425" s="20" t="str">
        <f ca="1">IFERROR(__xludf.DUMMYFUNCTION("""COMPUTED_VALUE"""),"Adhiriendo la Provincia de Córdoba a las disposiciones de la Ley Nacional N° 27621, con el objeto establecer el derecho a la educación ambiental integral como una política pública")</f>
        <v>Adhiriendo la Provincia de Córdoba a las disposiciones de la Ley Nacional N° 27621, con el objeto establecer el derecho a la educación ambiental integral como una política pública</v>
      </c>
      <c r="N425" s="20" t="str">
        <f ca="1">IFERROR(__xludf.DUMMYFUNCTION("""COMPUTED_VALUE"""),"NO")</f>
        <v>NO</v>
      </c>
      <c r="O425" s="20" t="str">
        <f ca="1">IFERROR(__xludf.DUMMYFUNCTION("""COMPUTED_VALUE"""),"NO")</f>
        <v>NO</v>
      </c>
      <c r="P425" s="20">
        <f ca="1">IFERROR(__xludf.DUMMYFUNCTION("""COMPUTED_VALUE"""),0)</f>
        <v>0</v>
      </c>
      <c r="Q425" s="113" t="str">
        <f ca="1">IFERROR(__xludf.DUMMYFUNCTION("""COMPUTED_VALUE"""),"https://gld.legislaturacba.gob.ar/_cdd/api/Documento/descargar?guid=0a2de0ca-ac32-478a-aba9-d4cd355996c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v>
      </c>
      <c r="R425" s="113" t="str">
        <f ca="1">IFERROR(__xludf.DUMMYFUNCTION("""COMPUTED_VALUE"""),"https://www.youtube.com/watch?v=bulqZXWDBjM")</f>
        <v>https://www.youtube.com/watch?v=bulqZXWDBjM</v>
      </c>
      <c r="S425" s="113" t="str">
        <f ca="1">IFERROR(__xludf.DUMMYFUNCTION("""COMPUTED_VALUE"""),"https://gld.legislaturacba.gob.ar/Publics/Actas.aspx?id=rW1rylYtXNA=;https://gld.legislaturacba.gob.ar/Publics/Actas.aspx?id=qXz5meCh4cc=")</f>
        <v>https://gld.legislaturacba.gob.ar/Publics/Actas.aspx?id=rW1rylYtXNA=;https://gld.legislaturacba.gob.ar/Publics/Actas.aspx?id=qXz5meCh4cc=</v>
      </c>
      <c r="T425" s="99">
        <f t="shared" ca="1" si="0"/>
        <v>0</v>
      </c>
    </row>
    <row r="426" spans="1:20">
      <c r="A426" s="20">
        <f ca="1">IFERROR(__xludf.DUMMYFUNCTION("""COMPUTED_VALUE"""),188)</f>
        <v>188</v>
      </c>
      <c r="B426" s="20">
        <f ca="1">IFERROR(__xludf.DUMMYFUNCTION("""COMPUTED_VALUE"""),2021)</f>
        <v>2021</v>
      </c>
      <c r="C426" s="20" t="str">
        <f ca="1">IFERROR(__xludf.DUMMYFUNCTION("""COMPUTED_VALUE"""),"VIRTUAL")</f>
        <v>VIRTUAL</v>
      </c>
      <c r="D426" s="96">
        <f ca="1">IFERROR(__xludf.DUMMYFUNCTION("""COMPUTED_VALUE"""),44462)</f>
        <v>44462</v>
      </c>
      <c r="E426" s="20" t="str">
        <f ca="1">IFERROR(__xludf.DUMMYFUNCTION("""COMPUTED_VALUE"""),"NO")</f>
        <v>NO</v>
      </c>
      <c r="F426" s="20" t="str">
        <f ca="1">IFERROR(__xludf.DUMMYFUNCTION("""COMPUTED_VALUE"""),"ECONOMÍA, PRESUPUESTO, GESTIÓN PÚBLICA E INNOVACIÓN")</f>
        <v>ECONOMÍA, PRESUPUESTO, GESTIÓN PÚBLICA E INNOVACIÓN</v>
      </c>
      <c r="G426" s="20">
        <f ca="1">IFERROR(__xludf.DUMMYFUNCTION("""COMPUTED_VALUE"""),1)</f>
        <v>1</v>
      </c>
      <c r="H426" s="20">
        <f ca="1">IFERROR(__xludf.DUMMYFUNCTION("""COMPUTED_VALUE"""),1)</f>
        <v>1</v>
      </c>
      <c r="I426" s="20">
        <f ca="1">IFERROR(__xludf.DUMMYFUNCTION("""COMPUTED_VALUE"""),1)</f>
        <v>1</v>
      </c>
      <c r="J426" s="20" t="str">
        <f ca="1">IFERROR(__xludf.DUMMYFUNCTION("""COMPUTED_VALUE"""),"NA")</f>
        <v>NA</v>
      </c>
      <c r="K426" s="20" t="str">
        <f ca="1">IFERROR(__xludf.DUMMYFUNCTION("""COMPUTED_VALUE"""),"NA")</f>
        <v>NA</v>
      </c>
      <c r="L426" s="20" t="str">
        <f ca="1">IFERROR(__xludf.DUMMYFUNCTION("""COMPUTED_VALUE"""),"NA")</f>
        <v>NA</v>
      </c>
      <c r="M426" s="20" t="str">
        <f ca="1">IFERROR(__xludf.DUMMYFUNCTION("""COMPUTED_VALUE"""),"Portal de Transparencia de la Provincia de Córdoba")</f>
        <v>Portal de Transparencia de la Provincia de Córdoba</v>
      </c>
      <c r="N426" s="20" t="str">
        <f ca="1">IFERROR(__xludf.DUMMYFUNCTION("""COMPUTED_VALUE"""),"NA")</f>
        <v>NA</v>
      </c>
      <c r="O426" s="20" t="str">
        <f ca="1">IFERROR(__xludf.DUMMYFUNCTION("""COMPUTED_VALUE"""),"SI")</f>
        <v>SI</v>
      </c>
      <c r="P426" s="20">
        <f ca="1">IFERROR(__xludf.DUMMYFUNCTION("""COMPUTED_VALUE"""),1)</f>
        <v>1</v>
      </c>
      <c r="Q426" s="113" t="str">
        <f ca="1">IFERROR(__xludf.DUMMYFUNCTION("""COMPUTED_VALUE"""),"https://gld.legislaturacba.gob.ar/_cdd/api/Documento/descargar?guid=5ebd0e84-9b2b-49cd-8f83-9a2f09d3d66e&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v>
      </c>
      <c r="R426" s="113" t="str">
        <f ca="1">IFERROR(__xludf.DUMMYFUNCTION("""COMPUTED_VALUE"""),"https://www.youtube.com/watch?v=Y13rEIaPP7I")</f>
        <v>https://www.youtube.com/watch?v=Y13rEIaPP7I</v>
      </c>
      <c r="S426" s="113" t="str">
        <f ca="1">IFERROR(__xludf.DUMMYFUNCTION("""COMPUTED_VALUE"""),"https://gld.legislaturacba.gob.ar/Publics/Actas.aspx?id=Cyz2rpIOLHA=")</f>
        <v>https://gld.legislaturacba.gob.ar/Publics/Actas.aspx?id=Cyz2rpIOLHA=</v>
      </c>
      <c r="T426" s="99">
        <f t="shared" ca="1" si="0"/>
        <v>0</v>
      </c>
    </row>
    <row r="427" spans="1:20">
      <c r="A427" s="20">
        <f ca="1">IFERROR(__xludf.DUMMYFUNCTION("""COMPUTED_VALUE"""),189)</f>
        <v>189</v>
      </c>
      <c r="B427" s="20">
        <f ca="1">IFERROR(__xludf.DUMMYFUNCTION("""COMPUTED_VALUE"""),2021)</f>
        <v>2021</v>
      </c>
      <c r="C427" s="20" t="str">
        <f ca="1">IFERROR(__xludf.DUMMYFUNCTION("""COMPUTED_VALUE"""),"VIRTUAL")</f>
        <v>VIRTUAL</v>
      </c>
      <c r="D427" s="96">
        <f ca="1">IFERROR(__xludf.DUMMYFUNCTION("""COMPUTED_VALUE"""),44462)</f>
        <v>44462</v>
      </c>
      <c r="E427" s="20" t="str">
        <f ca="1">IFERROR(__xludf.DUMMYFUNCTION("""COMPUTED_VALUE"""),"NO")</f>
        <v>NO</v>
      </c>
      <c r="F427" s="20" t="str">
        <f ca="1">IFERROR(__xludf.DUMMYFUNCTION("""COMPUTED_VALUE"""),"ASUNTOS CONSTITUCIONALES, JUSTICIA Y ACUERDOS")</f>
        <v>ASUNTOS CONSTITUCIONALES, JUSTICIA Y ACUERDOS</v>
      </c>
      <c r="G427" s="20">
        <f ca="1">IFERROR(__xludf.DUMMYFUNCTION("""COMPUTED_VALUE"""),1)</f>
        <v>1</v>
      </c>
      <c r="H427" s="20">
        <f ca="1">IFERROR(__xludf.DUMMYFUNCTION("""COMPUTED_VALUE"""),1)</f>
        <v>1</v>
      </c>
      <c r="I427" s="20">
        <f ca="1">IFERROR(__xludf.DUMMYFUNCTION("""COMPUTED_VALUE"""),1)</f>
        <v>1</v>
      </c>
      <c r="J427" s="20" t="str">
        <f ca="1">IFERROR(__xludf.DUMMYFUNCTION("""COMPUTED_VALUE"""),"Pliego")</f>
        <v>Pliego</v>
      </c>
      <c r="K427" s="20">
        <f ca="1">IFERROR(__xludf.DUMMYFUNCTION("""COMPUTED_VALUE"""),33650)</f>
        <v>33650</v>
      </c>
      <c r="L427" s="20" t="str">
        <f ca="1">IFERROR(__xludf.DUMMYFUNCTION("""COMPUTED_VALUE"""),"Poder Ejecutivo Provincial")</f>
        <v>Poder Ejecutivo Provincial</v>
      </c>
      <c r="M427" s="20" t="str">
        <f ca="1">IFERROR(__xludf.DUMMYFUNCTION("""COMPUTED_VALUE"""),"Solicitando acuerdo para designar a la Sra. abogada Gisela María Cafure, como Juez de Primera Instancia en lo Civil y Comercial en el Juzgado de Primera Instancia en lo Civil y Comercial de 4a. Nominación perteneciente a la Primera Circunscripción Judicia"&amp;"l con asiento en la ciudad de Córdoba")</f>
        <v>Solicitando acuerdo para designar a la Sra. abogada Gisela María Cafure, como Juez de Primera Instancia en lo Civil y Comercial en el Juzgado de Primera Instancia en lo Civil y Comercial de 4a. Nominación perteneciente a la Primera Circunscripción Judicial con asiento en la ciudad de Córdoba</v>
      </c>
      <c r="N427" s="20" t="str">
        <f ca="1">IFERROR(__xludf.DUMMYFUNCTION("""COMPUTED_VALUE"""),"SI")</f>
        <v>SI</v>
      </c>
      <c r="O427" s="20" t="str">
        <f ca="1">IFERROR(__xludf.DUMMYFUNCTION("""COMPUTED_VALUE"""),"NO")</f>
        <v>NO</v>
      </c>
      <c r="P427" s="20">
        <f ca="1">IFERROR(__xludf.DUMMYFUNCTION("""COMPUTED_VALUE"""),0)</f>
        <v>0</v>
      </c>
      <c r="Q427" s="113" t="str">
        <f ca="1">IFERROR(__xludf.DUMMYFUNCTION("""COMPUTED_VALUE"""),"https://gld.legislaturacba.gob.ar/_cdd/api/Documento/descargar?guid=4705b28d-9125-4c56-b3b5-e12fc8fec8c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v>
      </c>
      <c r="R427" s="113" t="str">
        <f ca="1">IFERROR(__xludf.DUMMYFUNCTION("""COMPUTED_VALUE"""),"https://www.youtube.com/watch?v=tprtOQtyLfI")</f>
        <v>https://www.youtube.com/watch?v=tprtOQtyLfI</v>
      </c>
      <c r="S427" s="113" t="str">
        <f ca="1">IFERROR(__xludf.DUMMYFUNCTION("""COMPUTED_VALUE"""),"https://gld.legislaturacba.gob.ar/Publics/Actas.aspx?id=Ztb1faDOxAc=")</f>
        <v>https://gld.legislaturacba.gob.ar/Publics/Actas.aspx?id=Ztb1faDOxAc=</v>
      </c>
      <c r="T427" s="99">
        <f t="shared" ca="1" si="0"/>
        <v>0</v>
      </c>
    </row>
    <row r="428" spans="1:20">
      <c r="A428" s="20">
        <f ca="1">IFERROR(__xludf.DUMMYFUNCTION("""COMPUTED_VALUE"""),190)</f>
        <v>190</v>
      </c>
      <c r="B428" s="20">
        <f ca="1">IFERROR(__xludf.DUMMYFUNCTION("""COMPUTED_VALUE"""),2021)</f>
        <v>2021</v>
      </c>
      <c r="C428" s="20" t="str">
        <f ca="1">IFERROR(__xludf.DUMMYFUNCTION("""COMPUTED_VALUE"""),"VIRTUAL")</f>
        <v>VIRTUAL</v>
      </c>
      <c r="D428" s="96">
        <f ca="1">IFERROR(__xludf.DUMMYFUNCTION("""COMPUTED_VALUE"""),44462)</f>
        <v>44462</v>
      </c>
      <c r="E428" s="20" t="str">
        <f ca="1">IFERROR(__xludf.DUMMYFUNCTION("""COMPUTED_VALUE"""),"NO")</f>
        <v>NO</v>
      </c>
      <c r="F428" s="20" t="str">
        <f ca="1">IFERROR(__xludf.DUMMYFUNCTION("""COMPUTED_VALUE"""),"DERECHOS HUMANOS Y DESARROLLO SOCIAL")</f>
        <v>DERECHOS HUMANOS Y DESARROLLO SOCIAL</v>
      </c>
      <c r="G428" s="20">
        <f ca="1">IFERROR(__xludf.DUMMYFUNCTION("""COMPUTED_VALUE"""),1)</f>
        <v>1</v>
      </c>
      <c r="H428" s="20">
        <f ca="1">IFERROR(__xludf.DUMMYFUNCTION("""COMPUTED_VALUE"""),3)</f>
        <v>3</v>
      </c>
      <c r="I428" s="20">
        <f ca="1">IFERROR(__xludf.DUMMYFUNCTION("""COMPUTED_VALUE"""),1)</f>
        <v>1</v>
      </c>
      <c r="J428" s="20" t="str">
        <f ca="1">IFERROR(__xludf.DUMMYFUNCTION("""COMPUTED_VALUE"""),"Ley")</f>
        <v>Ley</v>
      </c>
      <c r="K428" s="20">
        <f ca="1">IFERROR(__xludf.DUMMYFUNCTION("""COMPUTED_VALUE"""),30515)</f>
        <v>30515</v>
      </c>
      <c r="L428" s="20" t="str">
        <f ca="1">IFERROR(__xludf.DUMMYFUNCTION("""COMPUTED_VALUE"""),"Poder Legislativo Provincial")</f>
        <v>Poder Legislativo Provincial</v>
      </c>
      <c r="M428" s="20" t="str">
        <f ca="1">IFERROR(__xludf.DUMMYFUNCTION("""COMPUTED_VALUE"""),"Estableciendo la obligatoriedad de traducir a la Lengua de Señas Argentina (LSA), las transmisiones de las sesiones de la Legislatura de la Provincia de Córdoba, a través de sus canales oficiales")</f>
        <v>Estableciendo la obligatoriedad de traducir a la Lengua de Señas Argentina (LSA), las transmisiones de las sesiones de la Legislatura de la Provincia de Córdoba, a través de sus canales oficiales</v>
      </c>
      <c r="N428" s="20" t="str">
        <f ca="1">IFERROR(__xludf.DUMMYFUNCTION("""COMPUTED_VALUE"""),"NO")</f>
        <v>NO</v>
      </c>
      <c r="O428" s="20" t="str">
        <f ca="1">IFERROR(__xludf.DUMMYFUNCTION("""COMPUTED_VALUE"""),"NO")</f>
        <v>NO</v>
      </c>
      <c r="P428" s="20">
        <f ca="1">IFERROR(__xludf.DUMMYFUNCTION("""COMPUTED_VALUE"""),0)</f>
        <v>0</v>
      </c>
      <c r="Q428" s="113" t="str">
        <f ca="1">IFERROR(__xludf.DUMMYFUNCTION("""COMPUTED_VALUE"""),"https://gld.legislaturacba.gob.ar/_cdd/api/Documento/descargar?guid=5edcdcfd-241e-4d3c-933d-a019781c2c62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v>
      </c>
      <c r="R428" s="113" t="str">
        <f ca="1">IFERROR(__xludf.DUMMYFUNCTION("""COMPUTED_VALUE"""),"https://www.youtube.com/watch?v=3J1PcDev7w0")</f>
        <v>https://www.youtube.com/watch?v=3J1PcDev7w0</v>
      </c>
      <c r="S428" s="113" t="str">
        <f ca="1">IFERROR(__xludf.DUMMYFUNCTION("""COMPUTED_VALUE"""),"https://gld.legislaturacba.gob.ar/Publics/Actas.aspx?id=gdlbIcxv_pw=")</f>
        <v>https://gld.legislaturacba.gob.ar/Publics/Actas.aspx?id=gdlbIcxv_pw=</v>
      </c>
      <c r="T428" s="99">
        <f t="shared" ca="1" si="0"/>
        <v>0</v>
      </c>
    </row>
    <row r="429" spans="1:20">
      <c r="A429" s="20">
        <f ca="1">IFERROR(__xludf.DUMMYFUNCTION("""COMPUTED_VALUE"""),191)</f>
        <v>191</v>
      </c>
      <c r="B429" s="20">
        <f ca="1">IFERROR(__xludf.DUMMYFUNCTION("""COMPUTED_VALUE"""),2021)</f>
        <v>2021</v>
      </c>
      <c r="C429" s="20" t="str">
        <f ca="1">IFERROR(__xludf.DUMMYFUNCTION("""COMPUTED_VALUE"""),"VIRTUAL")</f>
        <v>VIRTUAL</v>
      </c>
      <c r="D429" s="96">
        <f ca="1">IFERROR(__xludf.DUMMYFUNCTION("""COMPUTED_VALUE"""),44462)</f>
        <v>44462</v>
      </c>
      <c r="E429" s="20" t="str">
        <f ca="1">IFERROR(__xludf.DUMMYFUNCTION("""COMPUTED_VALUE"""),"SI")</f>
        <v>SI</v>
      </c>
      <c r="F429"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29" s="20">
        <f ca="1">IFERROR(__xludf.DUMMYFUNCTION("""COMPUTED_VALUE"""),3)</f>
        <v>3</v>
      </c>
      <c r="H429" s="20">
        <f ca="1">IFERROR(__xludf.DUMMYFUNCTION("""COMPUTED_VALUE"""),1)</f>
        <v>1</v>
      </c>
      <c r="I429" s="20">
        <f ca="1">IFERROR(__xludf.DUMMYFUNCTION("""COMPUTED_VALUE"""),1)</f>
        <v>1</v>
      </c>
      <c r="J429" s="20" t="str">
        <f ca="1">IFERROR(__xludf.DUMMYFUNCTION("""COMPUTED_VALUE"""),"Ley")</f>
        <v>Ley</v>
      </c>
      <c r="K429" s="20">
        <f ca="1">IFERROR(__xludf.DUMMYFUNCTION("""COMPUTED_VALUE"""),30707)</f>
        <v>30707</v>
      </c>
      <c r="L429" s="20" t="str">
        <f ca="1">IFERROR(__xludf.DUMMYFUNCTION("""COMPUTED_VALUE"""),"Poder Legislativo Provincial")</f>
        <v>Poder Legislativo Provincial</v>
      </c>
      <c r="M429"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29" s="20" t="str">
        <f ca="1">IFERROR(__xludf.DUMMYFUNCTION("""COMPUTED_VALUE"""),"NO")</f>
        <v>NO</v>
      </c>
      <c r="O429" s="20" t="str">
        <f ca="1">IFERROR(__xludf.DUMMYFUNCTION("""COMPUTED_VALUE"""),"SI")</f>
        <v>SI</v>
      </c>
      <c r="P429" s="20">
        <f ca="1">IFERROR(__xludf.DUMMYFUNCTION("""COMPUTED_VALUE"""),3)</f>
        <v>3</v>
      </c>
      <c r="Q429" s="113" t="str">
        <f ca="1">IFERROR(__xludf.DUMMYFUNCTION("""COMPUTED_VALUE"""),"https://gld.legislaturacba.gob.ar/_cdd/api/Documento/descargar?guid=bc825f89-24bf-4adb-9c32-f1be0d0309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v>
      </c>
      <c r="R429" s="113" t="str">
        <f ca="1">IFERROR(__xludf.DUMMYFUNCTION("""COMPUTED_VALUE"""),"https://www.youtube.com/watch?v=BYgY-SHLeeI")</f>
        <v>https://www.youtube.com/watch?v=BYgY-SHLeeI</v>
      </c>
      <c r="S429" s="113" t="str">
        <f ca="1">IFERROR(__xludf.DUMMYFUNCTION("""COMPUTED_VALUE"""),"https://gld.legislaturacba.gob.ar/Publics/Actas.aspx?id=kMrBN0ZQQxk=;https://gld.legislaturacba.gob.ar/Publics/Actas.aspx?id=JiDIjN6ztj4=;https://gld.legislaturacba.gob.ar/Publics/Actas.aspx?id=fGlQqy_g67Q=")</f>
        <v>https://gld.legislaturacba.gob.ar/Publics/Actas.aspx?id=kMrBN0ZQQxk=;https://gld.legislaturacba.gob.ar/Publics/Actas.aspx?id=JiDIjN6ztj4=;https://gld.legislaturacba.gob.ar/Publics/Actas.aspx?id=fGlQqy_g67Q=</v>
      </c>
      <c r="T429" s="99">
        <f t="shared" ca="1" si="0"/>
        <v>0</v>
      </c>
    </row>
    <row r="430" spans="1:20">
      <c r="A430" s="20">
        <f ca="1">IFERROR(__xludf.DUMMYFUNCTION("""COMPUTED_VALUE"""),192)</f>
        <v>192</v>
      </c>
      <c r="B430" s="20">
        <f ca="1">IFERROR(__xludf.DUMMYFUNCTION("""COMPUTED_VALUE"""),2021)</f>
        <v>2021</v>
      </c>
      <c r="C430" s="20" t="str">
        <f ca="1">IFERROR(__xludf.DUMMYFUNCTION("""COMPUTED_VALUE"""),"VIRTUAL")</f>
        <v>VIRTUAL</v>
      </c>
      <c r="D430" s="96">
        <f ca="1">IFERROR(__xludf.DUMMYFUNCTION("""COMPUTED_VALUE"""),44467)</f>
        <v>44467</v>
      </c>
      <c r="E430" s="20" t="str">
        <f ca="1">IFERROR(__xludf.DUMMYFUNCTION("""COMPUTED_VALUE"""),"SI")</f>
        <v>SI</v>
      </c>
      <c r="F430" s="20" t="str">
        <f ca="1">IFERROR(__xludf.DUMMYFUNCTION("""COMPUTED_VALUE"""),"ECONOMÍA, PRESUPUESTO, GESTIÓN PÚBLICA E INNOVACIÓN;OBRAS PÚBLICAS, VIVIENDA Y COMUNICACIONES")</f>
        <v>ECONOMÍA, PRESUPUESTO, GESTIÓN PÚBLICA E INNOVACIÓN;OBRAS PÚBLICAS, VIVIENDA Y COMUNICACIONES</v>
      </c>
      <c r="G430" s="20">
        <f ca="1">IFERROR(__xludf.DUMMYFUNCTION("""COMPUTED_VALUE"""),2)</f>
        <v>2</v>
      </c>
      <c r="H430" s="20">
        <f ca="1">IFERROR(__xludf.DUMMYFUNCTION("""COMPUTED_VALUE"""),1)</f>
        <v>1</v>
      </c>
      <c r="I430" s="20">
        <f ca="1">IFERROR(__xludf.DUMMYFUNCTION("""COMPUTED_VALUE"""),1)</f>
        <v>1</v>
      </c>
      <c r="J430" s="20" t="str">
        <f ca="1">IFERROR(__xludf.DUMMYFUNCTION("""COMPUTED_VALUE"""),"Ley")</f>
        <v>Ley</v>
      </c>
      <c r="K430" s="20">
        <f ca="1">IFERROR(__xludf.DUMMYFUNCTION("""COMPUTED_VALUE"""),33582)</f>
        <v>33582</v>
      </c>
      <c r="L430" s="20" t="str">
        <f ca="1">IFERROR(__xludf.DUMMYFUNCTION("""COMPUTED_VALUE"""),"Poder Ejecutivo Provincial")</f>
        <v>Poder Ejecutivo Provincial</v>
      </c>
      <c r="M430" s="20" t="str">
        <f ca="1">IFERROR(__xludf.DUMMYFUNCTION("""COMPUTED_VALUE"""),"Ampliando los términos de la Ley N° 10609 y, en consecuencia, declarando de utilidad pública y sujetos a expropiación los inmuebles necesarios para la ejecución de la obra ""Segundo Anillo de Circunvalación de Córdoba - Tramo: Ruta Nacional N° 9 Norte - R"&amp;"uta Provincial A-174")</f>
        <v>Ampliando los términos de la Ley N° 10609 y, en consecuencia, declarando de utilidad pública y sujetos a expropiación los inmuebles necesarios para la ejecución de la obra "Segundo Anillo de Circunvalación de Córdoba - Tramo: Ruta Nacional N° 9 Norte - Ruta Provincial A-174</v>
      </c>
      <c r="N430" s="20" t="str">
        <f ca="1">IFERROR(__xludf.DUMMYFUNCTION("""COMPUTED_VALUE"""),"NO")</f>
        <v>NO</v>
      </c>
      <c r="O430" s="20" t="str">
        <f ca="1">IFERROR(__xludf.DUMMYFUNCTION("""COMPUTED_VALUE"""),"NO")</f>
        <v>NO</v>
      </c>
      <c r="P430" s="20">
        <f ca="1">IFERROR(__xludf.DUMMYFUNCTION("""COMPUTED_VALUE"""),0)</f>
        <v>0</v>
      </c>
      <c r="Q430" s="113" t="str">
        <f ca="1">IFERROR(__xludf.DUMMYFUNCTION("""COMPUTED_VALUE"""),"https://gld.legislaturacba.gob.ar/_cdd/api/Documento/descargar?guid=57ac3a0f-c44e-4463-9277-73ae3bc6a2f4&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v>
      </c>
      <c r="R430" s="113" t="str">
        <f ca="1">IFERROR(__xludf.DUMMYFUNCTION("""COMPUTED_VALUE"""),"https://www.youtube.com/watch?v=hZKP2VnS_Uc")</f>
        <v>https://www.youtube.com/watch?v=hZKP2VnS_Uc</v>
      </c>
      <c r="S430" s="113" t="str">
        <f ca="1">IFERROR(__xludf.DUMMYFUNCTION("""COMPUTED_VALUE"""),"https://gld.legislaturacba.gob.ar/Publics/Actas.aspx?id=rAV-XP0TDIM=;https://gld.legislaturacba.gob.ar/Publics/Actas.aspx?id=Bx1jLn_9yQg=")</f>
        <v>https://gld.legislaturacba.gob.ar/Publics/Actas.aspx?id=rAV-XP0TDIM=;https://gld.legislaturacba.gob.ar/Publics/Actas.aspx?id=Bx1jLn_9yQg=</v>
      </c>
      <c r="T430" s="99">
        <f t="shared" ca="1" si="0"/>
        <v>0</v>
      </c>
    </row>
    <row r="431" spans="1:20">
      <c r="A431" s="20">
        <f ca="1">IFERROR(__xludf.DUMMYFUNCTION("""COMPUTED_VALUE"""),193)</f>
        <v>193</v>
      </c>
      <c r="B431" s="20">
        <f ca="1">IFERROR(__xludf.DUMMYFUNCTION("""COMPUTED_VALUE"""),2021)</f>
        <v>2021</v>
      </c>
      <c r="C431" s="20" t="str">
        <f ca="1">IFERROR(__xludf.DUMMYFUNCTION("""COMPUTED_VALUE"""),"VIRTUAL")</f>
        <v>VIRTUAL</v>
      </c>
      <c r="D431" s="96">
        <f ca="1">IFERROR(__xludf.DUMMYFUNCTION("""COMPUTED_VALUE"""),44467)</f>
        <v>44467</v>
      </c>
      <c r="E431" s="20" t="str">
        <f ca="1">IFERROR(__xludf.DUMMYFUNCTION("""COMPUTED_VALUE"""),"NO")</f>
        <v>NO</v>
      </c>
      <c r="F431" s="20" t="str">
        <f ca="1">IFERROR(__xludf.DUMMYFUNCTION("""COMPUTED_VALUE"""),"SALUD HUMANA")</f>
        <v>SALUD HUMANA</v>
      </c>
      <c r="G431" s="20">
        <f ca="1">IFERROR(__xludf.DUMMYFUNCTION("""COMPUTED_VALUE"""),1)</f>
        <v>1</v>
      </c>
      <c r="H431" s="20">
        <f ca="1">IFERROR(__xludf.DUMMYFUNCTION("""COMPUTED_VALUE"""),1)</f>
        <v>1</v>
      </c>
      <c r="I431" s="20">
        <f ca="1">IFERROR(__xludf.DUMMYFUNCTION("""COMPUTED_VALUE"""),1)</f>
        <v>1</v>
      </c>
      <c r="J431" s="20" t="str">
        <f ca="1">IFERROR(__xludf.DUMMYFUNCTION("""COMPUTED_VALUE"""),"NA")</f>
        <v>NA</v>
      </c>
      <c r="K431" s="20" t="str">
        <f ca="1">IFERROR(__xludf.DUMMYFUNCTION("""COMPUTED_VALUE"""),"NA")</f>
        <v>NA</v>
      </c>
      <c r="L431" s="20" t="str">
        <f ca="1">IFERROR(__xludf.DUMMYFUNCTION("""COMPUTED_VALUE"""),"NA")</f>
        <v>NA</v>
      </c>
      <c r="M431" s="20" t="str">
        <f ca="1">IFERROR(__xludf.DUMMYFUNCTION("""COMPUTED_VALUE"""),"Programa de salud integral para personas con diagnotico de Lupus")</f>
        <v>Programa de salud integral para personas con diagnotico de Lupus</v>
      </c>
      <c r="N431" s="20" t="str">
        <f ca="1">IFERROR(__xludf.DUMMYFUNCTION("""COMPUTED_VALUE"""),"NA")</f>
        <v>NA</v>
      </c>
      <c r="O431" s="20" t="str">
        <f ca="1">IFERROR(__xludf.DUMMYFUNCTION("""COMPUTED_VALUE"""),"SI")</f>
        <v>SI</v>
      </c>
      <c r="P431" s="20">
        <f ca="1">IFERROR(__xludf.DUMMYFUNCTION("""COMPUTED_VALUE"""),2)</f>
        <v>2</v>
      </c>
      <c r="Q431" s="113" t="str">
        <f ca="1">IFERROR(__xludf.DUMMYFUNCTION("""COMPUTED_VALUE"""),"https://gld.legislaturacba.gob.ar/_cdd/api/Documento/descargar?guid=6f51392c-0f46-4a86-8ec7-f3a78e1382c7&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v>
      </c>
      <c r="R431" s="113" t="str">
        <f ca="1">IFERROR(__xludf.DUMMYFUNCTION("""COMPUTED_VALUE"""),"https://www.youtube.com/watch?v=Q5LpyVmaI0k")</f>
        <v>https://www.youtube.com/watch?v=Q5LpyVmaI0k</v>
      </c>
      <c r="S431" s="113" t="str">
        <f ca="1">IFERROR(__xludf.DUMMYFUNCTION("""COMPUTED_VALUE"""),"https://gld.legislaturacba.gob.ar/Publics/Actas.aspx?id=36dZzcYSaqs=")</f>
        <v>https://gld.legislaturacba.gob.ar/Publics/Actas.aspx?id=36dZzcYSaqs=</v>
      </c>
      <c r="T431" s="99">
        <f t="shared" ca="1" si="0"/>
        <v>0</v>
      </c>
    </row>
    <row r="432" spans="1:20">
      <c r="A432" s="20">
        <f ca="1">IFERROR(__xludf.DUMMYFUNCTION("""COMPUTED_VALUE"""),194)</f>
        <v>194</v>
      </c>
      <c r="B432" s="20">
        <f ca="1">IFERROR(__xludf.DUMMYFUNCTION("""COMPUTED_VALUE"""),2021)</f>
        <v>2021</v>
      </c>
      <c r="C432" s="20" t="str">
        <f ca="1">IFERROR(__xludf.DUMMYFUNCTION("""COMPUTED_VALUE"""),"VIRTUAL")</f>
        <v>VIRTUAL</v>
      </c>
      <c r="D432" s="96">
        <f ca="1">IFERROR(__xludf.DUMMYFUNCTION("""COMPUTED_VALUE"""),44467)</f>
        <v>44467</v>
      </c>
      <c r="E432" s="20" t="str">
        <f ca="1">IFERROR(__xludf.DUMMYFUNCTION("""COMPUTED_VALUE"""),"NO")</f>
        <v>NO</v>
      </c>
      <c r="F432" s="20" t="str">
        <f ca="1">IFERROR(__xludf.DUMMYFUNCTION("""COMPUTED_VALUE"""),"ASUNTOS CONSTITUCIONALES, JUSTICIA Y ACUERDOS")</f>
        <v>ASUNTOS CONSTITUCIONALES, JUSTICIA Y ACUERDOS</v>
      </c>
      <c r="G432" s="20">
        <f ca="1">IFERROR(__xludf.DUMMYFUNCTION("""COMPUTED_VALUE"""),1)</f>
        <v>1</v>
      </c>
      <c r="H432" s="20">
        <f ca="1">IFERROR(__xludf.DUMMYFUNCTION("""COMPUTED_VALUE"""),3)</f>
        <v>3</v>
      </c>
      <c r="I432" s="20">
        <f ca="1">IFERROR(__xludf.DUMMYFUNCTION("""COMPUTED_VALUE"""),1)</f>
        <v>1</v>
      </c>
      <c r="J432" s="20" t="str">
        <f ca="1">IFERROR(__xludf.DUMMYFUNCTION("""COMPUTED_VALUE"""),"Pliego")</f>
        <v>Pliego</v>
      </c>
      <c r="K432" s="20">
        <f ca="1">IFERROR(__xludf.DUMMYFUNCTION("""COMPUTED_VALUE"""),33697)</f>
        <v>33697</v>
      </c>
      <c r="L432" s="20" t="str">
        <f ca="1">IFERROR(__xludf.DUMMYFUNCTION("""COMPUTED_VALUE"""),"Poder Ejecutivo Provincial")</f>
        <v>Poder Ejecutivo Provincial</v>
      </c>
      <c r="M432" s="20" t="str">
        <f ca="1">IFERROR(__xludf.DUMMYFUNCTION("""COMPUTED_VALUE"""),"Solicitando acuerdo para designar a la Sra. abogada Griselda Esther Martínez, como Asesora Letrada ""reemplazante"" en la Asesoría de Niñez Adolescencia, Violencia Familiar y de Género y Penal Juvenil de Primer Turno de la ciudad de Córdoba, perteneciente"&amp;" a la Primera Circunscripción Judicial con asiento en la Ciudad de Córdoba")</f>
        <v>Solicitando acuerdo para designar a la Sra. abogada Griselda Esther Martínez, como Asesora Letrada "reemplazante" en la Asesoría de Niñez Adolescencia, Violencia Familiar y de Género y Penal Juvenil de Primer Turno de la ciudad de Córdoba, perteneciente a la Primera Circunscripción Judicial con asiento en la Ciudad de Córdoba</v>
      </c>
      <c r="N432" s="20" t="str">
        <f ca="1">IFERROR(__xludf.DUMMYFUNCTION("""COMPUTED_VALUE"""),"SI")</f>
        <v>SI</v>
      </c>
      <c r="O432" s="20" t="str">
        <f ca="1">IFERROR(__xludf.DUMMYFUNCTION("""COMPUTED_VALUE"""),"NO")</f>
        <v>NO</v>
      </c>
      <c r="P432" s="20">
        <f ca="1">IFERROR(__xludf.DUMMYFUNCTION("""COMPUTED_VALUE"""),0)</f>
        <v>0</v>
      </c>
      <c r="Q432" s="113" t="str">
        <f ca="1">IFERROR(__xludf.DUMMYFUNCTION("""COMPUTED_VALUE"""),"https://gld.legislaturacba.gob.ar/_cdd/api/Documento/descargar?guid=b8f961ee-9a73-4b7d-9f70-9ca32f57c13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v>
      </c>
      <c r="R432" s="113" t="str">
        <f ca="1">IFERROR(__xludf.DUMMYFUNCTION("""COMPUTED_VALUE"""),"https://www.youtube.com/watch?v=njciRI9x1RA")</f>
        <v>https://www.youtube.com/watch?v=njciRI9x1RA</v>
      </c>
      <c r="S432" s="113" t="str">
        <f ca="1">IFERROR(__xludf.DUMMYFUNCTION("""COMPUTED_VALUE"""),"https://gld.legislaturacba.gob.ar/Publics/Actas.aspx?id=NQPSyIQkvTc=")</f>
        <v>https://gld.legislaturacba.gob.ar/Publics/Actas.aspx?id=NQPSyIQkvTc=</v>
      </c>
      <c r="T432" s="99">
        <f t="shared" ca="1" si="0"/>
        <v>0</v>
      </c>
    </row>
    <row r="433" spans="1:20">
      <c r="A433" s="20">
        <f ca="1">IFERROR(__xludf.DUMMYFUNCTION("""COMPUTED_VALUE"""),195)</f>
        <v>195</v>
      </c>
      <c r="B433" s="20">
        <f ca="1">IFERROR(__xludf.DUMMYFUNCTION("""COMPUTED_VALUE"""),2021)</f>
        <v>2021</v>
      </c>
      <c r="C433" s="20" t="str">
        <f ca="1">IFERROR(__xludf.DUMMYFUNCTION("""COMPUTED_VALUE"""),"PRESENCIAL")</f>
        <v>PRESENCIAL</v>
      </c>
      <c r="D433" s="96">
        <f ca="1">IFERROR(__xludf.DUMMYFUNCTION("""COMPUTED_VALUE"""),44469)</f>
        <v>44469</v>
      </c>
      <c r="E433" s="20" t="str">
        <f ca="1">IFERROR(__xludf.DUMMYFUNCTION("""COMPUTED_VALUE"""),"SI")</f>
        <v>SI</v>
      </c>
      <c r="F433" s="20" t="str">
        <f ca="1">IFERROR(__xludf.DUMMYFUNCTION("""COMPUTED_VALUE"""),"AMBIENTE;ASUNTOS INSTITUCIONALES, MUNICIPALES Y COMUNALES;ECONOMÍA SOCIAL, COOPERATIVAS Y MUTUALES")</f>
        <v>AMBIENTE;ASUNTOS INSTITUCIONALES, MUNICIPALES Y COMUNALES;ECONOMÍA SOCIAL, COOPERATIVAS Y MUTUALES</v>
      </c>
      <c r="G433" s="20">
        <f ca="1">IFERROR(__xludf.DUMMYFUNCTION("""COMPUTED_VALUE"""),3)</f>
        <v>3</v>
      </c>
      <c r="H433" s="20">
        <f ca="1">IFERROR(__xludf.DUMMYFUNCTION("""COMPUTED_VALUE"""),1)</f>
        <v>1</v>
      </c>
      <c r="I433" s="20">
        <f ca="1">IFERROR(__xludf.DUMMYFUNCTION("""COMPUTED_VALUE"""),1)</f>
        <v>1</v>
      </c>
      <c r="J433" s="20" t="str">
        <f ca="1">IFERROR(__xludf.DUMMYFUNCTION("""COMPUTED_VALUE"""),"NA")</f>
        <v>NA</v>
      </c>
      <c r="K433" s="20" t="str">
        <f ca="1">IFERROR(__xludf.DUMMYFUNCTION("""COMPUTED_VALUE"""),"NA")</f>
        <v>NA</v>
      </c>
      <c r="L433" s="20" t="str">
        <f ca="1">IFERROR(__xludf.DUMMYFUNCTION("""COMPUTED_VALUE"""),"NA")</f>
        <v>NA</v>
      </c>
      <c r="M433" s="20" t="str">
        <f ca="1">IFERROR(__xludf.DUMMYFUNCTION("""COMPUTED_VALUE"""),"Reunión con integrantes del Movimiento Campesino de Córdoba en las localidades de Los Pozos, Departamento Tulumba y La Rinconada, Departamento Río Seco")</f>
        <v>Reunión con integrantes del Movimiento Campesino de Córdoba en las localidades de Los Pozos, Departamento Tulumba y La Rinconada, Departamento Río Seco</v>
      </c>
      <c r="N433" s="20" t="str">
        <f ca="1">IFERROR(__xludf.DUMMYFUNCTION("""COMPUTED_VALUE"""),"NA")</f>
        <v>NA</v>
      </c>
      <c r="O433" s="20" t="str">
        <f ca="1">IFERROR(__xludf.DUMMYFUNCTION("""COMPUTED_VALUE"""),"NO")</f>
        <v>NO</v>
      </c>
      <c r="P433" s="20">
        <f ca="1">IFERROR(__xludf.DUMMYFUNCTION("""COMPUTED_VALUE"""),0)</f>
        <v>0</v>
      </c>
      <c r="Q433" s="20" t="str">
        <f ca="1">IFERROR(__xludf.DUMMYFUNCTION("""COMPUTED_VALUE"""),"NA")</f>
        <v>NA</v>
      </c>
      <c r="R433" s="20" t="str">
        <f ca="1">IFERROR(__xludf.DUMMYFUNCTION("""COMPUTED_VALUE"""),"NA")</f>
        <v>NA</v>
      </c>
      <c r="S433" s="113" t="str">
        <f ca="1">IFERROR(__xludf.DUMMYFUNCTION("""COMPUTED_VALUE"""),"https://gld.legislaturacba.gob.ar/Publics/Actas.aspx?id=IYlSty09jVY=;https://gld.legislaturacba.gob.ar/Publics/Actas.aspx?id=V8vjjqFYawQ=;https://gld.legislaturacba.gob.ar/Publics/Actas.aspx?id=1ZJ67PB5bdg=")</f>
        <v>https://gld.legislaturacba.gob.ar/Publics/Actas.aspx?id=IYlSty09jVY=;https://gld.legislaturacba.gob.ar/Publics/Actas.aspx?id=V8vjjqFYawQ=;https://gld.legislaturacba.gob.ar/Publics/Actas.aspx?id=1ZJ67PB5bdg=</v>
      </c>
      <c r="T433" s="99">
        <f t="shared" ca="1" si="0"/>
        <v>0</v>
      </c>
    </row>
    <row r="434" spans="1:20">
      <c r="A434" s="20">
        <f ca="1">IFERROR(__xludf.DUMMYFUNCTION("""COMPUTED_VALUE"""),196)</f>
        <v>196</v>
      </c>
      <c r="B434" s="20">
        <f ca="1">IFERROR(__xludf.DUMMYFUNCTION("""COMPUTED_VALUE"""),2021)</f>
        <v>2021</v>
      </c>
      <c r="C434" s="20" t="str">
        <f ca="1">IFERROR(__xludf.DUMMYFUNCTION("""COMPUTED_VALUE"""),"VIRTUAL")</f>
        <v>VIRTUAL</v>
      </c>
      <c r="D434" s="96">
        <f ca="1">IFERROR(__xludf.DUMMYFUNCTION("""COMPUTED_VALUE"""),44474)</f>
        <v>44474</v>
      </c>
      <c r="E434" s="20" t="str">
        <f ca="1">IFERROR(__xludf.DUMMYFUNCTION("""COMPUTED_VALUE"""),"SI")</f>
        <v>SI</v>
      </c>
      <c r="F434" s="20" t="str">
        <f ca="1">IFERROR(__xludf.DUMMYFUNCTION("""COMPUTED_VALUE"""),"ECONOMÍA, PRESUPUESTO, GESTIÓN PÚBLICA E INNOVACIÓN;OBRAS PÚBLICAS, VIVIENDA Y COMUNICACIONES")</f>
        <v>ECONOMÍA, PRESUPUESTO, GESTIÓN PÚBLICA E INNOVACIÓN;OBRAS PÚBLICAS, VIVIENDA Y COMUNICACIONES</v>
      </c>
      <c r="G434" s="20">
        <f ca="1">IFERROR(__xludf.DUMMYFUNCTION("""COMPUTED_VALUE"""),2)</f>
        <v>2</v>
      </c>
      <c r="H434" s="20">
        <f ca="1">IFERROR(__xludf.DUMMYFUNCTION("""COMPUTED_VALUE"""),1)</f>
        <v>1</v>
      </c>
      <c r="I434" s="20">
        <f ca="1">IFERROR(__xludf.DUMMYFUNCTION("""COMPUTED_VALUE"""),1)</f>
        <v>1</v>
      </c>
      <c r="J434" s="20" t="str">
        <f ca="1">IFERROR(__xludf.DUMMYFUNCTION("""COMPUTED_VALUE"""),"Ley")</f>
        <v>Ley</v>
      </c>
      <c r="K434" s="20">
        <f ca="1">IFERROR(__xludf.DUMMYFUNCTION("""COMPUTED_VALUE"""),33582)</f>
        <v>33582</v>
      </c>
      <c r="L434" s="20" t="str">
        <f ca="1">IFERROR(__xludf.DUMMYFUNCTION("""COMPUTED_VALUE"""),"Poder Ejecutivo Provincial")</f>
        <v>Poder Ejecutivo Provincial</v>
      </c>
      <c r="M434" s="20" t="str">
        <f ca="1">IFERROR(__xludf.DUMMYFUNCTION("""COMPUTED_VALUE"""),"Ampliando los términos de la Ley N° 10609 y, en consecuencia, declarando de utilidad pública y sujetos a expropiación los inmuebles necesarios para la ejecución de la obra ""Segundo Anillo de Circunvalación de Córdoba - Tramo: Ruta Nacional N° 9 Norte - R"&amp;"uta Provincial A-174")</f>
        <v>Ampliando los términos de la Ley N° 10609 y, en consecuencia, declarando de utilidad pública y sujetos a expropiación los inmuebles necesarios para la ejecución de la obra "Segundo Anillo de Circunvalación de Córdoba - Tramo: Ruta Nacional N° 9 Norte - Ruta Provincial A-174</v>
      </c>
      <c r="N434" s="20" t="str">
        <f ca="1">IFERROR(__xludf.DUMMYFUNCTION("""COMPUTED_VALUE"""),"SI")</f>
        <v>SI</v>
      </c>
      <c r="O434" s="20" t="str">
        <f ca="1">IFERROR(__xludf.DUMMYFUNCTION("""COMPUTED_VALUE"""),"NO")</f>
        <v>NO</v>
      </c>
      <c r="P434" s="20">
        <f ca="1">IFERROR(__xludf.DUMMYFUNCTION("""COMPUTED_VALUE"""),0)</f>
        <v>0</v>
      </c>
      <c r="Q434" s="113" t="str">
        <f ca="1">IFERROR(__xludf.DUMMYFUNCTION("""COMPUTED_VALUE"""),"https://gld.legislaturacba.gob.ar/_cdd/api/Documento/descargar?guid=b1fc3707-dcd2-45b7-b20f-71b98f343d3a&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v>
      </c>
      <c r="R434" s="113" t="str">
        <f ca="1">IFERROR(__xludf.DUMMYFUNCTION("""COMPUTED_VALUE"""),"https://www.youtube.com/watch?v=8IsZsIKrGig")</f>
        <v>https://www.youtube.com/watch?v=8IsZsIKrGig</v>
      </c>
      <c r="S434" s="113" t="str">
        <f ca="1">IFERROR(__xludf.DUMMYFUNCTION("""COMPUTED_VALUE"""),"https://gld.legislaturacba.gob.ar/Publics/Actas.aspx?id=fehBi1gxVc0=;https://gld.legislaturacba.gob.ar/Publics/Actas.aspx?id=GKqn_eVrO-U=")</f>
        <v>https://gld.legislaturacba.gob.ar/Publics/Actas.aspx?id=fehBi1gxVc0=;https://gld.legislaturacba.gob.ar/Publics/Actas.aspx?id=GKqn_eVrO-U=</v>
      </c>
      <c r="T434" s="99">
        <f t="shared" ca="1" si="0"/>
        <v>0</v>
      </c>
    </row>
    <row r="435" spans="1:20">
      <c r="A435" s="20">
        <f ca="1">IFERROR(__xludf.DUMMYFUNCTION("""COMPUTED_VALUE"""),197)</f>
        <v>197</v>
      </c>
      <c r="B435" s="20">
        <f ca="1">IFERROR(__xludf.DUMMYFUNCTION("""COMPUTED_VALUE"""),2021)</f>
        <v>2021</v>
      </c>
      <c r="C435" s="20" t="str">
        <f ca="1">IFERROR(__xludf.DUMMYFUNCTION("""COMPUTED_VALUE"""),"VIRTUAL")</f>
        <v>VIRTUAL</v>
      </c>
      <c r="D435" s="96">
        <f ca="1">IFERROR(__xludf.DUMMYFUNCTION("""COMPUTED_VALUE"""),44474)</f>
        <v>44474</v>
      </c>
      <c r="E435" s="20" t="str">
        <f ca="1">IFERROR(__xludf.DUMMYFUNCTION("""COMPUTED_VALUE"""),"NO")</f>
        <v>NO</v>
      </c>
      <c r="F435" s="20" t="str">
        <f ca="1">IFERROR(__xludf.DUMMYFUNCTION("""COMPUTED_VALUE"""),"LEGISLACIÓN GENERAL")</f>
        <v>LEGISLACIÓN GENERAL</v>
      </c>
      <c r="G435" s="20">
        <f ca="1">IFERROR(__xludf.DUMMYFUNCTION("""COMPUTED_VALUE"""),1)</f>
        <v>1</v>
      </c>
      <c r="H435" s="20">
        <f ca="1">IFERROR(__xludf.DUMMYFUNCTION("""COMPUTED_VALUE"""),1)</f>
        <v>1</v>
      </c>
      <c r="I435" s="20">
        <f ca="1">IFERROR(__xludf.DUMMYFUNCTION("""COMPUTED_VALUE"""),1)</f>
        <v>1</v>
      </c>
      <c r="J435" s="20" t="str">
        <f ca="1">IFERROR(__xludf.DUMMYFUNCTION("""COMPUTED_VALUE"""),"Ley")</f>
        <v>Ley</v>
      </c>
      <c r="K435" s="20">
        <f ca="1">IFERROR(__xludf.DUMMYFUNCTION("""COMPUTED_VALUE"""),33155)</f>
        <v>33155</v>
      </c>
      <c r="L435" s="20" t="str">
        <f ca="1">IFERROR(__xludf.DUMMYFUNCTION("""COMPUTED_VALUE"""),"Poder Ejecutivo Provincial")</f>
        <v>Poder Ejecutivo Provincial</v>
      </c>
      <c r="M435" s="20" t="str">
        <f ca="1">IFERROR(__xludf.DUMMYFUNCTION("""COMPUTED_VALUE"""),"Modificando el radio de la localidad de Villa Parque Santa Ana, Departamento Santa Maria")</f>
        <v>Modificando el radio de la localidad de Villa Parque Santa Ana, Departamento Santa Maria</v>
      </c>
      <c r="N435" s="20" t="str">
        <f ca="1">IFERROR(__xludf.DUMMYFUNCTION("""COMPUTED_VALUE"""),"NO")</f>
        <v>NO</v>
      </c>
      <c r="O435" s="20" t="str">
        <f ca="1">IFERROR(__xludf.DUMMYFUNCTION("""COMPUTED_VALUE"""),"NO")</f>
        <v>NO</v>
      </c>
      <c r="P435" s="20">
        <f ca="1">IFERROR(__xludf.DUMMYFUNCTION("""COMPUTED_VALUE"""),0)</f>
        <v>0</v>
      </c>
      <c r="Q435" s="113" t="str">
        <f ca="1">IFERROR(__xludf.DUMMYFUNCTION("""COMPUTED_VALUE"""),"https://gld.legislaturacba.gob.ar/_cdd/api/Documento/descargar?guid=20b53841-c1dc-4602-a659-5673358ba4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v>
      </c>
      <c r="R435" s="113" t="str">
        <f ca="1">IFERROR(__xludf.DUMMYFUNCTION("""COMPUTED_VALUE"""),"https://www.youtube.com/watch?v=5HHydFCuJfA")</f>
        <v>https://www.youtube.com/watch?v=5HHydFCuJfA</v>
      </c>
      <c r="S435" s="113" t="str">
        <f ca="1">IFERROR(__xludf.DUMMYFUNCTION("""COMPUTED_VALUE"""),"https://gld.legislaturacba.gob.ar/Publics/Actas.aspx?id=lJYYHFPpRU8=")</f>
        <v>https://gld.legislaturacba.gob.ar/Publics/Actas.aspx?id=lJYYHFPpRU8=</v>
      </c>
      <c r="T435" s="99">
        <f t="shared" ca="1" si="0"/>
        <v>0</v>
      </c>
    </row>
    <row r="436" spans="1:20">
      <c r="A436" s="20">
        <f ca="1">IFERROR(__xludf.DUMMYFUNCTION("""COMPUTED_VALUE"""),198)</f>
        <v>198</v>
      </c>
      <c r="B436" s="20">
        <f ca="1">IFERROR(__xludf.DUMMYFUNCTION("""COMPUTED_VALUE"""),2021)</f>
        <v>2021</v>
      </c>
      <c r="C436" s="20" t="str">
        <f ca="1">IFERROR(__xludf.DUMMYFUNCTION("""COMPUTED_VALUE"""),"VIRTUAL")</f>
        <v>VIRTUAL</v>
      </c>
      <c r="D436" s="96">
        <f ca="1">IFERROR(__xludf.DUMMYFUNCTION("""COMPUTED_VALUE"""),44474)</f>
        <v>44474</v>
      </c>
      <c r="E436" s="20" t="str">
        <f ca="1">IFERROR(__xludf.DUMMYFUNCTION("""COMPUTED_VALUE"""),"SI")</f>
        <v>SI</v>
      </c>
      <c r="F436" s="20" t="str">
        <f ca="1">IFERROR(__xludf.DUMMYFUNCTION("""COMPUTED_VALUE"""),"EDUCACIÓN, CULTURA, CIENCIA, TECNOLOGÍA E INFORMÁTICA;TURISMO Y SU RELACIÓN CON EL DESARROLLO REGIONAL")</f>
        <v>EDUCACIÓN, CULTURA, CIENCIA, TECNOLOGÍA E INFORMÁTICA;TURISMO Y SU RELACIÓN CON EL DESARROLLO REGIONAL</v>
      </c>
      <c r="G436" s="20">
        <f ca="1">IFERROR(__xludf.DUMMYFUNCTION("""COMPUTED_VALUE"""),2)</f>
        <v>2</v>
      </c>
      <c r="H436" s="20">
        <f ca="1">IFERROR(__xludf.DUMMYFUNCTION("""COMPUTED_VALUE"""),1)</f>
        <v>1</v>
      </c>
      <c r="I436" s="20">
        <f ca="1">IFERROR(__xludf.DUMMYFUNCTION("""COMPUTED_VALUE"""),1)</f>
        <v>1</v>
      </c>
      <c r="J436" s="20" t="str">
        <f ca="1">IFERROR(__xludf.DUMMYFUNCTION("""COMPUTED_VALUE"""),"Ley")</f>
        <v>Ley</v>
      </c>
      <c r="K436" s="20">
        <f ca="1">IFERROR(__xludf.DUMMYFUNCTION("""COMPUTED_VALUE"""),33550)</f>
        <v>33550</v>
      </c>
      <c r="L436" s="20" t="str">
        <f ca="1">IFERROR(__xludf.DUMMYFUNCTION("""COMPUTED_VALUE"""),"Poder Legislativo Provincial")</f>
        <v>Poder Legislativo Provincial</v>
      </c>
      <c r="M436" s="20" t="str">
        <f ca="1">IFERROR(__xludf.DUMMYFUNCTION("""COMPUTED_VALUE"""),"Declarando de interés histórico, cultural y turístico de la Provincia de Córdoba al ""Museo Nacional de Malvinas"" de la ciudad de Oliva, Dpto. Tercero Arriba")</f>
        <v>Declarando de interés histórico, cultural y turístico de la Provincia de Córdoba al "Museo Nacional de Malvinas" de la ciudad de Oliva, Dpto. Tercero Arriba</v>
      </c>
      <c r="N436" s="20" t="str">
        <f ca="1">IFERROR(__xludf.DUMMYFUNCTION("""COMPUTED_VALUE"""),"NO")</f>
        <v>NO</v>
      </c>
      <c r="O436" s="20" t="str">
        <f ca="1">IFERROR(__xludf.DUMMYFUNCTION("""COMPUTED_VALUE"""),"SI")</f>
        <v>SI</v>
      </c>
      <c r="P436" s="20">
        <f ca="1">IFERROR(__xludf.DUMMYFUNCTION("""COMPUTED_VALUE"""),2)</f>
        <v>2</v>
      </c>
      <c r="Q436" s="113" t="str">
        <f ca="1">IFERROR(__xludf.DUMMYFUNCTION("""COMPUTED_VALUE"""),"https://gld.legislaturacba.gob.ar/_cdd/api/Documento/descargar?guid=82ab0d4b-2709-4f70-89a2-a29693c55ae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v>
      </c>
      <c r="R436" s="113" t="str">
        <f ca="1">IFERROR(__xludf.DUMMYFUNCTION("""COMPUTED_VALUE"""),"https://www.youtube.com/watch?v=hGBmHhdqVyo")</f>
        <v>https://www.youtube.com/watch?v=hGBmHhdqVyo</v>
      </c>
      <c r="S436" s="113" t="str">
        <f ca="1">IFERROR(__xludf.DUMMYFUNCTION("""COMPUTED_VALUE"""),"https://gld.legislaturacba.gob.ar/Publics/Actas.aspx?id=RZcJaWI6fCw=;https://gld.legislaturacba.gob.ar/Publics/Actas.aspx?id=Gyvsz9-kHnU=")</f>
        <v>https://gld.legislaturacba.gob.ar/Publics/Actas.aspx?id=RZcJaWI6fCw=;https://gld.legislaturacba.gob.ar/Publics/Actas.aspx?id=Gyvsz9-kHnU=</v>
      </c>
      <c r="T436" s="99">
        <f t="shared" ca="1" si="0"/>
        <v>0</v>
      </c>
    </row>
    <row r="437" spans="1:20">
      <c r="A437" s="20">
        <f ca="1">IFERROR(__xludf.DUMMYFUNCTION("""COMPUTED_VALUE"""),199)</f>
        <v>199</v>
      </c>
      <c r="B437" s="20">
        <f ca="1">IFERROR(__xludf.DUMMYFUNCTION("""COMPUTED_VALUE"""),2021)</f>
        <v>2021</v>
      </c>
      <c r="C437" s="20" t="str">
        <f ca="1">IFERROR(__xludf.DUMMYFUNCTION("""COMPUTED_VALUE"""),"VIRTUAL")</f>
        <v>VIRTUAL</v>
      </c>
      <c r="D437" s="96">
        <f ca="1">IFERROR(__xludf.DUMMYFUNCTION("""COMPUTED_VALUE"""),44476)</f>
        <v>44476</v>
      </c>
      <c r="E437" s="20" t="str">
        <f ca="1">IFERROR(__xludf.DUMMYFUNCTION("""COMPUTED_VALUE"""),"NO")</f>
        <v>NO</v>
      </c>
      <c r="F437" s="20" t="str">
        <f ca="1">IFERROR(__xludf.DUMMYFUNCTION("""COMPUTED_VALUE"""),"EQUIDAD Y LUCHA CONTRA LA VIOLENCIA DE GÉNERO")</f>
        <v>EQUIDAD Y LUCHA CONTRA LA VIOLENCIA DE GÉNERO</v>
      </c>
      <c r="G437" s="20">
        <f ca="1">IFERROR(__xludf.DUMMYFUNCTION("""COMPUTED_VALUE"""),1)</f>
        <v>1</v>
      </c>
      <c r="H437" s="20">
        <f ca="1">IFERROR(__xludf.DUMMYFUNCTION("""COMPUTED_VALUE"""),1)</f>
        <v>1</v>
      </c>
      <c r="I437" s="20">
        <f ca="1">IFERROR(__xludf.DUMMYFUNCTION("""COMPUTED_VALUE"""),1)</f>
        <v>1</v>
      </c>
      <c r="J437" s="20" t="str">
        <f ca="1">IFERROR(__xludf.DUMMYFUNCTION("""COMPUTED_VALUE"""),"NA")</f>
        <v>NA</v>
      </c>
      <c r="K437" s="20" t="str">
        <f ca="1">IFERROR(__xludf.DUMMYFUNCTION("""COMPUTED_VALUE"""),"NA")</f>
        <v>NA</v>
      </c>
      <c r="L437" s="20" t="str">
        <f ca="1">IFERROR(__xludf.DUMMYFUNCTION("""COMPUTED_VALUE"""),"NA")</f>
        <v>NA</v>
      </c>
      <c r="M437" s="20" t="str">
        <f ca="1">IFERROR(__xludf.DUMMYFUNCTION("""COMPUTED_VALUE"""),"Futbol femenino. Avances en la búsqueda de cerrar brechas de género")</f>
        <v>Futbol femenino. Avances en la búsqueda de cerrar brechas de género</v>
      </c>
      <c r="N437" s="20" t="str">
        <f ca="1">IFERROR(__xludf.DUMMYFUNCTION("""COMPUTED_VALUE"""),"NA")</f>
        <v>NA</v>
      </c>
      <c r="O437" s="20" t="str">
        <f ca="1">IFERROR(__xludf.DUMMYFUNCTION("""COMPUTED_VALUE"""),"SI")</f>
        <v>SI</v>
      </c>
      <c r="P437" s="20">
        <f ca="1">IFERROR(__xludf.DUMMYFUNCTION("""COMPUTED_VALUE"""),3)</f>
        <v>3</v>
      </c>
      <c r="Q437" s="113" t="str">
        <f ca="1">IFERROR(__xludf.DUMMYFUNCTION("""COMPUTED_VALUE"""),"https://gld.legislaturacba.gob.ar/_cdd/api/Documento/descargar?guid=595eddd2-97d3-428e-9a11-533a9e4f6e36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v>
      </c>
      <c r="R437" s="20" t="str">
        <f ca="1">IFERROR(__xludf.DUMMYFUNCTION("""COMPUTED_VALUE"""),"NA")</f>
        <v>NA</v>
      </c>
      <c r="S437" s="113" t="str">
        <f ca="1">IFERROR(__xludf.DUMMYFUNCTION("""COMPUTED_VALUE"""),"https://gld.legislaturacba.gob.ar/Publics/Actas.aspx?id=zZBme7WlZdU=")</f>
        <v>https://gld.legislaturacba.gob.ar/Publics/Actas.aspx?id=zZBme7WlZdU=</v>
      </c>
      <c r="T437" s="99">
        <f t="shared" ca="1" si="0"/>
        <v>0</v>
      </c>
    </row>
    <row r="438" spans="1:20">
      <c r="A438" s="20">
        <f ca="1">IFERROR(__xludf.DUMMYFUNCTION("""COMPUTED_VALUE"""),200)</f>
        <v>200</v>
      </c>
      <c r="B438" s="20">
        <f ca="1">IFERROR(__xludf.DUMMYFUNCTION("""COMPUTED_VALUE"""),2021)</f>
        <v>2021</v>
      </c>
      <c r="C438" s="20" t="str">
        <f ca="1">IFERROR(__xludf.DUMMYFUNCTION("""COMPUTED_VALUE"""),"VIRTUAL")</f>
        <v>VIRTUAL</v>
      </c>
      <c r="D438" s="96">
        <f ca="1">IFERROR(__xludf.DUMMYFUNCTION("""COMPUTED_VALUE"""),44476)</f>
        <v>44476</v>
      </c>
      <c r="E438" s="20" t="str">
        <f ca="1">IFERROR(__xludf.DUMMYFUNCTION("""COMPUTED_VALUE"""),"NO")</f>
        <v>NO</v>
      </c>
      <c r="F438" s="20" t="str">
        <f ca="1">IFERROR(__xludf.DUMMYFUNCTION("""COMPUTED_VALUE"""),"DEPORTES Y RECREACIÓN")</f>
        <v>DEPORTES Y RECREACIÓN</v>
      </c>
      <c r="G438" s="20">
        <f ca="1">IFERROR(__xludf.DUMMYFUNCTION("""COMPUTED_VALUE"""),1)</f>
        <v>1</v>
      </c>
      <c r="H438" s="20">
        <f ca="1">IFERROR(__xludf.DUMMYFUNCTION("""COMPUTED_VALUE"""),1)</f>
        <v>1</v>
      </c>
      <c r="I438" s="20">
        <f ca="1">IFERROR(__xludf.DUMMYFUNCTION("""COMPUTED_VALUE"""),1)</f>
        <v>1</v>
      </c>
      <c r="J438" s="20" t="str">
        <f ca="1">IFERROR(__xludf.DUMMYFUNCTION("""COMPUTED_VALUE"""),"NA")</f>
        <v>NA</v>
      </c>
      <c r="K438" s="20" t="str">
        <f ca="1">IFERROR(__xludf.DUMMYFUNCTION("""COMPUTED_VALUE"""),"NA")</f>
        <v>NA</v>
      </c>
      <c r="L438" s="20" t="str">
        <f ca="1">IFERROR(__xludf.DUMMYFUNCTION("""COMPUTED_VALUE"""),"NA")</f>
        <v>NA</v>
      </c>
      <c r="M438" s="20" t="str">
        <f ca="1">IFERROR(__xludf.DUMMYFUNCTION("""COMPUTED_VALUE"""),"Anteproyecto Código de Convivencia Deportivo")</f>
        <v>Anteproyecto Código de Convivencia Deportivo</v>
      </c>
      <c r="N438" s="20" t="str">
        <f ca="1">IFERROR(__xludf.DUMMYFUNCTION("""COMPUTED_VALUE"""),"NA")</f>
        <v>NA</v>
      </c>
      <c r="O438" s="20" t="str">
        <f ca="1">IFERROR(__xludf.DUMMYFUNCTION("""COMPUTED_VALUE"""),"SI")</f>
        <v>SI</v>
      </c>
      <c r="P438" s="20">
        <f ca="1">IFERROR(__xludf.DUMMYFUNCTION("""COMPUTED_VALUE"""),1)</f>
        <v>1</v>
      </c>
      <c r="Q438" s="113" t="str">
        <f ca="1">IFERROR(__xludf.DUMMYFUNCTION("""COMPUTED_VALUE"""),"https://gld.legislaturacba.gob.ar/_cdd/api/Documento/descargar?guid=3d095c0c-cefa-4577-b1f7-d0115c644c59&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v>
      </c>
      <c r="R438" s="113" t="str">
        <f ca="1">IFERROR(__xludf.DUMMYFUNCTION("""COMPUTED_VALUE"""),"https://www.youtube.com/watch?v=LVdH9rmC8hU")</f>
        <v>https://www.youtube.com/watch?v=LVdH9rmC8hU</v>
      </c>
      <c r="S438" s="113" t="str">
        <f ca="1">IFERROR(__xludf.DUMMYFUNCTION("""COMPUTED_VALUE"""),"https://gld.legislaturacba.gob.ar/Publics/Actas.aspx?id=9mIiX6bJfFU=")</f>
        <v>https://gld.legislaturacba.gob.ar/Publics/Actas.aspx?id=9mIiX6bJfFU=</v>
      </c>
      <c r="T438" s="99">
        <f t="shared" ca="1" si="0"/>
        <v>0</v>
      </c>
    </row>
    <row r="439" spans="1:20">
      <c r="A439" s="20">
        <f ca="1">IFERROR(__xludf.DUMMYFUNCTION("""COMPUTED_VALUE"""),201)</f>
        <v>201</v>
      </c>
      <c r="B439" s="20">
        <f ca="1">IFERROR(__xludf.DUMMYFUNCTION("""COMPUTED_VALUE"""),2021)</f>
        <v>2021</v>
      </c>
      <c r="C439" s="20" t="str">
        <f ca="1">IFERROR(__xludf.DUMMYFUNCTION("""COMPUTED_VALUE"""),"VIRTUAL")</f>
        <v>VIRTUAL</v>
      </c>
      <c r="D439" s="96">
        <f ca="1">IFERROR(__xludf.DUMMYFUNCTION("""COMPUTED_VALUE"""),44476)</f>
        <v>44476</v>
      </c>
      <c r="E439" s="20" t="str">
        <f ca="1">IFERROR(__xludf.DUMMYFUNCTION("""COMPUTED_VALUE"""),"SI")</f>
        <v>SI</v>
      </c>
      <c r="F439"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39" s="20">
        <f ca="1">IFERROR(__xludf.DUMMYFUNCTION("""COMPUTED_VALUE"""),3)</f>
        <v>3</v>
      </c>
      <c r="H439" s="20">
        <f ca="1">IFERROR(__xludf.DUMMYFUNCTION("""COMPUTED_VALUE"""),1)</f>
        <v>1</v>
      </c>
      <c r="I439" s="20">
        <f ca="1">IFERROR(__xludf.DUMMYFUNCTION("""COMPUTED_VALUE"""),1)</f>
        <v>1</v>
      </c>
      <c r="J439" s="20" t="str">
        <f ca="1">IFERROR(__xludf.DUMMYFUNCTION("""COMPUTED_VALUE"""),"Ley")</f>
        <v>Ley</v>
      </c>
      <c r="K439" s="20">
        <f ca="1">IFERROR(__xludf.DUMMYFUNCTION("""COMPUTED_VALUE"""),30707)</f>
        <v>30707</v>
      </c>
      <c r="L439" s="20" t="str">
        <f ca="1">IFERROR(__xludf.DUMMYFUNCTION("""COMPUTED_VALUE"""),"Poder Legislativo Provincial")</f>
        <v>Poder Legislativo Provincial</v>
      </c>
      <c r="M439"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39" s="20" t="str">
        <f ca="1">IFERROR(__xludf.DUMMYFUNCTION("""COMPUTED_VALUE"""),"NO")</f>
        <v>NO</v>
      </c>
      <c r="O439" s="20" t="str">
        <f ca="1">IFERROR(__xludf.DUMMYFUNCTION("""COMPUTED_VALUE"""),"SI")</f>
        <v>SI</v>
      </c>
      <c r="P439" s="20">
        <f ca="1">IFERROR(__xludf.DUMMYFUNCTION("""COMPUTED_VALUE"""),3)</f>
        <v>3</v>
      </c>
      <c r="Q439" s="113" t="str">
        <f ca="1">IFERROR(__xludf.DUMMYFUNCTION("""COMPUTED_VALUE"""),"https://gld.legislaturacba.gob.ar/_cdd/api/Documento/descargar?guid=7f0d43c8-13f9-4c84-a6f5-4ea3eda2c26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v>
      </c>
      <c r="R439" s="113" t="str">
        <f ca="1">IFERROR(__xludf.DUMMYFUNCTION("""COMPUTED_VALUE"""),"https://www.youtube.com/watch?v=SV36PQceT6M")</f>
        <v>https://www.youtube.com/watch?v=SV36PQceT6M</v>
      </c>
      <c r="S439" s="113" t="str">
        <f ca="1">IFERROR(__xludf.DUMMYFUNCTION("""COMPUTED_VALUE"""),"https://gld.legislaturacba.gob.ar/Publics/Actas.aspx?id=u82hi8F-KdI=;https://gld.legislaturacba.gob.ar/Publics/Actas.aspx?id=ywd4ZG2u_5U=;https://gld.legislaturacba.gob.ar/Publics/Actas.aspx?id=soLZibbLvB8=")</f>
        <v>https://gld.legislaturacba.gob.ar/Publics/Actas.aspx?id=u82hi8F-KdI=;https://gld.legislaturacba.gob.ar/Publics/Actas.aspx?id=ywd4ZG2u_5U=;https://gld.legislaturacba.gob.ar/Publics/Actas.aspx?id=soLZibbLvB8=</v>
      </c>
      <c r="T439" s="99">
        <f t="shared" ca="1" si="0"/>
        <v>0</v>
      </c>
    </row>
    <row r="440" spans="1:20">
      <c r="A440" s="20">
        <f ca="1">IFERROR(__xludf.DUMMYFUNCTION("""COMPUTED_VALUE"""),202)</f>
        <v>202</v>
      </c>
      <c r="B440" s="20">
        <f ca="1">IFERROR(__xludf.DUMMYFUNCTION("""COMPUTED_VALUE"""),2021)</f>
        <v>2021</v>
      </c>
      <c r="C440" s="20" t="str">
        <f ca="1">IFERROR(__xludf.DUMMYFUNCTION("""COMPUTED_VALUE"""),"VIRTUAL")</f>
        <v>VIRTUAL</v>
      </c>
      <c r="D440" s="96">
        <f ca="1">IFERROR(__xludf.DUMMYFUNCTION("""COMPUTED_VALUE"""),44481)</f>
        <v>44481</v>
      </c>
      <c r="E440" s="20" t="str">
        <f ca="1">IFERROR(__xludf.DUMMYFUNCTION("""COMPUTED_VALUE"""),"NO")</f>
        <v>NO</v>
      </c>
      <c r="F440" s="20" t="str">
        <f ca="1">IFERROR(__xludf.DUMMYFUNCTION("""COMPUTED_VALUE"""),"SERVICIOS PÚBLICOS")</f>
        <v>SERVICIOS PÚBLICOS</v>
      </c>
      <c r="G440" s="20">
        <f ca="1">IFERROR(__xludf.DUMMYFUNCTION("""COMPUTED_VALUE"""),1)</f>
        <v>1</v>
      </c>
      <c r="H440" s="20">
        <f ca="1">IFERROR(__xludf.DUMMYFUNCTION("""COMPUTED_VALUE"""),1)</f>
        <v>1</v>
      </c>
      <c r="I440" s="20">
        <f ca="1">IFERROR(__xludf.DUMMYFUNCTION("""COMPUTED_VALUE"""),1)</f>
        <v>1</v>
      </c>
      <c r="J440" s="20" t="str">
        <f ca="1">IFERROR(__xludf.DUMMYFUNCTION("""COMPUTED_VALUE"""),"Ley")</f>
        <v>Ley</v>
      </c>
      <c r="K440" s="20">
        <f ca="1">IFERROR(__xludf.DUMMYFUNCTION("""COMPUTED_VALUE"""),32599)</f>
        <v>32599</v>
      </c>
      <c r="L440" s="20" t="str">
        <f ca="1">IFERROR(__xludf.DUMMYFUNCTION("""COMPUTED_VALUE"""),"Poder Legislativo Provincial")</f>
        <v>Poder Legislativo Provincial</v>
      </c>
      <c r="M440" s="20" t="str">
        <f ca="1">IFERROR(__xludf.DUMMYFUNCTION("""COMPUTED_VALUE"""),"Estableciendo la obligatoriedad de proveedores de productos y servicios de comunicar un domicilio electrónico para procesar los reclamos de los usuarios y consumidores y modificando el artículo 144 de la Ley Nª 8465, Código Procesal Civil y Comercial")</f>
        <v>Estableciendo la obligatoriedad de proveedores de productos y servicios de comunicar un domicilio electrónico para procesar los reclamos de los usuarios y consumidores y modificando el artículo 144 de la Ley Nª 8465, Código Procesal Civil y Comercial</v>
      </c>
      <c r="N440" s="20" t="str">
        <f ca="1">IFERROR(__xludf.DUMMYFUNCTION("""COMPUTED_VALUE"""),"NO")</f>
        <v>NO</v>
      </c>
      <c r="O440" s="20" t="str">
        <f ca="1">IFERROR(__xludf.DUMMYFUNCTION("""COMPUTED_VALUE"""),"NO")</f>
        <v>NO</v>
      </c>
      <c r="P440" s="20">
        <f ca="1">IFERROR(__xludf.DUMMYFUNCTION("""COMPUTED_VALUE"""),0)</f>
        <v>0</v>
      </c>
      <c r="Q440" s="113" t="str">
        <f ca="1">IFERROR(__xludf.DUMMYFUNCTION("""COMPUTED_VALUE"""),"https://gld.legislaturacba.gob.ar/_cdd/api/Documento/descargar?guid=6a504104-2d71-45f8-9ed6-2560a52448b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v>
      </c>
      <c r="R440" s="113" t="str">
        <f ca="1">IFERROR(__xludf.DUMMYFUNCTION("""COMPUTED_VALUE"""),"https://www.youtube.com/watch?v=7mapFhMxIDQ")</f>
        <v>https://www.youtube.com/watch?v=7mapFhMxIDQ</v>
      </c>
      <c r="S440" s="113" t="str">
        <f ca="1">IFERROR(__xludf.DUMMYFUNCTION("""COMPUTED_VALUE"""),"https://gld.legislaturacba.gob.ar/Publics/Actas.aspx?id=ty3_RlpExu4=")</f>
        <v>https://gld.legislaturacba.gob.ar/Publics/Actas.aspx?id=ty3_RlpExu4=</v>
      </c>
      <c r="T440" s="99">
        <f t="shared" ca="1" si="0"/>
        <v>0</v>
      </c>
    </row>
    <row r="441" spans="1:20">
      <c r="A441" s="20">
        <f ca="1">IFERROR(__xludf.DUMMYFUNCTION("""COMPUTED_VALUE"""),203)</f>
        <v>203</v>
      </c>
      <c r="B441" s="20">
        <f ca="1">IFERROR(__xludf.DUMMYFUNCTION("""COMPUTED_VALUE"""),2021)</f>
        <v>2021</v>
      </c>
      <c r="C441" s="20" t="str">
        <f ca="1">IFERROR(__xludf.DUMMYFUNCTION("""COMPUTED_VALUE"""),"VIRTUAL")</f>
        <v>VIRTUAL</v>
      </c>
      <c r="D441" s="96">
        <f ca="1">IFERROR(__xludf.DUMMYFUNCTION("""COMPUTED_VALUE"""),44481)</f>
        <v>44481</v>
      </c>
      <c r="E441" s="20" t="str">
        <f ca="1">IFERROR(__xludf.DUMMYFUNCTION("""COMPUTED_VALUE"""),"NO")</f>
        <v>NO</v>
      </c>
      <c r="F441" s="20" t="str">
        <f ca="1">IFERROR(__xludf.DUMMYFUNCTION("""COMPUTED_VALUE"""),"ASUNTOS CONSTITUCIONALES, JUSTICIA Y ACUERDOS")</f>
        <v>ASUNTOS CONSTITUCIONALES, JUSTICIA Y ACUERDOS</v>
      </c>
      <c r="G441" s="20">
        <f ca="1">IFERROR(__xludf.DUMMYFUNCTION("""COMPUTED_VALUE"""),1)</f>
        <v>1</v>
      </c>
      <c r="H441" s="20">
        <f ca="1">IFERROR(__xludf.DUMMYFUNCTION("""COMPUTED_VALUE"""),3)</f>
        <v>3</v>
      </c>
      <c r="I441" s="20">
        <f ca="1">IFERROR(__xludf.DUMMYFUNCTION("""COMPUTED_VALUE"""),1)</f>
        <v>1</v>
      </c>
      <c r="J441" s="20" t="str">
        <f ca="1">IFERROR(__xludf.DUMMYFUNCTION("""COMPUTED_VALUE"""),"Pliego")</f>
        <v>Pliego</v>
      </c>
      <c r="K441" s="20">
        <f ca="1">IFERROR(__xludf.DUMMYFUNCTION("""COMPUTED_VALUE"""),33752)</f>
        <v>33752</v>
      </c>
      <c r="L441" s="20" t="str">
        <f ca="1">IFERROR(__xludf.DUMMYFUNCTION("""COMPUTED_VALUE"""),"Poder Ejecutivo Provincial")</f>
        <v>Poder Ejecutivo Provincial</v>
      </c>
      <c r="M441" s="20" t="str">
        <f ca="1">IFERROR(__xludf.DUMMYFUNCTION("""COMPUTED_VALUE"""),"Solicitando acuerdo para designar a la Sra. abogada María Alejandra Noemí Sánchez Alfaro Ocampo, como Juez de Primera Instancia en lo Civil y Comercial en el Juzgado de Primera Instancia en lo Civil y Comercial de Vigésimocuarta Nominación, perteneciente "&amp;"a la Primera Circunscripción Judicial con asiento en la ciudad de Córdoba")</f>
        <v>Solicitando acuerdo para designar a la Sra. abogada María Alejandra Noemí Sánchez Alfaro Ocampo, como Juez de Primera Instancia en lo Civil y Comercial en el Juzgado de Primera Instancia en lo Civil y Comercial de Vigésimocuarta Nominación, perteneciente a la Primera Circunscripción Judicial con asiento en la ciudad de Córdoba</v>
      </c>
      <c r="N441" s="20" t="str">
        <f ca="1">IFERROR(__xludf.DUMMYFUNCTION("""COMPUTED_VALUE"""),"SI")</f>
        <v>SI</v>
      </c>
      <c r="O441" s="20" t="str">
        <f ca="1">IFERROR(__xludf.DUMMYFUNCTION("""COMPUTED_VALUE"""),"NO")</f>
        <v>NO</v>
      </c>
      <c r="P441" s="20">
        <f ca="1">IFERROR(__xludf.DUMMYFUNCTION("""COMPUTED_VALUE"""),0)</f>
        <v>0</v>
      </c>
      <c r="Q441" s="113" t="str">
        <f ca="1">IFERROR(__xludf.DUMMYFUNCTION("""COMPUTED_VALUE"""),"https://gld.legislaturacba.gob.ar/_cdd/api/Documento/descargar?guid=a6ed2ce3-1da7-46e3-9acf-74e11e48515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v>
      </c>
      <c r="R441" s="113" t="str">
        <f ca="1">IFERROR(__xludf.DUMMYFUNCTION("""COMPUTED_VALUE"""),"https://www.youtube.com/watch?v=7EZqjW_hsb8")</f>
        <v>https://www.youtube.com/watch?v=7EZqjW_hsb8</v>
      </c>
      <c r="S441" s="113" t="str">
        <f ca="1">IFERROR(__xludf.DUMMYFUNCTION("""COMPUTED_VALUE"""),"https://gld.legislaturacba.gob.ar/Publics/Actas.aspx?id=Qg3_yTAgZRc=")</f>
        <v>https://gld.legislaturacba.gob.ar/Publics/Actas.aspx?id=Qg3_yTAgZRc=</v>
      </c>
      <c r="T441" s="99">
        <f t="shared" ca="1" si="0"/>
        <v>0</v>
      </c>
    </row>
    <row r="442" spans="1:20">
      <c r="A442" s="20">
        <f ca="1">IFERROR(__xludf.DUMMYFUNCTION("""COMPUTED_VALUE"""),204)</f>
        <v>204</v>
      </c>
      <c r="B442" s="20">
        <f ca="1">IFERROR(__xludf.DUMMYFUNCTION("""COMPUTED_VALUE"""),2021)</f>
        <v>2021</v>
      </c>
      <c r="C442" s="20" t="str">
        <f ca="1">IFERROR(__xludf.DUMMYFUNCTION("""COMPUTED_VALUE"""),"VIRTUAL")</f>
        <v>VIRTUAL</v>
      </c>
      <c r="D442" s="96">
        <f ca="1">IFERROR(__xludf.DUMMYFUNCTION("""COMPUTED_VALUE"""),44483)</f>
        <v>44483</v>
      </c>
      <c r="E442" s="20" t="str">
        <f ca="1">IFERROR(__xludf.DUMMYFUNCTION("""COMPUTED_VALUE"""),"SI")</f>
        <v>SI</v>
      </c>
      <c r="F442" s="20" t="str">
        <f ca="1">IFERROR(__xludf.DUMMYFUNCTION("""COMPUTED_VALUE"""),"EDUCACIÓN, CULTURA, CIENCIA, TECNOLOGÍA E INFORMÁTICA;LEGISLACIÓN GENERAL;TURISMO Y SU RELACIÓN CON EL DESARROLLO REGIONAL")</f>
        <v>EDUCACIÓN, CULTURA, CIENCIA, TECNOLOGÍA E INFORMÁTICA;LEGISLACIÓN GENERAL;TURISMO Y SU RELACIÓN CON EL DESARROLLO REGIONAL</v>
      </c>
      <c r="G442" s="20">
        <f ca="1">IFERROR(__xludf.DUMMYFUNCTION("""COMPUTED_VALUE"""),3)</f>
        <v>3</v>
      </c>
      <c r="H442" s="20">
        <f ca="1">IFERROR(__xludf.DUMMYFUNCTION("""COMPUTED_VALUE"""),1)</f>
        <v>1</v>
      </c>
      <c r="I442" s="20">
        <f ca="1">IFERROR(__xludf.DUMMYFUNCTION("""COMPUTED_VALUE"""),1)</f>
        <v>1</v>
      </c>
      <c r="J442" s="20" t="str">
        <f ca="1">IFERROR(__xludf.DUMMYFUNCTION("""COMPUTED_VALUE"""),"Ley")</f>
        <v>Ley</v>
      </c>
      <c r="K442" s="20">
        <f ca="1">IFERROR(__xludf.DUMMYFUNCTION("""COMPUTED_VALUE"""),33550)</f>
        <v>33550</v>
      </c>
      <c r="L442" s="20" t="str">
        <f ca="1">IFERROR(__xludf.DUMMYFUNCTION("""COMPUTED_VALUE"""),"Poder Legislativo Provincial")</f>
        <v>Poder Legislativo Provincial</v>
      </c>
      <c r="M442" s="20" t="str">
        <f ca="1">IFERROR(__xludf.DUMMYFUNCTION("""COMPUTED_VALUE"""),"Declarando de interés histórico, cultural y turístico de la Provincia de Córdoba al ""Museo Nacional de Malvinas"" de la ciudad de Oliva, Dpto. Tercero Arriba")</f>
        <v>Declarando de interés histórico, cultural y turístico de la Provincia de Córdoba al "Museo Nacional de Malvinas" de la ciudad de Oliva, Dpto. Tercero Arriba</v>
      </c>
      <c r="N442" s="20" t="str">
        <f ca="1">IFERROR(__xludf.DUMMYFUNCTION("""COMPUTED_VALUE"""),"SI")</f>
        <v>SI</v>
      </c>
      <c r="O442" s="20" t="str">
        <f ca="1">IFERROR(__xludf.DUMMYFUNCTION("""COMPUTED_VALUE"""),"No")</f>
        <v>No</v>
      </c>
      <c r="P442" s="20">
        <f ca="1">IFERROR(__xludf.DUMMYFUNCTION("""COMPUTED_VALUE"""),0)</f>
        <v>0</v>
      </c>
      <c r="Q442" s="113" t="str">
        <f ca="1">IFERROR(__xludf.DUMMYFUNCTION("""COMPUTED_VALUE"""),"https://gld.legislaturacba.gob.ar/_cdd/api/Documento/descargar?guid=646633bd-fecb-41d3-9638-dc6563b1984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v>
      </c>
      <c r="R442" s="113" t="str">
        <f ca="1">IFERROR(__xludf.DUMMYFUNCTION("""COMPUTED_VALUE"""),"https://www.youtube.com/watch?v=RGL-1k2bvl0")</f>
        <v>https://www.youtube.com/watch?v=RGL-1k2bvl0</v>
      </c>
      <c r="S442" s="113" t="str">
        <f ca="1">IFERROR(__xludf.DUMMYFUNCTION("""COMPUTED_VALUE"""),"https://gld.legislaturacba.gob.ar/Publics/Actas.aspx?id=zoi68Ubm00I=;https://gld.legislaturacba.gob.ar/Publics/Actas.aspx?id=XHWO4cTnLdE=;https://gld.legislaturacba.gob.ar/Publics/Actas.aspx?id=erMCrdeIfzM=")</f>
        <v>https://gld.legislaturacba.gob.ar/Publics/Actas.aspx?id=zoi68Ubm00I=;https://gld.legislaturacba.gob.ar/Publics/Actas.aspx?id=XHWO4cTnLdE=;https://gld.legislaturacba.gob.ar/Publics/Actas.aspx?id=erMCrdeIfzM=</v>
      </c>
      <c r="T442" s="99">
        <f t="shared" ca="1" si="0"/>
        <v>0</v>
      </c>
    </row>
    <row r="443" spans="1:20">
      <c r="A443" s="20">
        <f ca="1">IFERROR(__xludf.DUMMYFUNCTION("""COMPUTED_VALUE"""),205)</f>
        <v>205</v>
      </c>
      <c r="B443" s="20">
        <f ca="1">IFERROR(__xludf.DUMMYFUNCTION("""COMPUTED_VALUE"""),2021)</f>
        <v>2021</v>
      </c>
      <c r="C443" s="20" t="str">
        <f ca="1">IFERROR(__xludf.DUMMYFUNCTION("""COMPUTED_VALUE"""),"VIRTUAL")</f>
        <v>VIRTUAL</v>
      </c>
      <c r="D443" s="96">
        <f ca="1">IFERROR(__xludf.DUMMYFUNCTION("""COMPUTED_VALUE"""),44483)</f>
        <v>44483</v>
      </c>
      <c r="E443" s="20" t="str">
        <f ca="1">IFERROR(__xludf.DUMMYFUNCTION("""COMPUTED_VALUE"""),"SI")</f>
        <v>SI</v>
      </c>
      <c r="F443" s="20" t="str">
        <f ca="1">IFERROR(__xludf.DUMMYFUNCTION("""COMPUTED_VALUE"""),"AMBIENTE;INDUSTRIA Y MINERÍA;SERVICIOS PÚBLICOS")</f>
        <v>AMBIENTE;INDUSTRIA Y MINERÍA;SERVICIOS PÚBLICOS</v>
      </c>
      <c r="G443" s="20">
        <f ca="1">IFERROR(__xludf.DUMMYFUNCTION("""COMPUTED_VALUE"""),3)</f>
        <v>3</v>
      </c>
      <c r="H443" s="20">
        <f ca="1">IFERROR(__xludf.DUMMYFUNCTION("""COMPUTED_VALUE"""),2)</f>
        <v>2</v>
      </c>
      <c r="I443" s="20">
        <f ca="1">IFERROR(__xludf.DUMMYFUNCTION("""COMPUTED_VALUE"""),1)</f>
        <v>1</v>
      </c>
      <c r="J443" s="20" t="str">
        <f ca="1">IFERROR(__xludf.DUMMYFUNCTION("""COMPUTED_VALUE"""),"NA")</f>
        <v>NA</v>
      </c>
      <c r="K443" s="20" t="str">
        <f ca="1">IFERROR(__xludf.DUMMYFUNCTION("""COMPUTED_VALUE"""),"NA")</f>
        <v>NA</v>
      </c>
      <c r="L443" s="20" t="str">
        <f ca="1">IFERROR(__xludf.DUMMYFUNCTION("""COMPUTED_VALUE"""),"NA")</f>
        <v>NA</v>
      </c>
      <c r="M443" s="20" t="str">
        <f ca="1">IFERROR(__xludf.DUMMYFUNCTION("""COMPUTED_VALUE"""),"Avances sobre la Ley N° 10721 -De Promoción y Desarrollo para la producción y consumo de Biocombustibles y Bioenergía-. Acciones vinculadas al desarrollo de biocombustibles y bioenergía en la provincia de Córdoba.")</f>
        <v>Avances sobre la Ley N° 10721 -De Promoción y Desarrollo para la producción y consumo de Biocombustibles y Bioenergía-. Acciones vinculadas al desarrollo de biocombustibles y bioenergía en la provincia de Córdoba.</v>
      </c>
      <c r="N443" s="20" t="str">
        <f ca="1">IFERROR(__xludf.DUMMYFUNCTION("""COMPUTED_VALUE"""),"NA")</f>
        <v>NA</v>
      </c>
      <c r="O443" s="20" t="str">
        <f ca="1">IFERROR(__xludf.DUMMYFUNCTION("""COMPUTED_VALUE"""),"SI")</f>
        <v>SI</v>
      </c>
      <c r="P443" s="20">
        <f ca="1">IFERROR(__xludf.DUMMYFUNCTION("""COMPUTED_VALUE"""),1)</f>
        <v>1</v>
      </c>
      <c r="Q443" s="113" t="str">
        <f ca="1">IFERROR(__xludf.DUMMYFUNCTION("""COMPUTED_VALUE"""),"https://gld.legislaturacba.gob.ar/_cdd/api/Documento/descargar?guid=3b49926f-72d0-43e3-85b3-e4a73750e266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v>
      </c>
      <c r="R443" s="113" t="str">
        <f ca="1">IFERROR(__xludf.DUMMYFUNCTION("""COMPUTED_VALUE"""),"https://www.youtube.com/watch?v=weLYICQT1qI")</f>
        <v>https://www.youtube.com/watch?v=weLYICQT1qI</v>
      </c>
      <c r="S443" s="113" t="str">
        <f ca="1">IFERROR(__xludf.DUMMYFUNCTION("""COMPUTED_VALUE"""),"https://gld.legislaturacba.gob.ar/Publics/Actas.aspx?id=CG-k-1Uqe4Q=;https://gld.legislaturacba.gob.ar/Publics/Actas.aspx?id=GW8yv50WBSU=;https://gld.legislaturacba.gob.ar/Publics/Actas.aspx?id=fVD_iwIdhEE=")</f>
        <v>https://gld.legislaturacba.gob.ar/Publics/Actas.aspx?id=CG-k-1Uqe4Q=;https://gld.legislaturacba.gob.ar/Publics/Actas.aspx?id=GW8yv50WBSU=;https://gld.legislaturacba.gob.ar/Publics/Actas.aspx?id=fVD_iwIdhEE=</v>
      </c>
      <c r="T443" s="99">
        <f t="shared" ca="1" si="0"/>
        <v>0</v>
      </c>
    </row>
    <row r="444" spans="1:20">
      <c r="A444" s="20">
        <f ca="1">IFERROR(__xludf.DUMMYFUNCTION("""COMPUTED_VALUE"""),206)</f>
        <v>206</v>
      </c>
      <c r="B444" s="20">
        <f ca="1">IFERROR(__xludf.DUMMYFUNCTION("""COMPUTED_VALUE"""),2021)</f>
        <v>2021</v>
      </c>
      <c r="C444" s="20" t="str">
        <f ca="1">IFERROR(__xludf.DUMMYFUNCTION("""COMPUTED_VALUE"""),"VIRTUAL")</f>
        <v>VIRTUAL</v>
      </c>
      <c r="D444" s="96">
        <f ca="1">IFERROR(__xludf.DUMMYFUNCTION("""COMPUTED_VALUE"""),44488)</f>
        <v>44488</v>
      </c>
      <c r="E444" s="20" t="str">
        <f ca="1">IFERROR(__xludf.DUMMYFUNCTION("""COMPUTED_VALUE"""),"SI")</f>
        <v>SI</v>
      </c>
      <c r="F444"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44" s="20">
        <f ca="1">IFERROR(__xludf.DUMMYFUNCTION("""COMPUTED_VALUE"""),3)</f>
        <v>3</v>
      </c>
      <c r="H444" s="20">
        <f ca="1">IFERROR(__xludf.DUMMYFUNCTION("""COMPUTED_VALUE"""),1)</f>
        <v>1</v>
      </c>
      <c r="I444" s="20">
        <f ca="1">IFERROR(__xludf.DUMMYFUNCTION("""COMPUTED_VALUE"""),1)</f>
        <v>1</v>
      </c>
      <c r="J444" s="20" t="str">
        <f ca="1">IFERROR(__xludf.DUMMYFUNCTION("""COMPUTED_VALUE"""),"Ley")</f>
        <v>Ley</v>
      </c>
      <c r="K444" s="20">
        <f ca="1">IFERROR(__xludf.DUMMYFUNCTION("""COMPUTED_VALUE"""),30707)</f>
        <v>30707</v>
      </c>
      <c r="L444" s="20" t="str">
        <f ca="1">IFERROR(__xludf.DUMMYFUNCTION("""COMPUTED_VALUE"""),"Poder Legislativo Provincial")</f>
        <v>Poder Legislativo Provincial</v>
      </c>
      <c r="M444"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44" s="20" t="str">
        <f ca="1">IFERROR(__xludf.DUMMYFUNCTION("""COMPUTED_VALUE"""),"NO")</f>
        <v>NO</v>
      </c>
      <c r="O444" s="20" t="str">
        <f ca="1">IFERROR(__xludf.DUMMYFUNCTION("""COMPUTED_VALUE"""),"SI")</f>
        <v>SI</v>
      </c>
      <c r="P444" s="20">
        <f ca="1">IFERROR(__xludf.DUMMYFUNCTION("""COMPUTED_VALUE"""),6)</f>
        <v>6</v>
      </c>
      <c r="Q444" s="113" t="str">
        <f ca="1">IFERROR(__xludf.DUMMYFUNCTION("""COMPUTED_VALUE"""),"https://gld.legislaturacba.gob.ar/_cdd/api/Documento/descargar?guid=e3cbe613-b16d-4f9e-ab17-7972384a9285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v>
      </c>
      <c r="R444" s="113" t="str">
        <f ca="1">IFERROR(__xludf.DUMMYFUNCTION("""COMPUTED_VALUE"""),"https://www.youtube.com/watch?v=ROQrNF16rz0")</f>
        <v>https://www.youtube.com/watch?v=ROQrNF16rz0</v>
      </c>
      <c r="S444" s="113" t="str">
        <f ca="1">IFERROR(__xludf.DUMMYFUNCTION("""COMPUTED_VALUE"""),"https://gld.legislaturacba.gob.ar/Publics/Actas.aspx?id=pwRp3ID1rJc=;https://gld.legislaturacba.gob.ar/Publics/Actas.aspx?id=VuZhZEJoiYg=;https://gld.legislaturacba.gob.ar/Publics/Actas.aspx?id=4FAxds41qyI=")</f>
        <v>https://gld.legislaturacba.gob.ar/Publics/Actas.aspx?id=pwRp3ID1rJc=;https://gld.legislaturacba.gob.ar/Publics/Actas.aspx?id=VuZhZEJoiYg=;https://gld.legislaturacba.gob.ar/Publics/Actas.aspx?id=4FAxds41qyI=</v>
      </c>
      <c r="T444" s="99">
        <f t="shared" ca="1" si="0"/>
        <v>0</v>
      </c>
    </row>
    <row r="445" spans="1:20">
      <c r="A445" s="20">
        <f ca="1">IFERROR(__xludf.DUMMYFUNCTION("""COMPUTED_VALUE"""),207)</f>
        <v>207</v>
      </c>
      <c r="B445" s="20">
        <f ca="1">IFERROR(__xludf.DUMMYFUNCTION("""COMPUTED_VALUE"""),2021)</f>
        <v>2021</v>
      </c>
      <c r="C445" s="20" t="str">
        <f ca="1">IFERROR(__xludf.DUMMYFUNCTION("""COMPUTED_VALUE"""),"VIRTUAL")</f>
        <v>VIRTUAL</v>
      </c>
      <c r="D445" s="96">
        <f ca="1">IFERROR(__xludf.DUMMYFUNCTION("""COMPUTED_VALUE"""),44488)</f>
        <v>44488</v>
      </c>
      <c r="E445" s="20" t="str">
        <f ca="1">IFERROR(__xludf.DUMMYFUNCTION("""COMPUTED_VALUE"""),"SI")</f>
        <v>SI</v>
      </c>
      <c r="F445"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445" s="20">
        <f ca="1">IFERROR(__xludf.DUMMYFUNCTION("""COMPUTED_VALUE"""),2)</f>
        <v>2</v>
      </c>
      <c r="H445" s="20">
        <f ca="1">IFERROR(__xludf.DUMMYFUNCTION("""COMPUTED_VALUE"""),2)</f>
        <v>2</v>
      </c>
      <c r="I445" s="20">
        <f ca="1">IFERROR(__xludf.DUMMYFUNCTION("""COMPUTED_VALUE"""),1)</f>
        <v>1</v>
      </c>
      <c r="J445" s="20" t="str">
        <f ca="1">IFERROR(__xludf.DUMMYFUNCTION("""COMPUTED_VALUE"""),"Ley")</f>
        <v>Ley</v>
      </c>
      <c r="K445" s="20">
        <f ca="1">IFERROR(__xludf.DUMMYFUNCTION("""COMPUTED_VALUE"""),32770)</f>
        <v>32770</v>
      </c>
      <c r="L445" s="20" t="str">
        <f ca="1">IFERROR(__xludf.DUMMYFUNCTION("""COMPUTED_VALUE"""),"Poder Legislativo Provincial")</f>
        <v>Poder Legislativo Provincial</v>
      </c>
      <c r="M445" s="20" t="str">
        <f ca="1">IFERROR(__xludf.DUMMYFUNCTION("""COMPUTED_VALUE"""),"Creando el “Programa de Protección Digital” en el ámbito de la Defensoría de los Derechos de Niñas, Niños y Adolescentes de la Provincia de Córdoba.")</f>
        <v>Creando el “Programa de Protección Digital” en el ámbito de la Defensoría de los Derechos de Niñas, Niños y Adolescentes de la Provincia de Córdoba.</v>
      </c>
      <c r="N445" s="20" t="str">
        <f ca="1">IFERROR(__xludf.DUMMYFUNCTION("""COMPUTED_VALUE"""),"NO")</f>
        <v>NO</v>
      </c>
      <c r="O445" s="20" t="str">
        <f ca="1">IFERROR(__xludf.DUMMYFUNCTION("""COMPUTED_VALUE"""),"NO")</f>
        <v>NO</v>
      </c>
      <c r="P445" s="20">
        <f ca="1">IFERROR(__xludf.DUMMYFUNCTION("""COMPUTED_VALUE"""),0)</f>
        <v>0</v>
      </c>
      <c r="Q445" s="113" t="str">
        <f ca="1">IFERROR(__xludf.DUMMYFUNCTION("""COMPUTED_VALUE"""),"https://gld.legislaturacba.gob.ar/_cdd/api/Documento/descargar?guid=a435803f-8a3e-430e-b873-5c3411ea54e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v>
      </c>
      <c r="R445" s="113" t="str">
        <f ca="1">IFERROR(__xludf.DUMMYFUNCTION("""COMPUTED_VALUE"""),"https://www.youtube.com/watch?v=2d6qvN8_LpU")</f>
        <v>https://www.youtube.com/watch?v=2d6qvN8_LpU</v>
      </c>
      <c r="S445" s="113" t="str">
        <f ca="1">IFERROR(__xludf.DUMMYFUNCTION("""COMPUTED_VALUE"""),"https://gld.legislaturacba.gob.ar/Publics/Actas.aspx?id=OlGIMS9VXNE=;https://gld.legislaturacba.gob.ar/Publics/Actas.aspx?id=cRExoTyiQo8=")</f>
        <v>https://gld.legislaturacba.gob.ar/Publics/Actas.aspx?id=OlGIMS9VXNE=;https://gld.legislaturacba.gob.ar/Publics/Actas.aspx?id=cRExoTyiQo8=</v>
      </c>
      <c r="T445" s="99">
        <f t="shared" ca="1" si="0"/>
        <v>0</v>
      </c>
    </row>
    <row r="446" spans="1:20">
      <c r="A446" s="20">
        <f ca="1">IFERROR(__xludf.DUMMYFUNCTION("""COMPUTED_VALUE"""),208)</f>
        <v>208</v>
      </c>
      <c r="B446" s="20">
        <f ca="1">IFERROR(__xludf.DUMMYFUNCTION("""COMPUTED_VALUE"""),2021)</f>
        <v>2021</v>
      </c>
      <c r="C446" s="20" t="str">
        <f ca="1">IFERROR(__xludf.DUMMYFUNCTION("""COMPUTED_VALUE"""),"VIRTUAL")</f>
        <v>VIRTUAL</v>
      </c>
      <c r="D446" s="96">
        <f ca="1">IFERROR(__xludf.DUMMYFUNCTION("""COMPUTED_VALUE"""),44488)</f>
        <v>44488</v>
      </c>
      <c r="E446" s="20" t="str">
        <f ca="1">IFERROR(__xludf.DUMMYFUNCTION("""COMPUTED_VALUE"""),"NO")</f>
        <v>NO</v>
      </c>
      <c r="F446" s="20" t="str">
        <f ca="1">IFERROR(__xludf.DUMMYFUNCTION("""COMPUTED_VALUE"""),"ASUNTOS CONSTITUCIONALES, JUSTICIA Y ACUERDOS")</f>
        <v>ASUNTOS CONSTITUCIONALES, JUSTICIA Y ACUERDOS</v>
      </c>
      <c r="G446" s="20">
        <f ca="1">IFERROR(__xludf.DUMMYFUNCTION("""COMPUTED_VALUE"""),1)</f>
        <v>1</v>
      </c>
      <c r="H446" s="20">
        <f ca="1">IFERROR(__xludf.DUMMYFUNCTION("""COMPUTED_VALUE"""),3)</f>
        <v>3</v>
      </c>
      <c r="I446" s="20">
        <f ca="1">IFERROR(__xludf.DUMMYFUNCTION("""COMPUTED_VALUE"""),1)</f>
        <v>1</v>
      </c>
      <c r="J446" s="20" t="str">
        <f ca="1">IFERROR(__xludf.DUMMYFUNCTION("""COMPUTED_VALUE"""),"Pliego")</f>
        <v>Pliego</v>
      </c>
      <c r="K446" s="20">
        <f ca="1">IFERROR(__xludf.DUMMYFUNCTION("""COMPUTED_VALUE"""),33813)</f>
        <v>33813</v>
      </c>
      <c r="L446" s="20" t="str">
        <f ca="1">IFERROR(__xludf.DUMMYFUNCTION("""COMPUTED_VALUE"""),"Poder Ejecutivo Provincial")</f>
        <v>Poder Ejecutivo Provincial</v>
      </c>
      <c r="M446" s="20" t="str">
        <f ca="1">IFERROR(__xludf.DUMMYFUNCTION("""COMPUTED_VALUE"""),"Solicitando acuerdo para designar al Abogado Gustavo Alfredo Dalma, como Fiscal de Cámara en lo Criminal y Correccional en la Fiscalía de Cámara en lo Criminal y Correccional de Décima Nominación, con sede en la ciudad de Córdoba.")</f>
        <v>Solicitando acuerdo para designar al Abogado Gustavo Alfredo Dalma, como Fiscal de Cámara en lo Criminal y Correccional en la Fiscalía de Cámara en lo Criminal y Correccional de Décima Nominación, con sede en la ciudad de Córdoba.</v>
      </c>
      <c r="N446" s="20" t="str">
        <f ca="1">IFERROR(__xludf.DUMMYFUNCTION("""COMPUTED_VALUE"""),"SI")</f>
        <v>SI</v>
      </c>
      <c r="O446" s="20" t="str">
        <f ca="1">IFERROR(__xludf.DUMMYFUNCTION("""COMPUTED_VALUE"""),"NO")</f>
        <v>NO</v>
      </c>
      <c r="P446" s="20">
        <f ca="1">IFERROR(__xludf.DUMMYFUNCTION("""COMPUTED_VALUE"""),0)</f>
        <v>0</v>
      </c>
      <c r="Q446" s="113" t="str">
        <f ca="1">IFERROR(__xludf.DUMMYFUNCTION("""COMPUTED_VALUE"""),"https://gld.legislaturacba.gob.ar/_cdd/api/Documento/descargar?guid=b7666f68-f0d7-4cd0-ae08-2771ccaa8c3d&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v>
      </c>
      <c r="R446" s="113" t="str">
        <f ca="1">IFERROR(__xludf.DUMMYFUNCTION("""COMPUTED_VALUE"""),"https://www.youtube.com/watch?v=-iA2mMOyvao")</f>
        <v>https://www.youtube.com/watch?v=-iA2mMOyvao</v>
      </c>
      <c r="S446" s="113" t="str">
        <f ca="1">IFERROR(__xludf.DUMMYFUNCTION("""COMPUTED_VALUE"""),"https://gld.legislaturacba.gob.ar/Publics/Actas.aspx?id=pAoyCnxY2cg=")</f>
        <v>https://gld.legislaturacba.gob.ar/Publics/Actas.aspx?id=pAoyCnxY2cg=</v>
      </c>
      <c r="T446" s="99">
        <f t="shared" ca="1" si="0"/>
        <v>0</v>
      </c>
    </row>
    <row r="447" spans="1:20">
      <c r="A447" s="20">
        <f ca="1">IFERROR(__xludf.DUMMYFUNCTION("""COMPUTED_VALUE"""),209)</f>
        <v>209</v>
      </c>
      <c r="B447" s="20">
        <f ca="1">IFERROR(__xludf.DUMMYFUNCTION("""COMPUTED_VALUE"""),2021)</f>
        <v>2021</v>
      </c>
      <c r="C447" s="20" t="str">
        <f ca="1">IFERROR(__xludf.DUMMYFUNCTION("""COMPUTED_VALUE"""),"VIRTUAL")</f>
        <v>VIRTUAL</v>
      </c>
      <c r="D447" s="96">
        <f ca="1">IFERROR(__xludf.DUMMYFUNCTION("""COMPUTED_VALUE"""),44490)</f>
        <v>44490</v>
      </c>
      <c r="E447" s="20" t="str">
        <f ca="1">IFERROR(__xludf.DUMMYFUNCTION("""COMPUTED_VALUE"""),"SI")</f>
        <v>SI</v>
      </c>
      <c r="F447" s="20" t="str">
        <f ca="1">IFERROR(__xludf.DUMMYFUNCTION("""COMPUTED_VALUE"""),"ECONOMÍA, PRESUPUESTO, GESTIÓN PÚBLICA E INNOVACIÓN;INDUSTRIA Y MINERÍA")</f>
        <v>ECONOMÍA, PRESUPUESTO, GESTIÓN PÚBLICA E INNOVACIÓN;INDUSTRIA Y MINERÍA</v>
      </c>
      <c r="G447" s="20">
        <f ca="1">IFERROR(__xludf.DUMMYFUNCTION("""COMPUTED_VALUE"""),2)</f>
        <v>2</v>
      </c>
      <c r="H447" s="20">
        <f ca="1">IFERROR(__xludf.DUMMYFUNCTION("""COMPUTED_VALUE"""),1)</f>
        <v>1</v>
      </c>
      <c r="I447" s="20">
        <f ca="1">IFERROR(__xludf.DUMMYFUNCTION("""COMPUTED_VALUE"""),1)</f>
        <v>1</v>
      </c>
      <c r="J447" s="20" t="str">
        <f ca="1">IFERROR(__xludf.DUMMYFUNCTION("""COMPUTED_VALUE"""),"Ley")</f>
        <v>Ley</v>
      </c>
      <c r="K447" s="20">
        <f ca="1">IFERROR(__xludf.DUMMYFUNCTION("""COMPUTED_VALUE"""),33954)</f>
        <v>33954</v>
      </c>
      <c r="L447" s="20" t="str">
        <f ca="1">IFERROR(__xludf.DUMMYFUNCTION("""COMPUTED_VALUE"""),"Poder Ejecutivo Provincial")</f>
        <v>Poder Ejecutivo Provincial</v>
      </c>
      <c r="M447" s="20" t="str">
        <f ca="1">IFERROR(__xludf.DUMMYFUNCTION("""COMPUTED_VALUE"""),"Donando a favor de la Municipalidad de la localidad de Tancacha, Dpto. Tercero Arriba, un inmueble destinado a la construcción y puesta en marcha de un parque industrial en los términos de la Ley Nº 7255")</f>
        <v>Donando a favor de la Municipalidad de la localidad de Tancacha, Dpto. Tercero Arriba, un inmueble destinado a la construcción y puesta en marcha de un parque industrial en los términos de la Ley Nº 7255</v>
      </c>
      <c r="N447" s="20" t="str">
        <f ca="1">IFERROR(__xludf.DUMMYFUNCTION("""COMPUTED_VALUE"""),"NO")</f>
        <v>NO</v>
      </c>
      <c r="O447" s="20" t="str">
        <f ca="1">IFERROR(__xludf.DUMMYFUNCTION("""COMPUTED_VALUE"""),"SI")</f>
        <v>SI</v>
      </c>
      <c r="P447" s="20">
        <f ca="1">IFERROR(__xludf.DUMMYFUNCTION("""COMPUTED_VALUE"""),1)</f>
        <v>1</v>
      </c>
      <c r="Q447" s="113" t="str">
        <f ca="1">IFERROR(__xludf.DUMMYFUNCTION("""COMPUTED_VALUE"""),"https://gld.legislaturacba.gob.ar/_cdd/api/Documento/descargar?guid=f4be760f-e606-42f0-946b-34187f1cd21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v>
      </c>
      <c r="R447" s="113" t="str">
        <f ca="1">IFERROR(__xludf.DUMMYFUNCTION("""COMPUTED_VALUE"""),"https://www.youtube.com/watch?v=MrttBxcYXNM")</f>
        <v>https://www.youtube.com/watch?v=MrttBxcYXNM</v>
      </c>
      <c r="S447" s="113" t="str">
        <f ca="1">IFERROR(__xludf.DUMMYFUNCTION("""COMPUTED_VALUE"""),"https://gld.legislaturacba.gob.ar/Publics/Actas.aspx?id=GF1sxSxYnvc=;https://gld.legislaturacba.gob.ar/Publics/Actas.aspx?id=t8ePN4SmNbw=")</f>
        <v>https://gld.legislaturacba.gob.ar/Publics/Actas.aspx?id=GF1sxSxYnvc=;https://gld.legislaturacba.gob.ar/Publics/Actas.aspx?id=t8ePN4SmNbw=</v>
      </c>
      <c r="T447" s="99">
        <f t="shared" ca="1" si="0"/>
        <v>0</v>
      </c>
    </row>
    <row r="448" spans="1:20">
      <c r="A448" s="20">
        <f ca="1">IFERROR(__xludf.DUMMYFUNCTION("""COMPUTED_VALUE"""),210)</f>
        <v>210</v>
      </c>
      <c r="B448" s="20">
        <f ca="1">IFERROR(__xludf.DUMMYFUNCTION("""COMPUTED_VALUE"""),2021)</f>
        <v>2021</v>
      </c>
      <c r="C448" s="20" t="str">
        <f ca="1">IFERROR(__xludf.DUMMYFUNCTION("""COMPUTED_VALUE"""),"VIRTUAL")</f>
        <v>VIRTUAL</v>
      </c>
      <c r="D448" s="96">
        <f ca="1">IFERROR(__xludf.DUMMYFUNCTION("""COMPUTED_VALUE"""),44490)</f>
        <v>44490</v>
      </c>
      <c r="E448" s="20" t="str">
        <f ca="1">IFERROR(__xludf.DUMMYFUNCTION("""COMPUTED_VALUE"""),"NO")</f>
        <v>NO</v>
      </c>
      <c r="F448" s="20" t="str">
        <f ca="1">IFERROR(__xludf.DUMMYFUNCTION("""COMPUTED_VALUE"""),"ECONOMÍA, PRESUPUESTO, GESTIÓN PÚBLICA E INNOVACIÓN")</f>
        <v>ECONOMÍA, PRESUPUESTO, GESTIÓN PÚBLICA E INNOVACIÓN</v>
      </c>
      <c r="G448" s="20">
        <f ca="1">IFERROR(__xludf.DUMMYFUNCTION("""COMPUTED_VALUE"""),1)</f>
        <v>1</v>
      </c>
      <c r="H448" s="20">
        <f ca="1">IFERROR(__xludf.DUMMYFUNCTION("""COMPUTED_VALUE"""),1)</f>
        <v>1</v>
      </c>
      <c r="I448" s="20">
        <f ca="1">IFERROR(__xludf.DUMMYFUNCTION("""COMPUTED_VALUE"""),1)</f>
        <v>1</v>
      </c>
      <c r="J448" s="20" t="str">
        <f ca="1">IFERROR(__xludf.DUMMYFUNCTION("""COMPUTED_VALUE"""),"NA")</f>
        <v>NA</v>
      </c>
      <c r="K448" s="20" t="str">
        <f ca="1">IFERROR(__xludf.DUMMYFUNCTION("""COMPUTED_VALUE"""),"NA")</f>
        <v>NA</v>
      </c>
      <c r="L448" s="20" t="str">
        <f ca="1">IFERROR(__xludf.DUMMYFUNCTION("""COMPUTED_VALUE"""),"NA")</f>
        <v>NA</v>
      </c>
      <c r="M448" s="20" t="str">
        <f ca="1">IFERROR(__xludf.DUMMYFUNCTION("""COMPUTED_VALUE"""),"El presupuesto con perspectiva de Género en el contexto de la gestión por resultados orientada al ciudadano")</f>
        <v>El presupuesto con perspectiva de Género en el contexto de la gestión por resultados orientada al ciudadano</v>
      </c>
      <c r="N448" s="20" t="str">
        <f ca="1">IFERROR(__xludf.DUMMYFUNCTION("""COMPUTED_VALUE"""),"NA")</f>
        <v>NA</v>
      </c>
      <c r="O448" s="20" t="str">
        <f ca="1">IFERROR(__xludf.DUMMYFUNCTION("""COMPUTED_VALUE"""),"SI")</f>
        <v>SI</v>
      </c>
      <c r="P448" s="20">
        <f ca="1">IFERROR(__xludf.DUMMYFUNCTION("""COMPUTED_VALUE"""),3)</f>
        <v>3</v>
      </c>
      <c r="Q448" s="20" t="str">
        <f ca="1">IFERROR(__xludf.DUMMYFUNCTION("""COMPUTED_VALUE"""),"NA")</f>
        <v>NA</v>
      </c>
      <c r="R448" s="113" t="str">
        <f ca="1">IFERROR(__xludf.DUMMYFUNCTION("""COMPUTED_VALUE"""),"https://www.youtube.com/watch?v=s-e63Z3Q0z4")</f>
        <v>https://www.youtube.com/watch?v=s-e63Z3Q0z4</v>
      </c>
      <c r="S448" s="113" t="str">
        <f ca="1">IFERROR(__xludf.DUMMYFUNCTION("""COMPUTED_VALUE"""),"https://gld.legislaturacba.gob.ar/Publics/Actas.aspx?id=GF1sxSxYnvc=")</f>
        <v>https://gld.legislaturacba.gob.ar/Publics/Actas.aspx?id=GF1sxSxYnvc=</v>
      </c>
      <c r="T448" s="99">
        <f t="shared" ca="1" si="0"/>
        <v>0</v>
      </c>
    </row>
    <row r="449" spans="1:20">
      <c r="A449" s="20">
        <f ca="1">IFERROR(__xludf.DUMMYFUNCTION("""COMPUTED_VALUE"""),211)</f>
        <v>211</v>
      </c>
      <c r="B449" s="20">
        <f ca="1">IFERROR(__xludf.DUMMYFUNCTION("""COMPUTED_VALUE"""),2021)</f>
        <v>2021</v>
      </c>
      <c r="C449" s="20" t="str">
        <f ca="1">IFERROR(__xludf.DUMMYFUNCTION("""COMPUTED_VALUE"""),"VIRTUAL")</f>
        <v>VIRTUAL</v>
      </c>
      <c r="D449" s="96">
        <f ca="1">IFERROR(__xludf.DUMMYFUNCTION("""COMPUTED_VALUE"""),44490)</f>
        <v>44490</v>
      </c>
      <c r="E449" s="20" t="str">
        <f ca="1">IFERROR(__xludf.DUMMYFUNCTION("""COMPUTED_VALUE"""),"NO")</f>
        <v>NO</v>
      </c>
      <c r="F449" s="20" t="str">
        <f ca="1">IFERROR(__xludf.DUMMYFUNCTION("""COMPUTED_VALUE"""),"SALUD HUMANA")</f>
        <v>SALUD HUMANA</v>
      </c>
      <c r="G449" s="20">
        <f ca="1">IFERROR(__xludf.DUMMYFUNCTION("""COMPUTED_VALUE"""),1)</f>
        <v>1</v>
      </c>
      <c r="H449" s="20">
        <f ca="1">IFERROR(__xludf.DUMMYFUNCTION("""COMPUTED_VALUE"""),1)</f>
        <v>1</v>
      </c>
      <c r="I449" s="20">
        <f ca="1">IFERROR(__xludf.DUMMYFUNCTION("""COMPUTED_VALUE"""),1)</f>
        <v>1</v>
      </c>
      <c r="J449" s="20" t="str">
        <f ca="1">IFERROR(__xludf.DUMMYFUNCTION("""COMPUTED_VALUE"""),"Resolución")</f>
        <v>Resolución</v>
      </c>
      <c r="K449" s="20">
        <f ca="1">IFERROR(__xludf.DUMMYFUNCTION("""COMPUTED_VALUE"""),33604)</f>
        <v>33604</v>
      </c>
      <c r="L449" s="20" t="str">
        <f ca="1">IFERROR(__xludf.DUMMYFUNCTION("""COMPUTED_VALUE"""),"Poder Legislativo Provincial")</f>
        <v>Poder Legislativo Provincial</v>
      </c>
      <c r="M449" s="20" t="str">
        <f ca="1">IFERROR(__xludf.DUMMYFUNCTION("""COMPUTED_VALUE"""),"Solicitando al Poder Ejecutivo informe (Art. 102 C.P.) sobre la efectiva aplicación de la Ley 10756 -de adhesión a la Ley Nacional Nº 27350 - Uso Medicinal de la Planta de Cannabis y sus derivados-")</f>
        <v>Solicitando al Poder Ejecutivo informe (Art. 102 C.P.) sobre la efectiva aplicación de la Ley 10756 -de adhesión a la Ley Nacional Nº 27350 - Uso Medicinal de la Planta de Cannabis y sus derivados-</v>
      </c>
      <c r="N449" s="20" t="str">
        <f ca="1">IFERROR(__xludf.DUMMYFUNCTION("""COMPUTED_VALUE"""),"NO")</f>
        <v>NO</v>
      </c>
      <c r="O449" s="20" t="str">
        <f ca="1">IFERROR(__xludf.DUMMYFUNCTION("""COMPUTED_VALUE"""),"SI")</f>
        <v>SI</v>
      </c>
      <c r="P449" s="20">
        <f ca="1">IFERROR(__xludf.DUMMYFUNCTION("""COMPUTED_VALUE"""),2)</f>
        <v>2</v>
      </c>
      <c r="Q449" s="113" t="str">
        <f ca="1">IFERROR(__xludf.DUMMYFUNCTION("""COMPUTED_VALUE"""),"https://gld.legislaturacba.gob.ar/_cdd/api/Documento/descargar?guid=48f629d8-6d01-48b8-b293-be2ad668068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v>
      </c>
      <c r="R449" s="113" t="str">
        <f ca="1">IFERROR(__xludf.DUMMYFUNCTION("""COMPUTED_VALUE"""),"https://www.youtube.com/watch?v=ggJ8_X2pdVw")</f>
        <v>https://www.youtube.com/watch?v=ggJ8_X2pdVw</v>
      </c>
      <c r="S449" s="113" t="str">
        <f ca="1">IFERROR(__xludf.DUMMYFUNCTION("""COMPUTED_VALUE"""),"https://gld.legislaturacba.gob.ar/Publics/Actas.aspx?id=9ncwsZP5yvs=")</f>
        <v>https://gld.legislaturacba.gob.ar/Publics/Actas.aspx?id=9ncwsZP5yvs=</v>
      </c>
      <c r="T449" s="99">
        <f t="shared" ca="1" si="0"/>
        <v>0</v>
      </c>
    </row>
    <row r="450" spans="1:20">
      <c r="A450" s="20">
        <f ca="1">IFERROR(__xludf.DUMMYFUNCTION("""COMPUTED_VALUE"""),212)</f>
        <v>212</v>
      </c>
      <c r="B450" s="20">
        <f ca="1">IFERROR(__xludf.DUMMYFUNCTION("""COMPUTED_VALUE"""),2021)</f>
        <v>2021</v>
      </c>
      <c r="C450" s="20" t="str">
        <f ca="1">IFERROR(__xludf.DUMMYFUNCTION("""COMPUTED_VALUE"""),"VIRTUAL")</f>
        <v>VIRTUAL</v>
      </c>
      <c r="D450" s="96">
        <f ca="1">IFERROR(__xludf.DUMMYFUNCTION("""COMPUTED_VALUE"""),44495)</f>
        <v>44495</v>
      </c>
      <c r="E450" s="20" t="str">
        <f ca="1">IFERROR(__xludf.DUMMYFUNCTION("""COMPUTED_VALUE"""),"SI")</f>
        <v>SI</v>
      </c>
      <c r="F450" s="20" t="str">
        <f ca="1">IFERROR(__xludf.DUMMYFUNCTION("""COMPUTED_VALUE"""),"ECONOMÍA, PRESUPUESTO, GESTIÓN PÚBLICA E INNOVACIÓN;INDUSTRIA Y MINERÍA")</f>
        <v>ECONOMÍA, PRESUPUESTO, GESTIÓN PÚBLICA E INNOVACIÓN;INDUSTRIA Y MINERÍA</v>
      </c>
      <c r="G450" s="20">
        <f ca="1">IFERROR(__xludf.DUMMYFUNCTION("""COMPUTED_VALUE"""),2)</f>
        <v>2</v>
      </c>
      <c r="H450" s="20">
        <f ca="1">IFERROR(__xludf.DUMMYFUNCTION("""COMPUTED_VALUE"""),1)</f>
        <v>1</v>
      </c>
      <c r="I450" s="20">
        <f ca="1">IFERROR(__xludf.DUMMYFUNCTION("""COMPUTED_VALUE"""),1)</f>
        <v>1</v>
      </c>
      <c r="J450" s="20" t="str">
        <f ca="1">IFERROR(__xludf.DUMMYFUNCTION("""COMPUTED_VALUE"""),"Ley")</f>
        <v>Ley</v>
      </c>
      <c r="K450" s="20">
        <f ca="1">IFERROR(__xludf.DUMMYFUNCTION("""COMPUTED_VALUE"""),33954)</f>
        <v>33954</v>
      </c>
      <c r="L450" s="20" t="str">
        <f ca="1">IFERROR(__xludf.DUMMYFUNCTION("""COMPUTED_VALUE"""),"Poder Ejecutivo Provincial")</f>
        <v>Poder Ejecutivo Provincial</v>
      </c>
      <c r="M450" s="20" t="str">
        <f ca="1">IFERROR(__xludf.DUMMYFUNCTION("""COMPUTED_VALUE"""),"Donando a favor de la Municipalidad de la localidad de Tancacha, Dpto. Tercero Arriba, un inmueble destinado a la construcción y puesta en marcha de un parque industrial en los términos de la Ley Nº 7255")</f>
        <v>Donando a favor de la Municipalidad de la localidad de Tancacha, Dpto. Tercero Arriba, un inmueble destinado a la construcción y puesta en marcha de un parque industrial en los términos de la Ley Nº 7255</v>
      </c>
      <c r="N450" s="20" t="str">
        <f ca="1">IFERROR(__xludf.DUMMYFUNCTION("""COMPUTED_VALUE"""),"SI")</f>
        <v>SI</v>
      </c>
      <c r="O450" s="20" t="str">
        <f ca="1">IFERROR(__xludf.DUMMYFUNCTION("""COMPUTED_VALUE"""),"NO")</f>
        <v>NO</v>
      </c>
      <c r="P450" s="20">
        <f ca="1">IFERROR(__xludf.DUMMYFUNCTION("""COMPUTED_VALUE"""),0)</f>
        <v>0</v>
      </c>
      <c r="Q450" s="113" t="str">
        <f ca="1">IFERROR(__xludf.DUMMYFUNCTION("""COMPUTED_VALUE"""),"https://gld.legislaturacba.gob.ar/_cdd/api/Documento/descargar?guid=7d9317a0-97c6-418c-87db-f8aec7f574e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v>
      </c>
      <c r="R450" s="113" t="str">
        <f ca="1">IFERROR(__xludf.DUMMYFUNCTION("""COMPUTED_VALUE"""),"https://www.youtube.com/watch?v=91avpxeOc8g")</f>
        <v>https://www.youtube.com/watch?v=91avpxeOc8g</v>
      </c>
      <c r="S450" s="113" t="str">
        <f ca="1">IFERROR(__xludf.DUMMYFUNCTION("""COMPUTED_VALUE"""),"https://gld.legislaturacba.gob.ar/Publics/Actas.aspx?id=HIuEYEVqA7c=;https://gld.legislaturacba.gob.ar/Publics/Actas.aspx?id=oSCiYpvPavk=")</f>
        <v>https://gld.legislaturacba.gob.ar/Publics/Actas.aspx?id=HIuEYEVqA7c=;https://gld.legislaturacba.gob.ar/Publics/Actas.aspx?id=oSCiYpvPavk=</v>
      </c>
      <c r="T450" s="99">
        <f t="shared" ca="1" si="0"/>
        <v>0</v>
      </c>
    </row>
    <row r="451" spans="1:20">
      <c r="A451" s="20">
        <f ca="1">IFERROR(__xludf.DUMMYFUNCTION("""COMPUTED_VALUE"""),213)</f>
        <v>213</v>
      </c>
      <c r="B451" s="20">
        <f ca="1">IFERROR(__xludf.DUMMYFUNCTION("""COMPUTED_VALUE"""),2021)</f>
        <v>2021</v>
      </c>
      <c r="C451" s="20" t="str">
        <f ca="1">IFERROR(__xludf.DUMMYFUNCTION("""COMPUTED_VALUE"""),"VIRTUAL")</f>
        <v>VIRTUAL</v>
      </c>
      <c r="D451" s="96">
        <f ca="1">IFERROR(__xludf.DUMMYFUNCTION("""COMPUTED_VALUE"""),44495)</f>
        <v>44495</v>
      </c>
      <c r="E451" s="20" t="str">
        <f ca="1">IFERROR(__xludf.DUMMYFUNCTION("""COMPUTED_VALUE"""),"NO")</f>
        <v>NO</v>
      </c>
      <c r="F451" s="20" t="str">
        <f ca="1">IFERROR(__xludf.DUMMYFUNCTION("""COMPUTED_VALUE"""),"SERVICIOS PÚBLICOS")</f>
        <v>SERVICIOS PÚBLICOS</v>
      </c>
      <c r="G451" s="20">
        <f ca="1">IFERROR(__xludf.DUMMYFUNCTION("""COMPUTED_VALUE"""),1)</f>
        <v>1</v>
      </c>
      <c r="H451" s="20">
        <f ca="1">IFERROR(__xludf.DUMMYFUNCTION("""COMPUTED_VALUE"""),1)</f>
        <v>1</v>
      </c>
      <c r="I451" s="20">
        <f ca="1">IFERROR(__xludf.DUMMYFUNCTION("""COMPUTED_VALUE"""),1)</f>
        <v>1</v>
      </c>
      <c r="J451" s="20" t="str">
        <f ca="1">IFERROR(__xludf.DUMMYFUNCTION("""COMPUTED_VALUE"""),"Ley")</f>
        <v>Ley</v>
      </c>
      <c r="K451" s="20">
        <f ca="1">IFERROR(__xludf.DUMMYFUNCTION("""COMPUTED_VALUE"""),32599)</f>
        <v>32599</v>
      </c>
      <c r="L451" s="20" t="str">
        <f ca="1">IFERROR(__xludf.DUMMYFUNCTION("""COMPUTED_VALUE"""),"Poder Legislativo Provincial")</f>
        <v>Poder Legislativo Provincial</v>
      </c>
      <c r="M451" s="20" t="str">
        <f ca="1">IFERROR(__xludf.DUMMYFUNCTION("""COMPUTED_VALUE"""),"Estableciendo la obligatoriedad de proveedores de productos y servicios de comunicar un domicilio electrónico para procesar los reclamos de los usuarios y consumidores y modificando el artículo 144 de la Ley Nª 8465, Código Procesal Civil y Comercial.")</f>
        <v>Estableciendo la obligatoriedad de proveedores de productos y servicios de comunicar un domicilio electrónico para procesar los reclamos de los usuarios y consumidores y modificando el artículo 144 de la Ley Nª 8465, Código Procesal Civil y Comercial.</v>
      </c>
      <c r="N451" s="20" t="str">
        <f ca="1">IFERROR(__xludf.DUMMYFUNCTION("""COMPUTED_VALUE"""),"NO")</f>
        <v>NO</v>
      </c>
      <c r="O451" s="20" t="str">
        <f ca="1">IFERROR(__xludf.DUMMYFUNCTION("""COMPUTED_VALUE"""),"SI")</f>
        <v>SI</v>
      </c>
      <c r="P451" s="20">
        <f ca="1">IFERROR(__xludf.DUMMYFUNCTION("""COMPUTED_VALUE"""),4)</f>
        <v>4</v>
      </c>
      <c r="Q451" s="113" t="str">
        <f ca="1">IFERROR(__xludf.DUMMYFUNCTION("""COMPUTED_VALUE"""),"https://gld.legislaturacba.gob.ar/_cdd/api/Documento/descargar?guid=77776895-e19f-4199-bd4b-f3db4bdcd435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v>
      </c>
      <c r="R451" s="113" t="str">
        <f ca="1">IFERROR(__xludf.DUMMYFUNCTION("""COMPUTED_VALUE"""),"https://www.youtube.com/watch?v=j6uXeNk6Dt4")</f>
        <v>https://www.youtube.com/watch?v=j6uXeNk6Dt4</v>
      </c>
      <c r="S451" s="113" t="str">
        <f ca="1">IFERROR(__xludf.DUMMYFUNCTION("""COMPUTED_VALUE"""),"https://gld.legislaturacba.gob.ar/Publics/Actas.aspx?id=qCJx5eog3lM=")</f>
        <v>https://gld.legislaturacba.gob.ar/Publics/Actas.aspx?id=qCJx5eog3lM=</v>
      </c>
      <c r="T451" s="99">
        <f t="shared" ca="1" si="0"/>
        <v>0</v>
      </c>
    </row>
    <row r="452" spans="1:20">
      <c r="A452" s="20">
        <f ca="1">IFERROR(__xludf.DUMMYFUNCTION("""COMPUTED_VALUE"""),214)</f>
        <v>214</v>
      </c>
      <c r="B452" s="20">
        <f ca="1">IFERROR(__xludf.DUMMYFUNCTION("""COMPUTED_VALUE"""),2021)</f>
        <v>2021</v>
      </c>
      <c r="C452" s="20" t="str">
        <f ca="1">IFERROR(__xludf.DUMMYFUNCTION("""COMPUTED_VALUE"""),"VIRTUAL")</f>
        <v>VIRTUAL</v>
      </c>
      <c r="D452" s="96">
        <f ca="1">IFERROR(__xludf.DUMMYFUNCTION("""COMPUTED_VALUE"""),44495)</f>
        <v>44495</v>
      </c>
      <c r="E452" s="20" t="str">
        <f ca="1">IFERROR(__xludf.DUMMYFUNCTION("""COMPUTED_VALUE"""),"NO")</f>
        <v>NO</v>
      </c>
      <c r="F452" s="20" t="str">
        <f ca="1">IFERROR(__xludf.DUMMYFUNCTION("""COMPUTED_VALUE"""),"ASUNTOS CONSTITUCIONALES, JUSTICIA Y ACUERDOS")</f>
        <v>ASUNTOS CONSTITUCIONALES, JUSTICIA Y ACUERDOS</v>
      </c>
      <c r="G452" s="20">
        <f ca="1">IFERROR(__xludf.DUMMYFUNCTION("""COMPUTED_VALUE"""),1)</f>
        <v>1</v>
      </c>
      <c r="H452" s="20">
        <f ca="1">IFERROR(__xludf.DUMMYFUNCTION("""COMPUTED_VALUE"""),3)</f>
        <v>3</v>
      </c>
      <c r="I452" s="20">
        <f ca="1">IFERROR(__xludf.DUMMYFUNCTION("""COMPUTED_VALUE"""),1)</f>
        <v>1</v>
      </c>
      <c r="J452" s="20" t="str">
        <f ca="1">IFERROR(__xludf.DUMMYFUNCTION("""COMPUTED_VALUE"""),"Pliego")</f>
        <v>Pliego</v>
      </c>
      <c r="K452" s="20">
        <f ca="1">IFERROR(__xludf.DUMMYFUNCTION("""COMPUTED_VALUE"""),33884)</f>
        <v>33884</v>
      </c>
      <c r="L452" s="20" t="str">
        <f ca="1">IFERROR(__xludf.DUMMYFUNCTION("""COMPUTED_VALUE"""),"Poder Ejecutivo Provincial")</f>
        <v>Poder Ejecutivo Provincial</v>
      </c>
      <c r="M452" s="20" t="str">
        <f ca="1">IFERROR(__xludf.DUMMYFUNCTION("""COMPUTED_VALUE"""),"Solicitando acuerdo para designar a la abogada Nerina Lucinda Teresa Gamero, como Jueza de Niñez, Adolescencia, Violencia Familiar y de Género y Penal Juvenil en el Juzgado de Niñez, Adolescencia, Violencia Familiar y de Género y Penal Juvenil, pertenecie"&amp;"nte a la Tercera Circunscripción Judicial con sede en la ciudad de Villa María.")</f>
        <v>Solicitando acuerdo para designar a la abogada Nerina Lucinda Teresa Gamero, como Jueza de Niñez, Adolescencia, Violencia Familiar y de Género y Penal Juvenil en el Juzgado de Niñez, Adolescencia, Violencia Familiar y de Género y Penal Juvenil, perteneciente a la Tercera Circunscripción Judicial con sede en la ciudad de Villa María.</v>
      </c>
      <c r="N452" s="20" t="str">
        <f ca="1">IFERROR(__xludf.DUMMYFUNCTION("""COMPUTED_VALUE"""),"SI")</f>
        <v>SI</v>
      </c>
      <c r="O452" s="20" t="str">
        <f ca="1">IFERROR(__xludf.DUMMYFUNCTION("""COMPUTED_VALUE"""),"NO")</f>
        <v>NO</v>
      </c>
      <c r="P452" s="20">
        <f ca="1">IFERROR(__xludf.DUMMYFUNCTION("""COMPUTED_VALUE"""),0)</f>
        <v>0</v>
      </c>
      <c r="Q452" s="113" t="str">
        <f ca="1">IFERROR(__xludf.DUMMYFUNCTION("""COMPUTED_VALUE"""),"https://gld.legislaturacba.gob.ar/_cdd/api/Documento/descargar?guid=7f52a0b6-60e9-4247-a073-52df66ec3668&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v>
      </c>
      <c r="R452" s="113" t="str">
        <f ca="1">IFERROR(__xludf.DUMMYFUNCTION("""COMPUTED_VALUE"""),"https://www.youtube.com/watch?v=bcdeXJYYXu4")</f>
        <v>https://www.youtube.com/watch?v=bcdeXJYYXu4</v>
      </c>
      <c r="S452" s="113" t="str">
        <f ca="1">IFERROR(__xludf.DUMMYFUNCTION("""COMPUTED_VALUE"""),"https://gld.legislaturacba.gob.ar/Publics/Actas.aspx?id=voBXvBPZuRk=")</f>
        <v>https://gld.legislaturacba.gob.ar/Publics/Actas.aspx?id=voBXvBPZuRk=</v>
      </c>
      <c r="T452" s="99">
        <f t="shared" ca="1" si="0"/>
        <v>0</v>
      </c>
    </row>
    <row r="453" spans="1:20">
      <c r="A453" s="20">
        <f ca="1">IFERROR(__xludf.DUMMYFUNCTION("""COMPUTED_VALUE"""),215)</f>
        <v>215</v>
      </c>
      <c r="B453" s="20">
        <f ca="1">IFERROR(__xludf.DUMMYFUNCTION("""COMPUTED_VALUE"""),2021)</f>
        <v>2021</v>
      </c>
      <c r="C453" s="20" t="str">
        <f ca="1">IFERROR(__xludf.DUMMYFUNCTION("""COMPUTED_VALUE"""),"PRESENCIAL")</f>
        <v>PRESENCIAL</v>
      </c>
      <c r="D453" s="96">
        <f ca="1">IFERROR(__xludf.DUMMYFUNCTION("""COMPUTED_VALUE"""),44496)</f>
        <v>44496</v>
      </c>
      <c r="E453" s="20" t="str">
        <f ca="1">IFERROR(__xludf.DUMMYFUNCTION("""COMPUTED_VALUE"""),"SI")</f>
        <v>SI</v>
      </c>
      <c r="F453" s="20" t="str">
        <f ca="1">IFERROR(__xludf.DUMMYFUNCTION("""COMPUTED_VALUE"""),"INDUSTRIA Y MINERÍA;PROMOCIÓN Y DESARROLLO DE LAS COMUNIDADES REGIONALES;PROMOCIÓN Y DESARROLLO DE ECONOMÍAS REGIONALES Y PYMES")</f>
        <v>INDUSTRIA Y MINERÍA;PROMOCIÓN Y DESARROLLO DE LAS COMUNIDADES REGIONALES;PROMOCIÓN Y DESARROLLO DE ECONOMÍAS REGIONALES Y PYMES</v>
      </c>
      <c r="G453" s="20">
        <f ca="1">IFERROR(__xludf.DUMMYFUNCTION("""COMPUTED_VALUE"""),3)</f>
        <v>3</v>
      </c>
      <c r="H453" s="20">
        <f ca="1">IFERROR(__xludf.DUMMYFUNCTION("""COMPUTED_VALUE"""),1)</f>
        <v>1</v>
      </c>
      <c r="I453" s="20">
        <f ca="1">IFERROR(__xludf.DUMMYFUNCTION("""COMPUTED_VALUE"""),1)</f>
        <v>1</v>
      </c>
      <c r="J453" s="20" t="str">
        <f ca="1">IFERROR(__xludf.DUMMYFUNCTION("""COMPUTED_VALUE"""),"Ley")</f>
        <v>Ley</v>
      </c>
      <c r="K453" s="20">
        <f ca="1">IFERROR(__xludf.DUMMYFUNCTION("""COMPUTED_VALUE"""),30707)</f>
        <v>30707</v>
      </c>
      <c r="L453" s="20" t="str">
        <f ca="1">IFERROR(__xludf.DUMMYFUNCTION("""COMPUTED_VALUE"""),"Poder Legislativo Provincial")</f>
        <v>Poder Legislativo Provincial</v>
      </c>
      <c r="M453"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53" s="20" t="str">
        <f ca="1">IFERROR(__xludf.DUMMYFUNCTION("""COMPUTED_VALUE"""),"NO")</f>
        <v>NO</v>
      </c>
      <c r="O453" s="20" t="str">
        <f ca="1">IFERROR(__xludf.DUMMYFUNCTION("""COMPUTED_VALUE"""),"NO")</f>
        <v>NO</v>
      </c>
      <c r="P453" s="20">
        <f ca="1">IFERROR(__xludf.DUMMYFUNCTION("""COMPUTED_VALUE"""),0)</f>
        <v>0</v>
      </c>
      <c r="Q453" s="20" t="str">
        <f ca="1">IFERROR(__xludf.DUMMYFUNCTION("""COMPUTED_VALUE"""),"NA")</f>
        <v>NA</v>
      </c>
      <c r="R453" s="20" t="str">
        <f ca="1">IFERROR(__xludf.DUMMYFUNCTION("""COMPUTED_VALUE"""),"NA")</f>
        <v>NA</v>
      </c>
      <c r="S453" s="113" t="str">
        <f ca="1">IFERROR(__xludf.DUMMYFUNCTION("""COMPUTED_VALUE"""),"https://gld.legislaturacba.gob.ar/Publics/Actas.aspx?id=8bGR4zeAakw=;https://gld.legislaturacba.gob.ar/Publics/Actas.aspx?id=KDaK612TFjw=;https://gld.legislaturacba.gob.ar/Publics/Actas.aspx?id=GSONXLb-QBI=")</f>
        <v>https://gld.legislaturacba.gob.ar/Publics/Actas.aspx?id=8bGR4zeAakw=;https://gld.legislaturacba.gob.ar/Publics/Actas.aspx?id=KDaK612TFjw=;https://gld.legislaturacba.gob.ar/Publics/Actas.aspx?id=GSONXLb-QBI=</v>
      </c>
      <c r="T453" s="99">
        <f t="shared" ca="1" si="0"/>
        <v>0</v>
      </c>
    </row>
    <row r="454" spans="1:20">
      <c r="A454" s="20">
        <f ca="1">IFERROR(__xludf.DUMMYFUNCTION("""COMPUTED_VALUE"""),216)</f>
        <v>216</v>
      </c>
      <c r="B454" s="20">
        <f ca="1">IFERROR(__xludf.DUMMYFUNCTION("""COMPUTED_VALUE"""),2021)</f>
        <v>2021</v>
      </c>
      <c r="C454" s="20" t="str">
        <f ca="1">IFERROR(__xludf.DUMMYFUNCTION("""COMPUTED_VALUE"""),"VIRTUAL")</f>
        <v>VIRTUAL</v>
      </c>
      <c r="D454" s="96">
        <f ca="1">IFERROR(__xludf.DUMMYFUNCTION("""COMPUTED_VALUE"""),44497)</f>
        <v>44497</v>
      </c>
      <c r="E454" s="20" t="str">
        <f ca="1">IFERROR(__xludf.DUMMYFUNCTION("""COMPUTED_VALUE"""),"SI")</f>
        <v>SI</v>
      </c>
      <c r="F454" s="20" t="str">
        <f ca="1">IFERROR(__xludf.DUMMYFUNCTION("""COMPUTED_VALUE"""),"EQUIDAD Y LUCHA CONTRA LA VIOLENCIA DE GÉNERO;SALUD HUMANA")</f>
        <v>EQUIDAD Y LUCHA CONTRA LA VIOLENCIA DE GÉNERO;SALUD HUMANA</v>
      </c>
      <c r="G454" s="20">
        <f ca="1">IFERROR(__xludf.DUMMYFUNCTION("""COMPUTED_VALUE"""),2)</f>
        <v>2</v>
      </c>
      <c r="H454" s="20">
        <f ca="1">IFERROR(__xludf.DUMMYFUNCTION("""COMPUTED_VALUE"""),1)</f>
        <v>1</v>
      </c>
      <c r="I454" s="20">
        <f ca="1">IFERROR(__xludf.DUMMYFUNCTION("""COMPUTED_VALUE"""),1)</f>
        <v>1</v>
      </c>
      <c r="J454" s="20" t="str">
        <f ca="1">IFERROR(__xludf.DUMMYFUNCTION("""COMPUTED_VALUE"""),"NA")</f>
        <v>NA</v>
      </c>
      <c r="K454" s="20" t="str">
        <f ca="1">IFERROR(__xludf.DUMMYFUNCTION("""COMPUTED_VALUE"""),"NA")</f>
        <v>NA</v>
      </c>
      <c r="L454" s="20" t="str">
        <f ca="1">IFERROR(__xludf.DUMMYFUNCTION("""COMPUTED_VALUE"""),"NA")</f>
        <v>NA</v>
      </c>
      <c r="M454" s="20" t="str">
        <f ca="1">IFERROR(__xludf.DUMMYFUNCTION("""COMPUTED_VALUE"""),"Prevención y lucha contra el cáncer de mama.")</f>
        <v>Prevención y lucha contra el cáncer de mama.</v>
      </c>
      <c r="N454" s="20" t="str">
        <f ca="1">IFERROR(__xludf.DUMMYFUNCTION("""COMPUTED_VALUE"""),"NA")</f>
        <v>NA</v>
      </c>
      <c r="O454" s="20" t="str">
        <f ca="1">IFERROR(__xludf.DUMMYFUNCTION("""COMPUTED_VALUE"""),"SI")</f>
        <v>SI</v>
      </c>
      <c r="P454" s="20">
        <f ca="1">IFERROR(__xludf.DUMMYFUNCTION("""COMPUTED_VALUE"""),8)</f>
        <v>8</v>
      </c>
      <c r="Q454" s="113" t="str">
        <f ca="1">IFERROR(__xludf.DUMMYFUNCTION("""COMPUTED_VALUE"""),"https://gld.legislaturacba.gob.ar/_cdd/api/Documento/descargar?guid=356bdfd5-7df1-41a2-8981-28924033ef5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v>
      </c>
      <c r="R454" s="113" t="str">
        <f ca="1">IFERROR(__xludf.DUMMYFUNCTION("""COMPUTED_VALUE"""),"https://www.youtube.com/watch?v=OUC-7SuXnP4")</f>
        <v>https://www.youtube.com/watch?v=OUC-7SuXnP4</v>
      </c>
      <c r="S454" s="113" t="str">
        <f ca="1">IFERROR(__xludf.DUMMYFUNCTION("""COMPUTED_VALUE"""),"https://gld.legislaturacba.gob.ar/Publics/Actas.aspx?id=1OTgub3R7z8=;https://gld.legislaturacba.gob.ar/Publics/Actas.aspx?id=HyHHKtUWcq0=")</f>
        <v>https://gld.legislaturacba.gob.ar/Publics/Actas.aspx?id=1OTgub3R7z8=;https://gld.legislaturacba.gob.ar/Publics/Actas.aspx?id=HyHHKtUWcq0=</v>
      </c>
      <c r="T454" s="99">
        <f t="shared" ca="1" si="0"/>
        <v>0</v>
      </c>
    </row>
    <row r="455" spans="1:20">
      <c r="A455" s="20">
        <f ca="1">IFERROR(__xludf.DUMMYFUNCTION("""COMPUTED_VALUE"""),217)</f>
        <v>217</v>
      </c>
      <c r="B455" s="20">
        <f ca="1">IFERROR(__xludf.DUMMYFUNCTION("""COMPUTED_VALUE"""),2021)</f>
        <v>2021</v>
      </c>
      <c r="C455" s="20" t="str">
        <f ca="1">IFERROR(__xludf.DUMMYFUNCTION("""COMPUTED_VALUE"""),"VIRTUAL")</f>
        <v>VIRTUAL</v>
      </c>
      <c r="D455" s="96">
        <f ca="1">IFERROR(__xludf.DUMMYFUNCTION("""COMPUTED_VALUE"""),44497)</f>
        <v>44497</v>
      </c>
      <c r="E455" s="20" t="str">
        <f ca="1">IFERROR(__xludf.DUMMYFUNCTION("""COMPUTED_VALUE"""),"SI")</f>
        <v>SI</v>
      </c>
      <c r="F455" s="20" t="str">
        <f ca="1">IFERROR(__xludf.DUMMYFUNCTION("""COMPUTED_VALUE"""),"ASUNTOS INSTITUCIONALES, MUNICIPALES Y COMUNALES;DEPORTES Y RECREACIÓN")</f>
        <v>ASUNTOS INSTITUCIONALES, MUNICIPALES Y COMUNALES;DEPORTES Y RECREACIÓN</v>
      </c>
      <c r="G455" s="20">
        <f ca="1">IFERROR(__xludf.DUMMYFUNCTION("""COMPUTED_VALUE"""),2)</f>
        <v>2</v>
      </c>
      <c r="H455" s="20">
        <f ca="1">IFERROR(__xludf.DUMMYFUNCTION("""COMPUTED_VALUE"""),1)</f>
        <v>1</v>
      </c>
      <c r="I455" s="20">
        <f ca="1">IFERROR(__xludf.DUMMYFUNCTION("""COMPUTED_VALUE"""),1)</f>
        <v>1</v>
      </c>
      <c r="J455" s="20" t="str">
        <f ca="1">IFERROR(__xludf.DUMMYFUNCTION("""COMPUTED_VALUE"""),"Ley")</f>
        <v>Ley</v>
      </c>
      <c r="K455" s="20">
        <f ca="1">IFERROR(__xludf.DUMMYFUNCTION("""COMPUTED_VALUE"""),33153)</f>
        <v>33153</v>
      </c>
      <c r="L455" s="20" t="str">
        <f ca="1">IFERROR(__xludf.DUMMYFUNCTION("""COMPUTED_VALUE"""),"Poder Legislativo Provincial")</f>
        <v>Poder Legislativo Provincial</v>
      </c>
      <c r="M455" s="20" t="str">
        <f ca="1">IFERROR(__xludf.DUMMYFUNCTION("""COMPUTED_VALUE"""),"Declarando de utilidad pública y sujeto a expropiación, por parte de la Comuna de San Roque, Departamento Punilla, un lote de terreno destinado exclusivamente a la construcción del Club Comunal Social y Deportivo de San Roque.")</f>
        <v>Declarando de utilidad pública y sujeto a expropiación, por parte de la Comuna de San Roque, Departamento Punilla, un lote de terreno destinado exclusivamente a la construcción del Club Comunal Social y Deportivo de San Roque.</v>
      </c>
      <c r="N455" s="20" t="str">
        <f ca="1">IFERROR(__xludf.DUMMYFUNCTION("""COMPUTED_VALUE"""),"NO")</f>
        <v>NO</v>
      </c>
      <c r="O455" s="20" t="str">
        <f ca="1">IFERROR(__xludf.DUMMYFUNCTION("""COMPUTED_VALUE"""),"SI")</f>
        <v>SI</v>
      </c>
      <c r="P455" s="20">
        <f ca="1">IFERROR(__xludf.DUMMYFUNCTION("""COMPUTED_VALUE"""),1)</f>
        <v>1</v>
      </c>
      <c r="Q455" s="113" t="str">
        <f ca="1">IFERROR(__xludf.DUMMYFUNCTION("""COMPUTED_VALUE"""),"https://gld.legislaturacba.gob.ar/_cdd/api/Documento/descargar?guid=11714c6d-90d3-4567-beb3-26d43cd32b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v>
      </c>
      <c r="R455" s="113" t="str">
        <f ca="1">IFERROR(__xludf.DUMMYFUNCTION("""COMPUTED_VALUE"""),"https://www.youtube.com/watch?v=esM2WlE56EI")</f>
        <v>https://www.youtube.com/watch?v=esM2WlE56EI</v>
      </c>
      <c r="S455" s="113" t="str">
        <f ca="1">IFERROR(__xludf.DUMMYFUNCTION("""COMPUTED_VALUE"""),"https://gld.legislaturacba.gob.ar/Publics/Actas.aspx?id=_qVE3MFT5FY=;https://gld.legislaturacba.gob.ar/Publics/Actas.aspx?id=nAYWXRCAUCg=")</f>
        <v>https://gld.legislaturacba.gob.ar/Publics/Actas.aspx?id=_qVE3MFT5FY=;https://gld.legislaturacba.gob.ar/Publics/Actas.aspx?id=nAYWXRCAUCg=</v>
      </c>
      <c r="T455" s="99">
        <f t="shared" ca="1" si="0"/>
        <v>0</v>
      </c>
    </row>
    <row r="456" spans="1:20">
      <c r="A456" s="20">
        <f ca="1">IFERROR(__xludf.DUMMYFUNCTION("""COMPUTED_VALUE"""),218)</f>
        <v>218</v>
      </c>
      <c r="B456" s="20">
        <f ca="1">IFERROR(__xludf.DUMMYFUNCTION("""COMPUTED_VALUE"""),2021)</f>
        <v>2021</v>
      </c>
      <c r="C456" s="20" t="str">
        <f ca="1">IFERROR(__xludf.DUMMYFUNCTION("""COMPUTED_VALUE"""),"VIRTUAL")</f>
        <v>VIRTUAL</v>
      </c>
      <c r="D456" s="96">
        <f ca="1">IFERROR(__xludf.DUMMYFUNCTION("""COMPUTED_VALUE"""),44497)</f>
        <v>44497</v>
      </c>
      <c r="E456" s="20" t="str">
        <f ca="1">IFERROR(__xludf.DUMMYFUNCTION("""COMPUTED_VALUE"""),"NO")</f>
        <v>NO</v>
      </c>
      <c r="F456" s="20" t="str">
        <f ca="1">IFERROR(__xludf.DUMMYFUNCTION("""COMPUTED_VALUE"""),"TURISMO Y SU RELACIÓN CON EL DESARROLLO REGIONAL")</f>
        <v>TURISMO Y SU RELACIÓN CON EL DESARROLLO REGIONAL</v>
      </c>
      <c r="G456" s="20">
        <f ca="1">IFERROR(__xludf.DUMMYFUNCTION("""COMPUTED_VALUE"""),1)</f>
        <v>1</v>
      </c>
      <c r="H456" s="20">
        <f ca="1">IFERROR(__xludf.DUMMYFUNCTION("""COMPUTED_VALUE"""),1)</f>
        <v>1</v>
      </c>
      <c r="I456" s="20">
        <f ca="1">IFERROR(__xludf.DUMMYFUNCTION("""COMPUTED_VALUE"""),1)</f>
        <v>1</v>
      </c>
      <c r="J456" s="20" t="str">
        <f ca="1">IFERROR(__xludf.DUMMYFUNCTION("""COMPUTED_VALUE"""),"NA")</f>
        <v>NA</v>
      </c>
      <c r="K456" s="20" t="str">
        <f ca="1">IFERROR(__xludf.DUMMYFUNCTION("""COMPUTED_VALUE"""),"NA")</f>
        <v>NA</v>
      </c>
      <c r="L456" s="20" t="str">
        <f ca="1">IFERROR(__xludf.DUMMYFUNCTION("""COMPUTED_VALUE"""),"NA")</f>
        <v>NA</v>
      </c>
      <c r="M456" s="20" t="str">
        <f ca="1">IFERROR(__xludf.DUMMYFUNCTION("""COMPUTED_VALUE"""),"Programa Previaje")</f>
        <v>Programa Previaje</v>
      </c>
      <c r="N456" s="20" t="str">
        <f ca="1">IFERROR(__xludf.DUMMYFUNCTION("""COMPUTED_VALUE"""),"NA")</f>
        <v>NA</v>
      </c>
      <c r="O456" s="20" t="str">
        <f ca="1">IFERROR(__xludf.DUMMYFUNCTION("""COMPUTED_VALUE"""),"SI")</f>
        <v>SI</v>
      </c>
      <c r="P456" s="20">
        <f ca="1">IFERROR(__xludf.DUMMYFUNCTION("""COMPUTED_VALUE"""),2)</f>
        <v>2</v>
      </c>
      <c r="Q456" s="113" t="str">
        <f ca="1">IFERROR(__xludf.DUMMYFUNCTION("""COMPUTED_VALUE"""),"https://gld.legislaturacba.gob.ar/_cdd/api/Documento/descargar?guid=5dd378e1-3f5a-4212-a54e-49e3683cc38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v>
      </c>
      <c r="R456" s="113" t="str">
        <f ca="1">IFERROR(__xludf.DUMMYFUNCTION("""COMPUTED_VALUE"""),"https://www.youtube.com/watch?v=xu9OfcFAaKA")</f>
        <v>https://www.youtube.com/watch?v=xu9OfcFAaKA</v>
      </c>
      <c r="S456" s="113" t="str">
        <f ca="1">IFERROR(__xludf.DUMMYFUNCTION("""COMPUTED_VALUE"""),"https://gld.legislaturacba.gob.ar/Publics/Actas.aspx?id=TZoFc9QBSJ0=")</f>
        <v>https://gld.legislaturacba.gob.ar/Publics/Actas.aspx?id=TZoFc9QBSJ0=</v>
      </c>
      <c r="T456" s="99">
        <f t="shared" ca="1" si="0"/>
        <v>0</v>
      </c>
    </row>
    <row r="457" spans="1:20">
      <c r="A457" s="20">
        <f ca="1">IFERROR(__xludf.DUMMYFUNCTION("""COMPUTED_VALUE"""),219)</f>
        <v>219</v>
      </c>
      <c r="B457" s="20">
        <f ca="1">IFERROR(__xludf.DUMMYFUNCTION("""COMPUTED_VALUE"""),2021)</f>
        <v>2021</v>
      </c>
      <c r="C457" s="20" t="str">
        <f ca="1">IFERROR(__xludf.DUMMYFUNCTION("""COMPUTED_VALUE"""),"VIRTUAL")</f>
        <v>VIRTUAL</v>
      </c>
      <c r="D457" s="96">
        <f ca="1">IFERROR(__xludf.DUMMYFUNCTION("""COMPUTED_VALUE"""),44502)</f>
        <v>44502</v>
      </c>
      <c r="E457" s="20" t="str">
        <f ca="1">IFERROR(__xludf.DUMMYFUNCTION("""COMPUTED_VALUE"""),"NO")</f>
        <v>NO</v>
      </c>
      <c r="F457" s="20" t="str">
        <f ca="1">IFERROR(__xludf.DUMMYFUNCTION("""COMPUTED_VALUE"""),"ASUNTOS CONSTITUCIONALES, JUSTICIA Y ACUERDOS")</f>
        <v>ASUNTOS CONSTITUCIONALES, JUSTICIA Y ACUERDOS</v>
      </c>
      <c r="G457" s="20">
        <f ca="1">IFERROR(__xludf.DUMMYFUNCTION("""COMPUTED_VALUE"""),1)</f>
        <v>1</v>
      </c>
      <c r="H457" s="20">
        <f ca="1">IFERROR(__xludf.DUMMYFUNCTION("""COMPUTED_VALUE"""),4)</f>
        <v>4</v>
      </c>
      <c r="I457" s="20">
        <f ca="1">IFERROR(__xludf.DUMMYFUNCTION("""COMPUTED_VALUE"""),1)</f>
        <v>1</v>
      </c>
      <c r="J457" s="20" t="str">
        <f ca="1">IFERROR(__xludf.DUMMYFUNCTION("""COMPUTED_VALUE"""),"Pliego")</f>
        <v>Pliego</v>
      </c>
      <c r="K457" s="20">
        <f ca="1">IFERROR(__xludf.DUMMYFUNCTION("""COMPUTED_VALUE"""),33886)</f>
        <v>33886</v>
      </c>
      <c r="L457" s="20" t="str">
        <f ca="1">IFERROR(__xludf.DUMMYFUNCTION("""COMPUTED_VALUE"""),"Poder Ejecutivo Provincial")</f>
        <v>Poder Ejecutivo Provincial</v>
      </c>
      <c r="M457" s="20" t="str">
        <f ca="1">IFERROR(__xludf.DUMMYFUNCTION("""COMPUTED_VALUE"""),"Solicitando acuerdo para designar a la abogada María Belén Vidal, como Jueza de Niñez, Adolescencia, Violencia Familiar y de Género y Penal Juvenil en el Juzgado de Niñez, Adolescencia, Violencia Familiar y de Género y Penal Juvenil, perteneciente a la Se"&amp;"xta Circunscripción Judicial con sede en la ciudad de Villa Dolores.")</f>
        <v>Solicitando acuerdo para designar a la abogada María Belén Vidal, como Jueza de Niñez, Adolescencia, Violencia Familiar y de Género y Penal Juvenil en el Juzgado de Niñez, Adolescencia, Violencia Familiar y de Género y Penal Juvenil, perteneciente a la Sexta Circunscripción Judicial con sede en la ciudad de Villa Dolores.</v>
      </c>
      <c r="N457" s="20" t="str">
        <f ca="1">IFERROR(__xludf.DUMMYFUNCTION("""COMPUTED_VALUE"""),"SI")</f>
        <v>SI</v>
      </c>
      <c r="O457" s="20" t="str">
        <f ca="1">IFERROR(__xludf.DUMMYFUNCTION("""COMPUTED_VALUE"""),"NO")</f>
        <v>NO</v>
      </c>
      <c r="P457" s="20">
        <f ca="1">IFERROR(__xludf.DUMMYFUNCTION("""COMPUTED_VALUE"""),0)</f>
        <v>0</v>
      </c>
      <c r="Q457" s="113" t="str">
        <f ca="1">IFERROR(__xludf.DUMMYFUNCTION("""COMPUTED_VALUE"""),"https://gld.legislaturacba.gob.ar/_cdd/api/Documento/descargar?guid=f58c8a2f-6dc3-4b05-ab79-fc937258b7db&amp;token=VasB0dEe8gxpfQqda-1WVQS8dlwqaPVm2BEoPxRm-NRdZTi5uY8SjesZifT2shhutQ57cP9bWMPENOItMVIj04nK2LiXAgWQsKSZ7q6-btqBA1OpyITUxwvP4CPArgIy935EX7Ktu-N3xju8"&amp;"Q1OWjuW7g90uIWunuB1JPvzUGvBOgljVmYnrTdixjlrViHRoqoN8ez09GPPJwC4bN9pbQYMByjFmBa6uKNghlWOrjwfNALMJOKVvetG7fsjIdiQp")</f>
        <v>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v>
      </c>
      <c r="R457" s="113" t="str">
        <f ca="1">IFERROR(__xludf.DUMMYFUNCTION("""COMPUTED_VALUE"""),"https://www.youtube.com/watch?v=FjWWIxeW0L8")</f>
        <v>https://www.youtube.com/watch?v=FjWWIxeW0L8</v>
      </c>
      <c r="S457" s="113" t="str">
        <f ca="1">IFERROR(__xludf.DUMMYFUNCTION("""COMPUTED_VALUE"""),"https://gld.legislaturacba.gob.ar/Publics/Actas.aspx?id=nNauRpG_tMA=")</f>
        <v>https://gld.legislaturacba.gob.ar/Publics/Actas.aspx?id=nNauRpG_tMA=</v>
      </c>
      <c r="T457" s="99">
        <f t="shared" ca="1" si="0"/>
        <v>0</v>
      </c>
    </row>
    <row r="458" spans="1:20">
      <c r="A458" s="20">
        <f ca="1">IFERROR(__xludf.DUMMYFUNCTION("""COMPUTED_VALUE"""),220)</f>
        <v>220</v>
      </c>
      <c r="B458" s="20">
        <f ca="1">IFERROR(__xludf.DUMMYFUNCTION("""COMPUTED_VALUE"""),2021)</f>
        <v>2021</v>
      </c>
      <c r="C458" s="20" t="str">
        <f ca="1">IFERROR(__xludf.DUMMYFUNCTION("""COMPUTED_VALUE"""),"VIRTUAL")</f>
        <v>VIRTUAL</v>
      </c>
      <c r="D458" s="96">
        <f ca="1">IFERROR(__xludf.DUMMYFUNCTION("""COMPUTED_VALUE"""),44504)</f>
        <v>44504</v>
      </c>
      <c r="E458" s="20" t="str">
        <f ca="1">IFERROR(__xludf.DUMMYFUNCTION("""COMPUTED_VALUE"""),"NO")</f>
        <v>NO</v>
      </c>
      <c r="F458" s="20" t="str">
        <f ca="1">IFERROR(__xludf.DUMMYFUNCTION("""COMPUTED_VALUE"""),"ECONOMÍA, PRESUPUESTO, GESTIÓN PÚBLICA E INNOVACIÓN")</f>
        <v>ECONOMÍA, PRESUPUESTO, GESTIÓN PÚBLICA E INNOVACIÓN</v>
      </c>
      <c r="G458" s="20">
        <f ca="1">IFERROR(__xludf.DUMMYFUNCTION("""COMPUTED_VALUE"""),1)</f>
        <v>1</v>
      </c>
      <c r="H458" s="20">
        <f ca="1">IFERROR(__xludf.DUMMYFUNCTION("""COMPUTED_VALUE"""),1)</f>
        <v>1</v>
      </c>
      <c r="I458" s="20">
        <f ca="1">IFERROR(__xludf.DUMMYFUNCTION("""COMPUTED_VALUE"""),1)</f>
        <v>1</v>
      </c>
      <c r="J458" s="20" t="str">
        <f ca="1">IFERROR(__xludf.DUMMYFUNCTION("""COMPUTED_VALUE"""),"NA")</f>
        <v>NA</v>
      </c>
      <c r="K458" s="20" t="str">
        <f ca="1">IFERROR(__xludf.DUMMYFUNCTION("""COMPUTED_VALUE"""),"NA")</f>
        <v>NA</v>
      </c>
      <c r="L458" s="20" t="str">
        <f ca="1">IFERROR(__xludf.DUMMYFUNCTION("""COMPUTED_VALUE"""),"NA")</f>
        <v>NA</v>
      </c>
      <c r="M458" s="20" t="str">
        <f ca="1">IFERROR(__xludf.DUMMYFUNCTION("""COMPUTED_VALUE"""),"El presupuesto, la gestión por resultados y Objetivos de Desarrollo Sostenible.")</f>
        <v>El presupuesto, la gestión por resultados y Objetivos de Desarrollo Sostenible.</v>
      </c>
      <c r="N458" s="20" t="str">
        <f ca="1">IFERROR(__xludf.DUMMYFUNCTION("""COMPUTED_VALUE"""),"NA")</f>
        <v>NA</v>
      </c>
      <c r="O458" s="20" t="str">
        <f ca="1">IFERROR(__xludf.DUMMYFUNCTION("""COMPUTED_VALUE"""),"SI")</f>
        <v>SI</v>
      </c>
      <c r="P458" s="20">
        <f ca="1">IFERROR(__xludf.DUMMYFUNCTION("""COMPUTED_VALUE"""),2)</f>
        <v>2</v>
      </c>
      <c r="Q458" s="113" t="str">
        <f ca="1">IFERROR(__xludf.DUMMYFUNCTION("""COMPUTED_VALUE"""),"https://gld.legislaturacba.gob.ar/_cdd/api/Documento/descargar?guid=94729174-3da7-4a11-85d4-b2875f3f0c5f&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v>
      </c>
      <c r="R458" s="113" t="str">
        <f ca="1">IFERROR(__xludf.DUMMYFUNCTION("""COMPUTED_VALUE"""),"https://www.youtube.com/watch?v=PMnuw3vgI48")</f>
        <v>https://www.youtube.com/watch?v=PMnuw3vgI48</v>
      </c>
      <c r="S458" s="113" t="str">
        <f ca="1">IFERROR(__xludf.DUMMYFUNCTION("""COMPUTED_VALUE"""),"https://gld.legislaturacba.gob.ar/Publics/Actas.aspx?id=4rusrMMFvdA=")</f>
        <v>https://gld.legislaturacba.gob.ar/Publics/Actas.aspx?id=4rusrMMFvdA=</v>
      </c>
      <c r="T458" s="99">
        <f t="shared" ca="1" si="0"/>
        <v>0</v>
      </c>
    </row>
    <row r="459" spans="1:20">
      <c r="A459" s="20">
        <f ca="1">IFERROR(__xludf.DUMMYFUNCTION("""COMPUTED_VALUE"""),221)</f>
        <v>221</v>
      </c>
      <c r="B459" s="20">
        <f ca="1">IFERROR(__xludf.DUMMYFUNCTION("""COMPUTED_VALUE"""),2021)</f>
        <v>2021</v>
      </c>
      <c r="C459" s="20" t="str">
        <f ca="1">IFERROR(__xludf.DUMMYFUNCTION("""COMPUTED_VALUE"""),"VIRTUAL")</f>
        <v>VIRTUAL</v>
      </c>
      <c r="D459" s="96">
        <f ca="1">IFERROR(__xludf.DUMMYFUNCTION("""COMPUTED_VALUE"""),44516)</f>
        <v>44516</v>
      </c>
      <c r="E459" s="20" t="str">
        <f ca="1">IFERROR(__xludf.DUMMYFUNCTION("""COMPUTED_VALUE"""),"SI")</f>
        <v>SI</v>
      </c>
      <c r="F459" s="20" t="str">
        <f ca="1">IFERROR(__xludf.DUMMYFUNCTION("""COMPUTED_VALUE"""),"ASUNTOS CONSTITUCIONALES, JUSTICIA Y ACUERDOS;LEGISLACIÓN GENERAL")</f>
        <v>ASUNTOS CONSTITUCIONALES, JUSTICIA Y ACUERDOS;LEGISLACIÓN GENERAL</v>
      </c>
      <c r="G459" s="20">
        <f ca="1">IFERROR(__xludf.DUMMYFUNCTION("""COMPUTED_VALUE"""),2)</f>
        <v>2</v>
      </c>
      <c r="H459" s="20">
        <f ca="1">IFERROR(__xludf.DUMMYFUNCTION("""COMPUTED_VALUE"""),1)</f>
        <v>1</v>
      </c>
      <c r="I459" s="20">
        <f ca="1">IFERROR(__xludf.DUMMYFUNCTION("""COMPUTED_VALUE"""),1)</f>
        <v>1</v>
      </c>
      <c r="J459" s="20" t="str">
        <f ca="1">IFERROR(__xludf.DUMMYFUNCTION("""COMPUTED_VALUE"""),"Ley")</f>
        <v>Ley</v>
      </c>
      <c r="K459" s="20">
        <f ca="1">IFERROR(__xludf.DUMMYFUNCTION("""COMPUTED_VALUE"""),31310)</f>
        <v>31310</v>
      </c>
      <c r="L459" s="20" t="str">
        <f ca="1">IFERROR(__xludf.DUMMYFUNCTION("""COMPUTED_VALUE"""),"Poder Legislativo Provincial")</f>
        <v>Poder Legislativo Provincial</v>
      </c>
      <c r="M459" s="20" t="str">
        <f ca="1">IFERROR(__xludf.DUMMYFUNCTION("""COMPUTED_VALUE"""),"Incorporando el artículo 49 bis a la ley 9571 –“Código Electoral Provincial”-, agregando el requisito “Ficha limpia” que prohíbe la candidatura de las personas que se encuentren condenadas a penas privativas de la libertad, aunque la sentencia no se encon"&amp;"trare firme y la pena fuera de cumplimiento en suspenso de distintos delitos.")</f>
        <v>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v>
      </c>
      <c r="N459" s="20" t="str">
        <f ca="1">IFERROR(__xludf.DUMMYFUNCTION("""COMPUTED_VALUE"""),"NO")</f>
        <v>NO</v>
      </c>
      <c r="O459" s="20" t="str">
        <f ca="1">IFERROR(__xludf.DUMMYFUNCTION("""COMPUTED_VALUE"""),"NO")</f>
        <v>NO</v>
      </c>
      <c r="P459" s="20">
        <f ca="1">IFERROR(__xludf.DUMMYFUNCTION("""COMPUTED_VALUE"""),0)</f>
        <v>0</v>
      </c>
      <c r="Q459" s="113" t="str">
        <f ca="1">IFERROR(__xludf.DUMMYFUNCTION("""COMPUTED_VALUE"""),"https://gld.legislaturacba.gob.ar/_cdd/api/Documento/descargar?guid=6affbcb2-009b-45ad-8ecd-c9b96184966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v>
      </c>
      <c r="R459" s="113" t="str">
        <f ca="1">IFERROR(__xludf.DUMMYFUNCTION("""COMPUTED_VALUE"""),"https://www.youtube.com/watch?v=VW5CsmIfhec")</f>
        <v>https://www.youtube.com/watch?v=VW5CsmIfhec</v>
      </c>
      <c r="S459" s="113" t="str">
        <f ca="1">IFERROR(__xludf.DUMMYFUNCTION("""COMPUTED_VALUE"""),"https://gld.legislaturacba.gob.ar/Publics/Actas.aspx?id=0QmXLVnj1V4=;https://gld.legislaturacba.gob.ar/Publics/Actas.aspx?id=WzRzMVdHVIE=")</f>
        <v>https://gld.legislaturacba.gob.ar/Publics/Actas.aspx?id=0QmXLVnj1V4=;https://gld.legislaturacba.gob.ar/Publics/Actas.aspx?id=WzRzMVdHVIE=</v>
      </c>
      <c r="T459" s="99">
        <f t="shared" ca="1" si="0"/>
        <v>0</v>
      </c>
    </row>
    <row r="460" spans="1:20">
      <c r="A460" s="20">
        <f ca="1">IFERROR(__xludf.DUMMYFUNCTION("""COMPUTED_VALUE"""),222)</f>
        <v>222</v>
      </c>
      <c r="B460" s="20">
        <f ca="1">IFERROR(__xludf.DUMMYFUNCTION("""COMPUTED_VALUE"""),2021)</f>
        <v>2021</v>
      </c>
      <c r="C460" s="20" t="str">
        <f ca="1">IFERROR(__xludf.DUMMYFUNCTION("""COMPUTED_VALUE"""),"VIRTUAL")</f>
        <v>VIRTUAL</v>
      </c>
      <c r="D460" s="96">
        <f ca="1">IFERROR(__xludf.DUMMYFUNCTION("""COMPUTED_VALUE"""),44516)</f>
        <v>44516</v>
      </c>
      <c r="E460" s="20" t="str">
        <f ca="1">IFERROR(__xludf.DUMMYFUNCTION("""COMPUTED_VALUE"""),"SI")</f>
        <v>SI</v>
      </c>
      <c r="F460" s="20" t="str">
        <f ca="1">IFERROR(__xludf.DUMMYFUNCTION("""COMPUTED_VALUE"""),"ECONOMÍA, PRESUPUESTO, GESTIÓN PÚBLICA E INNOVACIÓN;OBRAS PÚBLICAS, VIVIENDA Y COMUNICACIONES")</f>
        <v>ECONOMÍA, PRESUPUESTO, GESTIÓN PÚBLICA E INNOVACIÓN;OBRAS PÚBLICAS, VIVIENDA Y COMUNICACIONES</v>
      </c>
      <c r="G460" s="20">
        <f ca="1">IFERROR(__xludf.DUMMYFUNCTION("""COMPUTED_VALUE"""),2)</f>
        <v>2</v>
      </c>
      <c r="H460" s="20">
        <f ca="1">IFERROR(__xludf.DUMMYFUNCTION("""COMPUTED_VALUE"""),1)</f>
        <v>1</v>
      </c>
      <c r="I460" s="20">
        <f ca="1">IFERROR(__xludf.DUMMYFUNCTION("""COMPUTED_VALUE"""),1)</f>
        <v>1</v>
      </c>
      <c r="J460" s="20" t="str">
        <f ca="1">IFERROR(__xludf.DUMMYFUNCTION("""COMPUTED_VALUE"""),"Ley")</f>
        <v>Ley</v>
      </c>
      <c r="K460" s="20">
        <f ca="1">IFERROR(__xludf.DUMMYFUNCTION("""COMPUTED_VALUE"""),33583)</f>
        <v>33583</v>
      </c>
      <c r="L460" s="20" t="str">
        <f ca="1">IFERROR(__xludf.DUMMYFUNCTION("""COMPUTED_VALUE"""),"Poder Ejecutivo Provincial")</f>
        <v>Poder Ejecutivo Provincial</v>
      </c>
      <c r="M460" s="20" t="str">
        <f ca="1">IFERROR(__xludf.DUMMYFUNCTION("""COMPUTED_VALUE"""),"Modificando el Anexo I a la Ley Nº 10733, y en consecuencia, declarando de utilidad pública y sujetos a expropiación los inmuebles necesarios para la ejecución de la obra ""Variante Ruta Provincial Nº 5 - Tramo: Alta Gracia - Intersección Ruta S-495""")</f>
        <v>Modificando el Anexo I a la Ley Nº 10733, y en consecuencia, declarando de utilidad pública y sujetos a expropiación los inmuebles necesarios para la ejecución de la obra "Variante Ruta Provincial Nº 5 - Tramo: Alta Gracia - Intersección Ruta S-495"</v>
      </c>
      <c r="N460" s="20" t="str">
        <f ca="1">IFERROR(__xludf.DUMMYFUNCTION("""COMPUTED_VALUE"""),"SI")</f>
        <v>SI</v>
      </c>
      <c r="O460" s="20" t="str">
        <f ca="1">IFERROR(__xludf.DUMMYFUNCTION("""COMPUTED_VALUE"""),"SI")</f>
        <v>SI</v>
      </c>
      <c r="P460" s="20">
        <f ca="1">IFERROR(__xludf.DUMMYFUNCTION("""COMPUTED_VALUE"""),1)</f>
        <v>1</v>
      </c>
      <c r="Q460" s="113" t="str">
        <f ca="1">IFERROR(__xludf.DUMMYFUNCTION("""COMPUTED_VALUE"""),"https://gld.legislaturacba.gob.ar/_cdd/api/Documento/descargar?guid=d3ed9728-17f1-4190-a555-b8b3974051b8&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v>
      </c>
      <c r="R460" s="113" t="str">
        <f ca="1">IFERROR(__xludf.DUMMYFUNCTION("""COMPUTED_VALUE"""),"https://www.youtube.com/watch?v=3BbsY6DE7fg")</f>
        <v>https://www.youtube.com/watch?v=3BbsY6DE7fg</v>
      </c>
      <c r="S460" s="113" t="str">
        <f ca="1">IFERROR(__xludf.DUMMYFUNCTION("""COMPUTED_VALUE"""),"https://gld.legislaturacba.gob.ar/Publics/Actas.aspx?id=j7Lu3KD5VOQ=;https://gld.legislaturacba.gob.ar/Publics/Actas.aspx?id=WVsrr23_cm0=")</f>
        <v>https://gld.legislaturacba.gob.ar/Publics/Actas.aspx?id=j7Lu3KD5VOQ=;https://gld.legislaturacba.gob.ar/Publics/Actas.aspx?id=WVsrr23_cm0=</v>
      </c>
      <c r="T460" s="99">
        <f t="shared" ca="1" si="0"/>
        <v>0</v>
      </c>
    </row>
    <row r="461" spans="1:20">
      <c r="A461" s="20">
        <f ca="1">IFERROR(__xludf.DUMMYFUNCTION("""COMPUTED_VALUE"""),223)</f>
        <v>223</v>
      </c>
      <c r="B461" s="20">
        <f ca="1">IFERROR(__xludf.DUMMYFUNCTION("""COMPUTED_VALUE"""),2021)</f>
        <v>2021</v>
      </c>
      <c r="C461" s="20" t="str">
        <f ca="1">IFERROR(__xludf.DUMMYFUNCTION("""COMPUTED_VALUE"""),"VIRTUAL")</f>
        <v>VIRTUAL</v>
      </c>
      <c r="D461" s="96">
        <f ca="1">IFERROR(__xludf.DUMMYFUNCTION("""COMPUTED_VALUE"""),44516)</f>
        <v>44516</v>
      </c>
      <c r="E461" s="20" t="str">
        <f ca="1">IFERROR(__xludf.DUMMYFUNCTION("""COMPUTED_VALUE"""),"SI")</f>
        <v>SI</v>
      </c>
      <c r="F461" s="20" t="str">
        <f ca="1">IFERROR(__xludf.DUMMYFUNCTION("""COMPUTED_VALUE"""),"ECONOMÍA, PRESUPUESTO, GESTIÓN PÚBLICA E INNOVACIÓN;DEPORTES Y RECREACIÓN;ASUNTOS INSTITUCIONALES, MUNICIPALES Y COMUNALES")</f>
        <v>ECONOMÍA, PRESUPUESTO, GESTIÓN PÚBLICA E INNOVACIÓN;DEPORTES Y RECREACIÓN;ASUNTOS INSTITUCIONALES, MUNICIPALES Y COMUNALES</v>
      </c>
      <c r="G461" s="20">
        <f ca="1">IFERROR(__xludf.DUMMYFUNCTION("""COMPUTED_VALUE"""),3)</f>
        <v>3</v>
      </c>
      <c r="H461" s="20">
        <f ca="1">IFERROR(__xludf.DUMMYFUNCTION("""COMPUTED_VALUE"""),1)</f>
        <v>1</v>
      </c>
      <c r="I461" s="20">
        <f ca="1">IFERROR(__xludf.DUMMYFUNCTION("""COMPUTED_VALUE"""),1)</f>
        <v>1</v>
      </c>
      <c r="J461" s="20" t="str">
        <f ca="1">IFERROR(__xludf.DUMMYFUNCTION("""COMPUTED_VALUE"""),"Ley")</f>
        <v>Ley</v>
      </c>
      <c r="K461" s="20">
        <f ca="1">IFERROR(__xludf.DUMMYFUNCTION("""COMPUTED_VALUE"""),33153)</f>
        <v>33153</v>
      </c>
      <c r="L461" s="20" t="str">
        <f ca="1">IFERROR(__xludf.DUMMYFUNCTION("""COMPUTED_VALUE"""),"Poder Legislativo Provincial")</f>
        <v>Poder Legislativo Provincial</v>
      </c>
      <c r="M461" s="20" t="str">
        <f ca="1">IFERROR(__xludf.DUMMYFUNCTION("""COMPUTED_VALUE"""),"Declarando de utilidad pública y sujeto a expropiación, por parte de la Comuna de San Roque, Departamento Punilla, un lote de terreno destinado exclusivamente a la construcción del Club Comunal Social y Deportivo de San Roque")</f>
        <v>Declarando de utilidad pública y sujeto a expropiación, por parte de la Comuna de San Roque, Departamento Punilla, un lote de terreno destinado exclusivamente a la construcción del Club Comunal Social y Deportivo de San Roque</v>
      </c>
      <c r="N461" s="20" t="str">
        <f ca="1">IFERROR(__xludf.DUMMYFUNCTION("""COMPUTED_VALUE"""),"NO")</f>
        <v>NO</v>
      </c>
      <c r="O461" s="20" t="str">
        <f ca="1">IFERROR(__xludf.DUMMYFUNCTION("""COMPUTED_VALUE"""),"NO")</f>
        <v>NO</v>
      </c>
      <c r="P461" s="20">
        <f ca="1">IFERROR(__xludf.DUMMYFUNCTION("""COMPUTED_VALUE"""),0)</f>
        <v>0</v>
      </c>
      <c r="Q461" s="113" t="str">
        <f ca="1">IFERROR(__xludf.DUMMYFUNCTION("""COMPUTED_VALUE"""),"https://gld.legislaturacba.gob.ar/_cdd/api/Documento/descargar?guid=2e07382c-7940-4580-8cd0-aa2e03d7f7e3&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v>
      </c>
      <c r="R461" s="113" t="str">
        <f ca="1">IFERROR(__xludf.DUMMYFUNCTION("""COMPUTED_VALUE"""),"https://www.youtube.com/watch?v=aAJcO6WWhdA")</f>
        <v>https://www.youtube.com/watch?v=aAJcO6WWhdA</v>
      </c>
      <c r="S461" s="113" t="str">
        <f ca="1">IFERROR(__xludf.DUMMYFUNCTION("""COMPUTED_VALUE"""),"https://gld.legislaturacba.gob.ar/Publics/Actas.aspx?id=xWEtZrfitUY=;https://gld.legislaturacba.gob.ar/Publics/Actas.aspx?id=thC6O0W2c1E=;https://gld.legislaturacba.gob.ar/Publics/Actas.aspx?id=IbHV-nwiRIQ=")</f>
        <v>https://gld.legislaturacba.gob.ar/Publics/Actas.aspx?id=xWEtZrfitUY=;https://gld.legislaturacba.gob.ar/Publics/Actas.aspx?id=thC6O0W2c1E=;https://gld.legislaturacba.gob.ar/Publics/Actas.aspx?id=IbHV-nwiRIQ=</v>
      </c>
      <c r="T461" s="99">
        <f t="shared" ca="1" si="0"/>
        <v>0</v>
      </c>
    </row>
    <row r="462" spans="1:20">
      <c r="A462" s="20">
        <f ca="1">IFERROR(__xludf.DUMMYFUNCTION("""COMPUTED_VALUE"""),224)</f>
        <v>224</v>
      </c>
      <c r="B462" s="20">
        <f ca="1">IFERROR(__xludf.DUMMYFUNCTION("""COMPUTED_VALUE"""),2021)</f>
        <v>2021</v>
      </c>
      <c r="C462" s="20" t="str">
        <f ca="1">IFERROR(__xludf.DUMMYFUNCTION("""COMPUTED_VALUE"""),"VIRTUAL")</f>
        <v>VIRTUAL</v>
      </c>
      <c r="D462" s="96">
        <f ca="1">IFERROR(__xludf.DUMMYFUNCTION("""COMPUTED_VALUE"""),44518)</f>
        <v>44518</v>
      </c>
      <c r="E462" s="20" t="str">
        <f ca="1">IFERROR(__xludf.DUMMYFUNCTION("""COMPUTED_VALUE"""),"SI")</f>
        <v>SI</v>
      </c>
      <c r="F462" s="20" t="str">
        <f ca="1">IFERROR(__xludf.DUMMYFUNCTION("""COMPUTED_VALUE"""),"EDUCACIÓN, CULTURA, CIENCIA, TECNOLOGÍA E INFORMÁTICA;PROMOCIÓN Y DEFENSA DE LOS DERECHOS DE LA NIÑEZ, ADOLESCENCIA Y FAMILIA")</f>
        <v>EDUCACIÓN, CULTURA, CIENCIA, TECNOLOGÍA E INFORMÁTICA;PROMOCIÓN Y DEFENSA DE LOS DERECHOS DE LA NIÑEZ, ADOLESCENCIA Y FAMILIA</v>
      </c>
      <c r="G462" s="20">
        <f ca="1">IFERROR(__xludf.DUMMYFUNCTION("""COMPUTED_VALUE"""),2)</f>
        <v>2</v>
      </c>
      <c r="H462" s="20">
        <f ca="1">IFERROR(__xludf.DUMMYFUNCTION("""COMPUTED_VALUE"""),2)</f>
        <v>2</v>
      </c>
      <c r="I462" s="20">
        <f ca="1">IFERROR(__xludf.DUMMYFUNCTION("""COMPUTED_VALUE"""),1)</f>
        <v>1</v>
      </c>
      <c r="J462" s="20" t="str">
        <f ca="1">IFERROR(__xludf.DUMMYFUNCTION("""COMPUTED_VALUE"""),"Ley")</f>
        <v>Ley</v>
      </c>
      <c r="K462" s="20">
        <f ca="1">IFERROR(__xludf.DUMMYFUNCTION("""COMPUTED_VALUE"""),32770)</f>
        <v>32770</v>
      </c>
      <c r="L462" s="20" t="str">
        <f ca="1">IFERROR(__xludf.DUMMYFUNCTION("""COMPUTED_VALUE"""),"Poder Legislativo Provincial")</f>
        <v>Poder Legislativo Provincial</v>
      </c>
      <c r="M462" s="20" t="str">
        <f ca="1">IFERROR(__xludf.DUMMYFUNCTION("""COMPUTED_VALUE"""),"Creando el “Programa de Protección Digital” en el ámbito de la Defensoría de los Derechos de Niñas, Niños y Adolescentes de la Provincia de Córdoba.")</f>
        <v>Creando el “Programa de Protección Digital” en el ámbito de la Defensoría de los Derechos de Niñas, Niños y Adolescentes de la Provincia de Córdoba.</v>
      </c>
      <c r="N462" s="20" t="str">
        <f ca="1">IFERROR(__xludf.DUMMYFUNCTION("""COMPUTED_VALUE"""),"NO")</f>
        <v>NO</v>
      </c>
      <c r="O462" s="20" t="str">
        <f ca="1">IFERROR(__xludf.DUMMYFUNCTION("""COMPUTED_VALUE"""),"SI")</f>
        <v>SI</v>
      </c>
      <c r="P462" s="20">
        <f ca="1">IFERROR(__xludf.DUMMYFUNCTION("""COMPUTED_VALUE"""),1)</f>
        <v>1</v>
      </c>
      <c r="Q462" s="113" t="str">
        <f ca="1">IFERROR(__xludf.DUMMYFUNCTION("""COMPUTED_VALUE"""),"https://gld.legislaturacba.gob.ar/_cdd/api/Documento/descargar?guid=9df28b1e-7e1d-4c3c-a5fb-1626c94e5bd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v>
      </c>
      <c r="R462" s="113" t="str">
        <f ca="1">IFERROR(__xludf.DUMMYFUNCTION("""COMPUTED_VALUE"""),"https://www.youtube.com/watch?v=4ONVLvpgSCE")</f>
        <v>https://www.youtube.com/watch?v=4ONVLvpgSCE</v>
      </c>
      <c r="S462" s="113" t="str">
        <f ca="1">IFERROR(__xludf.DUMMYFUNCTION("""COMPUTED_VALUE"""),"https://gld.legislaturacba.gob.ar/Publics/Actas.aspx?id=mOfwLNhtqWg=;https://gld.legislaturacba.gob.ar/Publics/Actas.aspx?id=vuqGpfJRQYI=")</f>
        <v>https://gld.legislaturacba.gob.ar/Publics/Actas.aspx?id=mOfwLNhtqWg=;https://gld.legislaturacba.gob.ar/Publics/Actas.aspx?id=vuqGpfJRQYI=</v>
      </c>
      <c r="T462" s="99">
        <f t="shared" ca="1" si="0"/>
        <v>0</v>
      </c>
    </row>
    <row r="463" spans="1:20">
      <c r="A463" s="20">
        <f ca="1">IFERROR(__xludf.DUMMYFUNCTION("""COMPUTED_VALUE"""),225)</f>
        <v>225</v>
      </c>
      <c r="B463" s="20">
        <f ca="1">IFERROR(__xludf.DUMMYFUNCTION("""COMPUTED_VALUE"""),2021)</f>
        <v>2021</v>
      </c>
      <c r="C463" s="20" t="str">
        <f ca="1">IFERROR(__xludf.DUMMYFUNCTION("""COMPUTED_VALUE"""),"SEMIPRESENCIAL")</f>
        <v>SEMIPRESENCIAL</v>
      </c>
      <c r="D463" s="96">
        <f ca="1">IFERROR(__xludf.DUMMYFUNCTION("""COMPUTED_VALUE"""),44523)</f>
        <v>44523</v>
      </c>
      <c r="E463" s="20" t="str">
        <f ca="1">IFERROR(__xludf.DUMMYFUNCTION("""COMPUTED_VALUE"""),"SI")</f>
        <v>SI</v>
      </c>
      <c r="F463"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63" s="20">
        <f ca="1">IFERROR(__xludf.DUMMYFUNCTION("""COMPUTED_VALUE"""),3)</f>
        <v>3</v>
      </c>
      <c r="H463" s="20">
        <f ca="1">IFERROR(__xludf.DUMMYFUNCTION("""COMPUTED_VALUE"""),3)</f>
        <v>3</v>
      </c>
      <c r="I463" s="20">
        <f ca="1">IFERROR(__xludf.DUMMYFUNCTION("""COMPUTED_VALUE"""),1)</f>
        <v>1</v>
      </c>
      <c r="J463" s="20" t="str">
        <f ca="1">IFERROR(__xludf.DUMMYFUNCTION("""COMPUTED_VALUE"""),"Ley")</f>
        <v>Ley</v>
      </c>
      <c r="K463" s="20">
        <f ca="1">IFERROR(__xludf.DUMMYFUNCTION("""COMPUTED_VALUE"""),34131)</f>
        <v>34131</v>
      </c>
      <c r="L463" s="20" t="str">
        <f ca="1">IFERROR(__xludf.DUMMYFUNCTION("""COMPUTED_VALUE"""),"Poder Ejecutivo Provincial")</f>
        <v>Poder Ejecutivo Provincial</v>
      </c>
      <c r="M463" s="20" t="str">
        <f ca="1">IFERROR(__xludf.DUMMYFUNCTION("""COMPUTED_VALUE"""),"Estableciendo el Presupuesto General de la Administración Pública Provincial para el año 2022")</f>
        <v>Estableciendo el Presupuesto General de la Administración Pública Provincial para el año 2022</v>
      </c>
      <c r="N463" s="20" t="str">
        <f ca="1">IFERROR(__xludf.DUMMYFUNCTION("""COMPUTED_VALUE"""),"NO")</f>
        <v>NO</v>
      </c>
      <c r="O463" s="20" t="str">
        <f ca="1">IFERROR(__xludf.DUMMYFUNCTION("""COMPUTED_VALUE"""),"SI")</f>
        <v>SI</v>
      </c>
      <c r="P463" s="20">
        <f ca="1">IFERROR(__xludf.DUMMYFUNCTION("""COMPUTED_VALUE"""),2)</f>
        <v>2</v>
      </c>
      <c r="Q463" s="113" t="str">
        <f ca="1">IFERROR(__xludf.DUMMYFUNCTION("""COMPUTED_VALUE"""),"https://gld.legislaturacba.gob.ar/_cdd/api/Documento/descargar?guid=1ac959c9-651b-47f8-a838-4b169c8c699c&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v>
      </c>
      <c r="R463" s="113" t="str">
        <f ca="1">IFERROR(__xludf.DUMMYFUNCTION("""COMPUTED_VALUE"""),"https://www.youtube.com/watch?v=y-YrnzQEf20")</f>
        <v>https://www.youtube.com/watch?v=y-YrnzQEf20</v>
      </c>
      <c r="S463" s="113" t="str">
        <f ca="1">IFERROR(__xludf.DUMMYFUNCTION("""COMPUTED_VALUE"""),"https://gld.legislaturacba.gob.ar/Publics/Actas.aspx?id=NOQZow-PnGM=;https://gld.legislaturacba.gob.ar/Publics/Actas.aspx?id=dXoNrBtMHsI=;https://gld.legislaturacba.gob.ar/Publics/Actas.aspx?id=jCo0tEhm4yE=")</f>
        <v>https://gld.legislaturacba.gob.ar/Publics/Actas.aspx?id=NOQZow-PnGM=;https://gld.legislaturacba.gob.ar/Publics/Actas.aspx?id=dXoNrBtMHsI=;https://gld.legislaturacba.gob.ar/Publics/Actas.aspx?id=jCo0tEhm4yE=</v>
      </c>
      <c r="T463" s="99">
        <f t="shared" ca="1" si="0"/>
        <v>0</v>
      </c>
    </row>
    <row r="464" spans="1:20">
      <c r="A464" s="20">
        <f ca="1">IFERROR(__xludf.DUMMYFUNCTION("""COMPUTED_VALUE"""),226)</f>
        <v>226</v>
      </c>
      <c r="B464" s="20">
        <f ca="1">IFERROR(__xludf.DUMMYFUNCTION("""COMPUTED_VALUE"""),2021)</f>
        <v>2021</v>
      </c>
      <c r="C464" s="20" t="str">
        <f ca="1">IFERROR(__xludf.DUMMYFUNCTION("""COMPUTED_VALUE"""),"VIRTUAL")</f>
        <v>VIRTUAL</v>
      </c>
      <c r="D464" s="96">
        <f ca="1">IFERROR(__xludf.DUMMYFUNCTION("""COMPUTED_VALUE"""),44523)</f>
        <v>44523</v>
      </c>
      <c r="E464" s="20" t="str">
        <f ca="1">IFERROR(__xludf.DUMMYFUNCTION("""COMPUTED_VALUE"""),"SI")</f>
        <v>SI</v>
      </c>
      <c r="F464" s="20" t="str">
        <f ca="1">IFERROR(__xludf.DUMMYFUNCTION("""COMPUTED_VALUE"""),"LEGISLACIÓN GENERAL;SERVICIOS PÚBLICOS")</f>
        <v>LEGISLACIÓN GENERAL;SERVICIOS PÚBLICOS</v>
      </c>
      <c r="G464" s="20">
        <f ca="1">IFERROR(__xludf.DUMMYFUNCTION("""COMPUTED_VALUE"""),2)</f>
        <v>2</v>
      </c>
      <c r="H464" s="20">
        <f ca="1">IFERROR(__xludf.DUMMYFUNCTION("""COMPUTED_VALUE"""),1)</f>
        <v>1</v>
      </c>
      <c r="I464" s="20">
        <f ca="1">IFERROR(__xludf.DUMMYFUNCTION("""COMPUTED_VALUE"""),1)</f>
        <v>1</v>
      </c>
      <c r="J464" s="20" t="str">
        <f ca="1">IFERROR(__xludf.DUMMYFUNCTION("""COMPUTED_VALUE"""),"Ley")</f>
        <v>Ley</v>
      </c>
      <c r="K464" s="20">
        <f ca="1">IFERROR(__xludf.DUMMYFUNCTION("""COMPUTED_VALUE"""),34170)</f>
        <v>34170</v>
      </c>
      <c r="L464" s="20" t="str">
        <f ca="1">IFERROR(__xludf.DUMMYFUNCTION("""COMPUTED_VALUE"""),"Poder Legislativo Provincial")</f>
        <v>Poder Legislativo Provincial</v>
      </c>
      <c r="M464" s="20" t="str">
        <f ca="1">IFERROR(__xludf.DUMMYFUNCTION("""COMPUTED_VALUE"""),"Prorrogando hasta el 1 de diciembre de 2023 el vencimiento del plazo previsto en el Art. 7° de la Ley N° 10281 -Seguridad Eléctrica para la provincia de Córdoba-, y suspendiendo por el mismo tiempo las obligaciones emergentes para las instalaciones a que "&amp;"se refiere el Art. 2°, inc. b) acápites 1) y 3)")</f>
        <v>Prorrogando hasta el 1 de diciembre de 2023 el vencimiento del plazo previsto en el Art. 7° de la Ley N° 10281 -Seguridad Eléctrica para la provincia de Córdoba-, y suspendiendo por el mismo tiempo las obligaciones emergentes para las instalaciones a que se refiere el Art. 2°, inc. b) acápites 1) y 3)</v>
      </c>
      <c r="N464" s="20" t="str">
        <f ca="1">IFERROR(__xludf.DUMMYFUNCTION("""COMPUTED_VALUE"""),"SI")</f>
        <v>SI</v>
      </c>
      <c r="O464" s="20" t="str">
        <f ca="1">IFERROR(__xludf.DUMMYFUNCTION("""COMPUTED_VALUE"""),"NO")</f>
        <v>NO</v>
      </c>
      <c r="P464" s="20">
        <f ca="1">IFERROR(__xludf.DUMMYFUNCTION("""COMPUTED_VALUE"""),0)</f>
        <v>0</v>
      </c>
      <c r="Q464" s="113" t="str">
        <f ca="1">IFERROR(__xludf.DUMMYFUNCTION("""COMPUTED_VALUE"""),"https://gld.legislaturacba.gob.ar/_cdd/api/Documento/descargar?guid=f42c61d4-f00d-478b-9bf0-c61d8f799125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v>
      </c>
      <c r="R464" s="113" t="str">
        <f ca="1">IFERROR(__xludf.DUMMYFUNCTION("""COMPUTED_VALUE"""),"https://www.youtube.com/watch?v=3PfXWSj0H_0")</f>
        <v>https://www.youtube.com/watch?v=3PfXWSj0H_0</v>
      </c>
      <c r="S464" s="113" t="str">
        <f ca="1">IFERROR(__xludf.DUMMYFUNCTION("""COMPUTED_VALUE"""),"https://gld.legislaturacba.gob.ar/Publics/Actas.aspx?id=jOjBdY6r1gQ=;https://gld.legislaturacba.gob.ar/Publics/Actas.aspx?id=VHaKBpy7Q7U=")</f>
        <v>https://gld.legislaturacba.gob.ar/Publics/Actas.aspx?id=jOjBdY6r1gQ=;https://gld.legislaturacba.gob.ar/Publics/Actas.aspx?id=VHaKBpy7Q7U=</v>
      </c>
      <c r="T464" s="99">
        <f t="shared" ca="1" si="0"/>
        <v>0</v>
      </c>
    </row>
    <row r="465" spans="1:20">
      <c r="A465" s="20">
        <f ca="1">IFERROR(__xludf.DUMMYFUNCTION("""COMPUTED_VALUE"""),227)</f>
        <v>227</v>
      </c>
      <c r="B465" s="20">
        <f ca="1">IFERROR(__xludf.DUMMYFUNCTION("""COMPUTED_VALUE"""),2021)</f>
        <v>2021</v>
      </c>
      <c r="C465" s="20" t="str">
        <f ca="1">IFERROR(__xludf.DUMMYFUNCTION("""COMPUTED_VALUE"""),"VIRTUAL")</f>
        <v>VIRTUAL</v>
      </c>
      <c r="D465" s="96">
        <f ca="1">IFERROR(__xludf.DUMMYFUNCTION("""COMPUTED_VALUE"""),44523)</f>
        <v>44523</v>
      </c>
      <c r="E465" s="20" t="str">
        <f ca="1">IFERROR(__xludf.DUMMYFUNCTION("""COMPUTED_VALUE"""),"NO")</f>
        <v>NO</v>
      </c>
      <c r="F465" s="20" t="str">
        <f ca="1">IFERROR(__xludf.DUMMYFUNCTION("""COMPUTED_VALUE"""),"TURISMO Y SU RELACIÓN CON EL DESARROLLO REGIONAL")</f>
        <v>TURISMO Y SU RELACIÓN CON EL DESARROLLO REGIONAL</v>
      </c>
      <c r="G465" s="20">
        <f ca="1">IFERROR(__xludf.DUMMYFUNCTION("""COMPUTED_VALUE"""),1)</f>
        <v>1</v>
      </c>
      <c r="H465" s="20">
        <f ca="1">IFERROR(__xludf.DUMMYFUNCTION("""COMPUTED_VALUE"""),1)</f>
        <v>1</v>
      </c>
      <c r="I465" s="20">
        <f ca="1">IFERROR(__xludf.DUMMYFUNCTION("""COMPUTED_VALUE"""),1)</f>
        <v>1</v>
      </c>
      <c r="J465" s="20" t="str">
        <f ca="1">IFERROR(__xludf.DUMMYFUNCTION("""COMPUTED_VALUE"""),"Ley")</f>
        <v>Ley</v>
      </c>
      <c r="K465" s="20">
        <f ca="1">IFERROR(__xludf.DUMMYFUNCTION("""COMPUTED_VALUE"""),32460)</f>
        <v>32460</v>
      </c>
      <c r="L465" s="20" t="str">
        <f ca="1">IFERROR(__xludf.DUMMYFUNCTION("""COMPUTED_VALUE"""),"Poder Legislativo Provincial")</f>
        <v>Poder Legislativo Provincial</v>
      </c>
      <c r="M465"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465" s="20" t="str">
        <f ca="1">IFERROR(__xludf.DUMMYFUNCTION("""COMPUTED_VALUE"""),"NO")</f>
        <v>NO</v>
      </c>
      <c r="O465" s="20" t="str">
        <f ca="1">IFERROR(__xludf.DUMMYFUNCTION("""COMPUTED_VALUE"""),"SI")</f>
        <v>SI</v>
      </c>
      <c r="P465" s="20">
        <f ca="1">IFERROR(__xludf.DUMMYFUNCTION("""COMPUTED_VALUE"""),2)</f>
        <v>2</v>
      </c>
      <c r="Q465" s="113" t="str">
        <f ca="1">IFERROR(__xludf.DUMMYFUNCTION("""COMPUTED_VALUE"""),"https://gld.legislaturacba.gob.ar/_cdd/api/Documento/descargar?guid=94c1348a-5eda-4beb-93ed-eb935e8418f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v>
      </c>
      <c r="R465" s="113" t="str">
        <f ca="1">IFERROR(__xludf.DUMMYFUNCTION("""COMPUTED_VALUE"""),"https://www.youtube.com/watch?v=PONSvQAOXLY")</f>
        <v>https://www.youtube.com/watch?v=PONSvQAOXLY</v>
      </c>
      <c r="S465" s="113" t="str">
        <f ca="1">IFERROR(__xludf.DUMMYFUNCTION("""COMPUTED_VALUE"""),"https://gld.legislaturacba.gob.ar/Publics/Actas.aspx?id=uszbQrzqNn8=")</f>
        <v>https://gld.legislaturacba.gob.ar/Publics/Actas.aspx?id=uszbQrzqNn8=</v>
      </c>
      <c r="T465" s="99">
        <f t="shared" ca="1" si="0"/>
        <v>0</v>
      </c>
    </row>
    <row r="466" spans="1:20">
      <c r="A466" s="20">
        <f ca="1">IFERROR(__xludf.DUMMYFUNCTION("""COMPUTED_VALUE"""),228)</f>
        <v>228</v>
      </c>
      <c r="B466" s="20">
        <f ca="1">IFERROR(__xludf.DUMMYFUNCTION("""COMPUTED_VALUE"""),2021)</f>
        <v>2021</v>
      </c>
      <c r="C466" s="20" t="str">
        <f ca="1">IFERROR(__xludf.DUMMYFUNCTION("""COMPUTED_VALUE"""),"PRESENCIAL")</f>
        <v>PRESENCIAL</v>
      </c>
      <c r="D466" s="96">
        <f ca="1">IFERROR(__xludf.DUMMYFUNCTION("""COMPUTED_VALUE"""),44524)</f>
        <v>44524</v>
      </c>
      <c r="E466" s="20" t="str">
        <f ca="1">IFERROR(__xludf.DUMMYFUNCTION("""COMPUTED_VALUE"""),"NO")</f>
        <v>NO</v>
      </c>
      <c r="F466" s="20" t="str">
        <f ca="1">IFERROR(__xludf.DUMMYFUNCTION("""COMPUTED_VALUE"""),"SALUD HUMANA")</f>
        <v>SALUD HUMANA</v>
      </c>
      <c r="G466" s="20">
        <f ca="1">IFERROR(__xludf.DUMMYFUNCTION("""COMPUTED_VALUE"""),1)</f>
        <v>1</v>
      </c>
      <c r="H466" s="20">
        <f ca="1">IFERROR(__xludf.DUMMYFUNCTION("""COMPUTED_VALUE"""),1)</f>
        <v>1</v>
      </c>
      <c r="I466" s="20">
        <f ca="1">IFERROR(__xludf.DUMMYFUNCTION("""COMPUTED_VALUE"""),1)</f>
        <v>1</v>
      </c>
      <c r="J466" s="20" t="str">
        <f ca="1">IFERROR(__xludf.DUMMYFUNCTION("""COMPUTED_VALUE"""),"NA")</f>
        <v>NA</v>
      </c>
      <c r="K466" s="20" t="str">
        <f ca="1">IFERROR(__xludf.DUMMYFUNCTION("""COMPUTED_VALUE"""),"NA")</f>
        <v>NA</v>
      </c>
      <c r="L466" s="20" t="str">
        <f ca="1">IFERROR(__xludf.DUMMYFUNCTION("""COMPUTED_VALUE"""),"NA")</f>
        <v>NA</v>
      </c>
      <c r="M466" s="20" t="str">
        <f ca="1">IFERROR(__xludf.DUMMYFUNCTION("""COMPUTED_VALUE"""),"Visita al nuevo Hospital Eva Perón en barrio Los Filtros de la ciudad de Córdoba")</f>
        <v>Visita al nuevo Hospital Eva Perón en barrio Los Filtros de la ciudad de Córdoba</v>
      </c>
      <c r="N466" s="20" t="str">
        <f ca="1">IFERROR(__xludf.DUMMYFUNCTION("""COMPUTED_VALUE"""),"NA")</f>
        <v>NA</v>
      </c>
      <c r="O466" s="20" t="str">
        <f ca="1">IFERROR(__xludf.DUMMYFUNCTION("""COMPUTED_VALUE"""),"NO")</f>
        <v>NO</v>
      </c>
      <c r="P466" s="20">
        <f ca="1">IFERROR(__xludf.DUMMYFUNCTION("""COMPUTED_VALUE"""),0)</f>
        <v>0</v>
      </c>
      <c r="Q466" s="20" t="str">
        <f ca="1">IFERROR(__xludf.DUMMYFUNCTION("""COMPUTED_VALUE"""),"NA")</f>
        <v>NA</v>
      </c>
      <c r="R466" s="20" t="str">
        <f ca="1">IFERROR(__xludf.DUMMYFUNCTION("""COMPUTED_VALUE"""),"NA")</f>
        <v>NA</v>
      </c>
      <c r="S466" s="113" t="str">
        <f ca="1">IFERROR(__xludf.DUMMYFUNCTION("""COMPUTED_VALUE"""),"https://gld.legislaturacba.gob.ar/Publics/Actas.aspx?id=sXdP8DKjN9U=")</f>
        <v>https://gld.legislaturacba.gob.ar/Publics/Actas.aspx?id=sXdP8DKjN9U=</v>
      </c>
      <c r="T466" s="99">
        <f t="shared" ca="1" si="0"/>
        <v>0</v>
      </c>
    </row>
    <row r="467" spans="1:20">
      <c r="A467" s="20">
        <f ca="1">IFERROR(__xludf.DUMMYFUNCTION("""COMPUTED_VALUE"""),229)</f>
        <v>229</v>
      </c>
      <c r="B467" s="20">
        <f ca="1">IFERROR(__xludf.DUMMYFUNCTION("""COMPUTED_VALUE"""),2021)</f>
        <v>2021</v>
      </c>
      <c r="C467" s="20" t="str">
        <f ca="1">IFERROR(__xludf.DUMMYFUNCTION("""COMPUTED_VALUE"""),"VIRTUAL")</f>
        <v>VIRTUAL</v>
      </c>
      <c r="D467" s="96">
        <f ca="1">IFERROR(__xludf.DUMMYFUNCTION("""COMPUTED_VALUE"""),44524)</f>
        <v>44524</v>
      </c>
      <c r="E467" s="20" t="str">
        <f ca="1">IFERROR(__xludf.DUMMYFUNCTION("""COMPUTED_VALUE"""),"SI")</f>
        <v>SI</v>
      </c>
      <c r="F467" s="20" t="str">
        <f ca="1">IFERROR(__xludf.DUMMYFUNCTION("""COMPUTED_VALUE"""),"INDUSTRIA Y MINERÍA;LEGISLACIÓN GENERAL;PROMOCIÓN Y DESARROLLO DE LAS COMUNIDADES REGIONALES;PROMOCIÓN Y DESARROLLO DE ECONOMÍAS REGIONALES Y PYMES")</f>
        <v>INDUSTRIA Y MINERÍA;LEGISLACIÓN GENERAL;PROMOCIÓN Y DESARROLLO DE LAS COMUNIDADES REGIONALES;PROMOCIÓN Y DESARROLLO DE ECONOMÍAS REGIONALES Y PYMES</v>
      </c>
      <c r="G467" s="20">
        <f ca="1">IFERROR(__xludf.DUMMYFUNCTION("""COMPUTED_VALUE"""),4)</f>
        <v>4</v>
      </c>
      <c r="H467" s="20">
        <f ca="1">IFERROR(__xludf.DUMMYFUNCTION("""COMPUTED_VALUE"""),1)</f>
        <v>1</v>
      </c>
      <c r="I467" s="20">
        <f ca="1">IFERROR(__xludf.DUMMYFUNCTION("""COMPUTED_VALUE"""),1)</f>
        <v>1</v>
      </c>
      <c r="J467" s="20" t="str">
        <f ca="1">IFERROR(__xludf.DUMMYFUNCTION("""COMPUTED_VALUE"""),"Ley")</f>
        <v>Ley</v>
      </c>
      <c r="K467" s="20">
        <f ca="1">IFERROR(__xludf.DUMMYFUNCTION("""COMPUTED_VALUE"""),30707)</f>
        <v>30707</v>
      </c>
      <c r="L467" s="20" t="str">
        <f ca="1">IFERROR(__xludf.DUMMYFUNCTION("""COMPUTED_VALUE"""),"Poder Legislativo Provincial")</f>
        <v>Poder Legislativo Provincial</v>
      </c>
      <c r="M467" s="20" t="str">
        <f ca="1">IFERROR(__xludf.DUMMYFUNCTION("""COMPUTED_VALUE"""),"Creando en el ámbito de la provincia, el programa ""Marca Provincia de Córdoba"" que promoverá políticas públicas orientadas a denominar el origen y promocionar la calidad de los bienes y servicios producidos en el territorio provincial.")</f>
        <v>Creando en el ámbito de la provincia, el programa "Marca Provincia de Córdoba" que promoverá políticas públicas orientadas a denominar el origen y promocionar la calidad de los bienes y servicios producidos en el territorio provincial.</v>
      </c>
      <c r="N467" s="20" t="str">
        <f ca="1">IFERROR(__xludf.DUMMYFUNCTION("""COMPUTED_VALUE"""),"SI")</f>
        <v>SI</v>
      </c>
      <c r="O467" s="20" t="str">
        <f ca="1">IFERROR(__xludf.DUMMYFUNCTION("""COMPUTED_VALUE"""),"NO")</f>
        <v>NO</v>
      </c>
      <c r="P467" s="20">
        <f ca="1">IFERROR(__xludf.DUMMYFUNCTION("""COMPUTED_VALUE"""),0)</f>
        <v>0</v>
      </c>
      <c r="Q467" s="113" t="str">
        <f ca="1">IFERROR(__xludf.DUMMYFUNCTION("""COMPUTED_VALUE"""),"https://gld.legislaturacba.gob.ar/_cdd/api/Documento/descargar?guid=91d77874-ff9d-495a-9309-9bc4f40ebf49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v>
      </c>
      <c r="R467" s="20" t="str">
        <f ca="1">IFERROR(__xludf.DUMMYFUNCTION("""COMPUTED_VALUE"""),"NA")</f>
        <v>NA</v>
      </c>
      <c r="S467" s="113" t="str">
        <f ca="1">IFERROR(__xludf.DUMMYFUNCTION("""COMPUTED_VALUE"""),"https://gld.legislaturacba.gob.ar/Publics/Actas.aspx?id=oAiBx-bhP_I=;https://gld.legislaturacba.gob.ar/Publics/Actas.aspx?id=y_aDywNOZ28=;https://gld.legislaturacba.gob.ar/Publics/Actas.aspx?id=7iPYs0mt9Cw=;https://gld.legislaturacba.gob.ar/Publics/Actas."&amp;"aspx?id=WyDlY4evEQI=")</f>
        <v>https://gld.legislaturacba.gob.ar/Publics/Actas.aspx?id=oAiBx-bhP_I=;https://gld.legislaturacba.gob.ar/Publics/Actas.aspx?id=y_aDywNOZ28=;https://gld.legislaturacba.gob.ar/Publics/Actas.aspx?id=7iPYs0mt9Cw=;https://gld.legislaturacba.gob.ar/Publics/Actas.aspx?id=WyDlY4evEQI=</v>
      </c>
      <c r="T467" s="99">
        <f t="shared" ca="1" si="0"/>
        <v>0</v>
      </c>
    </row>
    <row r="468" spans="1:20">
      <c r="A468" s="20">
        <f ca="1">IFERROR(__xludf.DUMMYFUNCTION("""COMPUTED_VALUE"""),230)</f>
        <v>230</v>
      </c>
      <c r="B468" s="20">
        <f ca="1">IFERROR(__xludf.DUMMYFUNCTION("""COMPUTED_VALUE"""),2021)</f>
        <v>2021</v>
      </c>
      <c r="C468" s="20" t="str">
        <f ca="1">IFERROR(__xludf.DUMMYFUNCTION("""COMPUTED_VALUE"""),"SEMIPRESENCIAL")</f>
        <v>SEMIPRESENCIAL</v>
      </c>
      <c r="D468" s="96">
        <f ca="1">IFERROR(__xludf.DUMMYFUNCTION("""COMPUTED_VALUE"""),44525)</f>
        <v>44525</v>
      </c>
      <c r="E468" s="20" t="str">
        <f ca="1">IFERROR(__xludf.DUMMYFUNCTION("""COMPUTED_VALUE"""),"SI")</f>
        <v>SI</v>
      </c>
      <c r="F468"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68" s="20">
        <f ca="1">IFERROR(__xludf.DUMMYFUNCTION("""COMPUTED_VALUE"""),3)</f>
        <v>3</v>
      </c>
      <c r="H468" s="20">
        <f ca="1">IFERROR(__xludf.DUMMYFUNCTION("""COMPUTED_VALUE"""),3)</f>
        <v>3</v>
      </c>
      <c r="I468" s="20">
        <f ca="1">IFERROR(__xludf.DUMMYFUNCTION("""COMPUTED_VALUE"""),1)</f>
        <v>1</v>
      </c>
      <c r="J468" s="20" t="str">
        <f ca="1">IFERROR(__xludf.DUMMYFUNCTION("""COMPUTED_VALUE"""),"Ley")</f>
        <v>Ley</v>
      </c>
      <c r="K468" s="20">
        <f ca="1">IFERROR(__xludf.DUMMYFUNCTION("""COMPUTED_VALUE"""),34131)</f>
        <v>34131</v>
      </c>
      <c r="L468" s="20" t="str">
        <f ca="1">IFERROR(__xludf.DUMMYFUNCTION("""COMPUTED_VALUE"""),"Poder Ejecutivo Provincial")</f>
        <v>Poder Ejecutivo Provincial</v>
      </c>
      <c r="M468" s="20" t="str">
        <f ca="1">IFERROR(__xludf.DUMMYFUNCTION("""COMPUTED_VALUE"""),"Estableciendo el Presupuesto General de la Administración Pública Provincial para el año 2022")</f>
        <v>Estableciendo el Presupuesto General de la Administración Pública Provincial para el año 2022</v>
      </c>
      <c r="N468" s="20" t="str">
        <f ca="1">IFERROR(__xludf.DUMMYFUNCTION("""COMPUTED_VALUE"""),"NO")</f>
        <v>NO</v>
      </c>
      <c r="O468" s="20" t="str">
        <f ca="1">IFERROR(__xludf.DUMMYFUNCTION("""COMPUTED_VALUE"""),"SI")</f>
        <v>SI</v>
      </c>
      <c r="P468" s="20">
        <f ca="1">IFERROR(__xludf.DUMMYFUNCTION("""COMPUTED_VALUE"""),1)</f>
        <v>1</v>
      </c>
      <c r="Q468" s="113" t="str">
        <f ca="1">IFERROR(__xludf.DUMMYFUNCTION("""COMPUTED_VALUE"""),"https://gld.legislaturacba.gob.ar/_cdd/api/Documento/descargar?guid=e0160b05-0368-4372-bdeb-dd3f31c0dcb8&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v>
      </c>
      <c r="R468" s="113" t="str">
        <f ca="1">IFERROR(__xludf.DUMMYFUNCTION("""COMPUTED_VALUE"""),"https://www.youtube.com/watch?v=sMFnvY2aojU")</f>
        <v>https://www.youtube.com/watch?v=sMFnvY2aojU</v>
      </c>
      <c r="S468" s="113" t="str">
        <f ca="1">IFERROR(__xludf.DUMMYFUNCTION("""COMPUTED_VALUE"""),"https://gld.legislaturacba.gob.ar/Publics/Actas.aspx?id=4U5E4JZk_SE=;https://gld.legislaturacba.gob.ar/Publics/Actas.aspx?id=kpbnrjpsjFQ=;https://gld.legislaturacba.gob.ar/Publics/Actas.aspx?id=pocfJl7Mq1g=")</f>
        <v>https://gld.legislaturacba.gob.ar/Publics/Actas.aspx?id=4U5E4JZk_SE=;https://gld.legislaturacba.gob.ar/Publics/Actas.aspx?id=kpbnrjpsjFQ=;https://gld.legislaturacba.gob.ar/Publics/Actas.aspx?id=pocfJl7Mq1g=</v>
      </c>
      <c r="T468" s="99">
        <f t="shared" ca="1" si="0"/>
        <v>0</v>
      </c>
    </row>
    <row r="469" spans="1:20">
      <c r="A469" s="20">
        <f ca="1">IFERROR(__xludf.DUMMYFUNCTION("""COMPUTED_VALUE"""),231)</f>
        <v>231</v>
      </c>
      <c r="B469" s="20">
        <f ca="1">IFERROR(__xludf.DUMMYFUNCTION("""COMPUTED_VALUE"""),2021)</f>
        <v>2021</v>
      </c>
      <c r="C469" s="20" t="str">
        <f ca="1">IFERROR(__xludf.DUMMYFUNCTION("""COMPUTED_VALUE"""),"VIRTUAL")</f>
        <v>VIRTUAL</v>
      </c>
      <c r="D469" s="96">
        <f ca="1">IFERROR(__xludf.DUMMYFUNCTION("""COMPUTED_VALUE"""),44525)</f>
        <v>44525</v>
      </c>
      <c r="E469" s="20" t="str">
        <f ca="1">IFERROR(__xludf.DUMMYFUNCTION("""COMPUTED_VALUE"""),"SI")</f>
        <v>SI</v>
      </c>
      <c r="F469" s="20" t="str">
        <f ca="1">IFERROR(__xludf.DUMMYFUNCTION("""COMPUTED_VALUE"""),"EDUCACIÓN, CULTURA, CIENCIA, TECNOLOGÍA E INFORMÁTICA;LEGISLACIÓN DEL TRABAJO, PREVISIÓN Y SEGURIDAD SOCIAL")</f>
        <v>EDUCACIÓN, CULTURA, CIENCIA, TECNOLOGÍA E INFORMÁTICA;LEGISLACIÓN DEL TRABAJO, PREVISIÓN Y SEGURIDAD SOCIAL</v>
      </c>
      <c r="G469" s="20">
        <f ca="1">IFERROR(__xludf.DUMMYFUNCTION("""COMPUTED_VALUE"""),2)</f>
        <v>2</v>
      </c>
      <c r="H469" s="20">
        <f ca="1">IFERROR(__xludf.DUMMYFUNCTION("""COMPUTED_VALUE"""),1)</f>
        <v>1</v>
      </c>
      <c r="I469" s="20">
        <f ca="1">IFERROR(__xludf.DUMMYFUNCTION("""COMPUTED_VALUE"""),1)</f>
        <v>1</v>
      </c>
      <c r="J469" s="20" t="str">
        <f ca="1">IFERROR(__xludf.DUMMYFUNCTION("""COMPUTED_VALUE"""),"Ley")</f>
        <v>Ley</v>
      </c>
      <c r="K469" s="20">
        <f ca="1">IFERROR(__xludf.DUMMYFUNCTION("""COMPUTED_VALUE"""),34072)</f>
        <v>34072</v>
      </c>
      <c r="L469" s="20" t="str">
        <f ca="1">IFERROR(__xludf.DUMMYFUNCTION("""COMPUTED_VALUE"""),"Poder Ejecutivo Provincial")</f>
        <v>Poder Ejecutivo Provincial</v>
      </c>
      <c r="M469" s="20" t="str">
        <f ca="1">IFERROR(__xludf.DUMMYFUNCTION("""COMPUTED_VALUE"""),"Sustituyendo el apartado ""C"" del artículo 27 del Decreto-Ley N° 1910/E/1957, referido a excepciones en cesantías automáticas de suplencias en cargos docentes")</f>
        <v>Sustituyendo el apartado "C" del artículo 27 del Decreto-Ley N° 1910/E/1957, referido a excepciones en cesantías automáticas de suplencias en cargos docentes</v>
      </c>
      <c r="N469" s="20" t="str">
        <f ca="1">IFERROR(__xludf.DUMMYFUNCTION("""COMPUTED_VALUE"""),"NO")</f>
        <v>NO</v>
      </c>
      <c r="O469" s="20" t="str">
        <f ca="1">IFERROR(__xludf.DUMMYFUNCTION("""COMPUTED_VALUE"""),"SI")</f>
        <v>SI</v>
      </c>
      <c r="P469" s="20">
        <f ca="1">IFERROR(__xludf.DUMMYFUNCTION("""COMPUTED_VALUE"""),1)</f>
        <v>1</v>
      </c>
      <c r="Q469" s="113" t="str">
        <f ca="1">IFERROR(__xludf.DUMMYFUNCTION("""COMPUTED_VALUE"""),"https://gld.legislaturacba.gob.ar/_cdd/api/Documento/descargar?guid=7f307516-3f92-4c5b-a81b-d3c415edb061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v>
      </c>
      <c r="R469" s="113" t="str">
        <f ca="1">IFERROR(__xludf.DUMMYFUNCTION("""COMPUTED_VALUE"""),"https://www.youtube.com/watch?v=MEtwqeoPP_o&amp;t")</f>
        <v>https://www.youtube.com/watch?v=MEtwqeoPP_o&amp;t</v>
      </c>
      <c r="S469" s="113" t="str">
        <f ca="1">IFERROR(__xludf.DUMMYFUNCTION("""COMPUTED_VALUE"""),"https://gld.legislaturacba.gob.ar/Publics/Actas.aspx?id=DSUtC7LHlKg=;https://gld.legislaturacba.gob.ar/Publics/Actas.aspx?id=fiU1icXT9iA=")</f>
        <v>https://gld.legislaturacba.gob.ar/Publics/Actas.aspx?id=DSUtC7LHlKg=;https://gld.legislaturacba.gob.ar/Publics/Actas.aspx?id=fiU1icXT9iA=</v>
      </c>
      <c r="T469" s="99">
        <f t="shared" ca="1" si="0"/>
        <v>0</v>
      </c>
    </row>
    <row r="470" spans="1:20">
      <c r="A470" s="20">
        <f ca="1">IFERROR(__xludf.DUMMYFUNCTION("""COMPUTED_VALUE"""),232)</f>
        <v>232</v>
      </c>
      <c r="B470" s="20">
        <f ca="1">IFERROR(__xludf.DUMMYFUNCTION("""COMPUTED_VALUE"""),2021)</f>
        <v>2021</v>
      </c>
      <c r="C470" s="20" t="str">
        <f ca="1">IFERROR(__xludf.DUMMYFUNCTION("""COMPUTED_VALUE"""),"VIRTUAL")</f>
        <v>VIRTUAL</v>
      </c>
      <c r="D470" s="96">
        <f ca="1">IFERROR(__xludf.DUMMYFUNCTION("""COMPUTED_VALUE"""),44525)</f>
        <v>44525</v>
      </c>
      <c r="E470" s="20" t="str">
        <f ca="1">IFERROR(__xludf.DUMMYFUNCTION("""COMPUTED_VALUE"""),"SI")</f>
        <v>SI</v>
      </c>
      <c r="F470" s="20" t="str">
        <f ca="1">IFERROR(__xludf.DUMMYFUNCTION("""COMPUTED_VALUE"""),"ASUNTOS CONSTITUCIONALES, JUSTICIA Y ACUERDOS;LEGISLACIÓN GENERAL")</f>
        <v>ASUNTOS CONSTITUCIONALES, JUSTICIA Y ACUERDOS;LEGISLACIÓN GENERAL</v>
      </c>
      <c r="G470" s="20">
        <f ca="1">IFERROR(__xludf.DUMMYFUNCTION("""COMPUTED_VALUE"""),2)</f>
        <v>2</v>
      </c>
      <c r="H470" s="20">
        <f ca="1">IFERROR(__xludf.DUMMYFUNCTION("""COMPUTED_VALUE"""),4)</f>
        <v>4</v>
      </c>
      <c r="I470" s="20">
        <f ca="1">IFERROR(__xludf.DUMMYFUNCTION("""COMPUTED_VALUE"""),1)</f>
        <v>1</v>
      </c>
      <c r="J470" s="20" t="str">
        <f ca="1">IFERROR(__xludf.DUMMYFUNCTION("""COMPUTED_VALUE"""),"Pliego")</f>
        <v>Pliego</v>
      </c>
      <c r="K470" s="20">
        <f ca="1">IFERROR(__xludf.DUMMYFUNCTION("""COMPUTED_VALUE"""),33955)</f>
        <v>33955</v>
      </c>
      <c r="L470" s="20" t="str">
        <f ca="1">IFERROR(__xludf.DUMMYFUNCTION("""COMPUTED_VALUE"""),"Poder Ejecutivo Provincial")</f>
        <v>Poder Ejecutivo Provincial</v>
      </c>
      <c r="M470" s="20" t="str">
        <f ca="1">IFERROR(__xludf.DUMMYFUNCTION("""COMPUTED_VALUE"""),"Solicitando acuerdo para designar al abogado Fernando López Villagra como Fiscal de Cámara en lo Criminal y Correccional en la Oficina de Fiscalía de Cámara Subrogrante del Centro Judicial Córdoba, perteneciente a la Primera Circunscripción Judicial con a"&amp;"siento en la ciudad de Córdoba.")</f>
        <v>Solicitando acuerdo para designar al abogado Fernando López Villagra como Fiscal de Cámara en lo Criminal y Correccional en la Oficina de Fiscalía de Cámara Subrogrante del Centro Judicial Córdoba, perteneciente a la Primera Circunscripción Judicial con asiento en la ciudad de Córdoba.</v>
      </c>
      <c r="N470" s="20" t="str">
        <f ca="1">IFERROR(__xludf.DUMMYFUNCTION("""COMPUTED_VALUE"""),"SI")</f>
        <v>SI</v>
      </c>
      <c r="O470" s="20" t="str">
        <f ca="1">IFERROR(__xludf.DUMMYFUNCTION("""COMPUTED_VALUE"""),"NO")</f>
        <v>NO</v>
      </c>
      <c r="P470" s="20">
        <f ca="1">IFERROR(__xludf.DUMMYFUNCTION("""COMPUTED_VALUE"""),0)</f>
        <v>0</v>
      </c>
      <c r="Q470" s="113" t="str">
        <f ca="1">IFERROR(__xludf.DUMMYFUNCTION("""COMPUTED_VALUE"""),"https://gld.legislaturacba.gob.ar/_cdd/api/Documento/descargar?guid=5fa63b75-7861-47dd-926b-eae7054416e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v>
      </c>
      <c r="R470" s="113" t="str">
        <f ca="1">IFERROR(__xludf.DUMMYFUNCTION("""COMPUTED_VALUE"""),"https://www.youtube.com/watch?v=0ZDQNIzWZwE&amp;t")</f>
        <v>https://www.youtube.com/watch?v=0ZDQNIzWZwE&amp;t</v>
      </c>
      <c r="S470" s="113" t="str">
        <f ca="1">IFERROR(__xludf.DUMMYFUNCTION("""COMPUTED_VALUE"""),"https://gld.legislaturacba.gob.ar/Publics/Actas.aspx?id=o0WXVCNLu3Q=;https://gld.legislaturacba.gob.ar/Publics/Actas.aspx?id=4Syh2iwpXjU=")</f>
        <v>https://gld.legislaturacba.gob.ar/Publics/Actas.aspx?id=o0WXVCNLu3Q=;https://gld.legislaturacba.gob.ar/Publics/Actas.aspx?id=4Syh2iwpXjU=</v>
      </c>
      <c r="T470" s="99">
        <f t="shared" ca="1" si="0"/>
        <v>0</v>
      </c>
    </row>
    <row r="471" spans="1:20">
      <c r="A471" s="20">
        <f ca="1">IFERROR(__xludf.DUMMYFUNCTION("""COMPUTED_VALUE"""),233)</f>
        <v>233</v>
      </c>
      <c r="B471" s="20">
        <f ca="1">IFERROR(__xludf.DUMMYFUNCTION("""COMPUTED_VALUE"""),2021)</f>
        <v>2021</v>
      </c>
      <c r="C471" s="20" t="str">
        <f ca="1">IFERROR(__xludf.DUMMYFUNCTION("""COMPUTED_VALUE"""),"VIRTUAL")</f>
        <v>VIRTUAL</v>
      </c>
      <c r="D471" s="96">
        <f ca="1">IFERROR(__xludf.DUMMYFUNCTION("""COMPUTED_VALUE"""),44530)</f>
        <v>44530</v>
      </c>
      <c r="E471" s="20" t="str">
        <f ca="1">IFERROR(__xludf.DUMMYFUNCTION("""COMPUTED_VALUE"""),"SI")</f>
        <v>SI</v>
      </c>
      <c r="F471"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71" s="20">
        <f ca="1">IFERROR(__xludf.DUMMYFUNCTION("""COMPUTED_VALUE"""),3)</f>
        <v>3</v>
      </c>
      <c r="H471" s="20">
        <f ca="1">IFERROR(__xludf.DUMMYFUNCTION("""COMPUTED_VALUE"""),3)</f>
        <v>3</v>
      </c>
      <c r="I471" s="20">
        <f ca="1">IFERROR(__xludf.DUMMYFUNCTION("""COMPUTED_VALUE"""),1)</f>
        <v>1</v>
      </c>
      <c r="J471" s="20" t="str">
        <f ca="1">IFERROR(__xludf.DUMMYFUNCTION("""COMPUTED_VALUE"""),"Ley")</f>
        <v>Ley</v>
      </c>
      <c r="K471" s="20">
        <f ca="1">IFERROR(__xludf.DUMMYFUNCTION("""COMPUTED_VALUE"""),34131)</f>
        <v>34131</v>
      </c>
      <c r="L471" s="20" t="str">
        <f ca="1">IFERROR(__xludf.DUMMYFUNCTION("""COMPUTED_VALUE"""),"Poder Ejecutivo Provincial")</f>
        <v>Poder Ejecutivo Provincial</v>
      </c>
      <c r="M471" s="20" t="str">
        <f ca="1">IFERROR(__xludf.DUMMYFUNCTION("""COMPUTED_VALUE"""),"Estableciendo el Presupuesto General de la Administración Pública Provincial para el año 2022")</f>
        <v>Estableciendo el Presupuesto General de la Administración Pública Provincial para el año 2022</v>
      </c>
      <c r="N471" s="20" t="str">
        <f ca="1">IFERROR(__xludf.DUMMYFUNCTION("""COMPUTED_VALUE"""),"SI")</f>
        <v>SI</v>
      </c>
      <c r="O471" s="20" t="str">
        <f ca="1">IFERROR(__xludf.DUMMYFUNCTION("""COMPUTED_VALUE"""),"NO")</f>
        <v>NO</v>
      </c>
      <c r="P471" s="20">
        <f ca="1">IFERROR(__xludf.DUMMYFUNCTION("""COMPUTED_VALUE"""),0)</f>
        <v>0</v>
      </c>
      <c r="Q471" s="113" t="str">
        <f ca="1">IFERROR(__xludf.DUMMYFUNCTION("""COMPUTED_VALUE"""),"https://gld.legislaturacba.gob.ar/_cdd/api/Documento/descargar?guid=565a3744-b1a7-4b48-bb58-7c826c2500b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v>
      </c>
      <c r="R471" s="113" t="str">
        <f ca="1">IFERROR(__xludf.DUMMYFUNCTION("""COMPUTED_VALUE"""),"https://www.youtube.com/watch?v=ZDK4JmkjkRM")</f>
        <v>https://www.youtube.com/watch?v=ZDK4JmkjkRM</v>
      </c>
      <c r="S471" s="113" t="str">
        <f ca="1">IFERROR(__xludf.DUMMYFUNCTION("""COMPUTED_VALUE"""),"https://gld.legislaturacba.gob.ar/Publics/Actas.aspx?id=ft65MUU5nWI=;https://gld.legislaturacba.gob.ar/Publics/Actas.aspx?id=mRvYsNwwcHA=;https://gld.legislaturacba.gob.ar/Publics/Actas.aspx?id=lDvmQlS44mM=")</f>
        <v>https://gld.legislaturacba.gob.ar/Publics/Actas.aspx?id=ft65MUU5nWI=;https://gld.legislaturacba.gob.ar/Publics/Actas.aspx?id=mRvYsNwwcHA=;https://gld.legislaturacba.gob.ar/Publics/Actas.aspx?id=lDvmQlS44mM=</v>
      </c>
      <c r="T471" s="99">
        <f t="shared" ca="1" si="0"/>
        <v>0</v>
      </c>
    </row>
    <row r="472" spans="1:20">
      <c r="A472" s="20">
        <f ca="1">IFERROR(__xludf.DUMMYFUNCTION("""COMPUTED_VALUE"""),234)</f>
        <v>234</v>
      </c>
      <c r="B472" s="20">
        <f ca="1">IFERROR(__xludf.DUMMYFUNCTION("""COMPUTED_VALUE"""),2021)</f>
        <v>2021</v>
      </c>
      <c r="C472" s="20" t="str">
        <f ca="1">IFERROR(__xludf.DUMMYFUNCTION("""COMPUTED_VALUE"""),"VIRTUAL")</f>
        <v>VIRTUAL</v>
      </c>
      <c r="D472" s="96">
        <f ca="1">IFERROR(__xludf.DUMMYFUNCTION("""COMPUTED_VALUE"""),44530)</f>
        <v>44530</v>
      </c>
      <c r="E472" s="20" t="str">
        <f ca="1">IFERROR(__xludf.DUMMYFUNCTION("""COMPUTED_VALUE"""),"SI")</f>
        <v>SI</v>
      </c>
      <c r="F472" s="20" t="str">
        <f ca="1">IFERROR(__xludf.DUMMYFUNCTION("""COMPUTED_VALUE"""),"ECONOMÍA, PRESUPUESTO, GESTIÓN PÚBLICA E INNOVACIÓN;INDUSTRIA Y MINERÍA;PROMOCIÓN Y DESARROLLO DE ECONOMÍAS REGIONALES Y PYMES")</f>
        <v>ECONOMÍA, PRESUPUESTO, GESTIÓN PÚBLICA E INNOVACIÓN;INDUSTRIA Y MINERÍA;PROMOCIÓN Y DESARROLLO DE ECONOMÍAS REGIONALES Y PYMES</v>
      </c>
      <c r="G472" s="20">
        <f ca="1">IFERROR(__xludf.DUMMYFUNCTION("""COMPUTED_VALUE"""),3)</f>
        <v>3</v>
      </c>
      <c r="H472" s="20">
        <f ca="1">IFERROR(__xludf.DUMMYFUNCTION("""COMPUTED_VALUE"""),1)</f>
        <v>1</v>
      </c>
      <c r="I472" s="20">
        <f ca="1">IFERROR(__xludf.DUMMYFUNCTION("""COMPUTED_VALUE"""),1)</f>
        <v>1</v>
      </c>
      <c r="J472" s="20" t="str">
        <f ca="1">IFERROR(__xludf.DUMMYFUNCTION("""COMPUTED_VALUE"""),"Ley")</f>
        <v>Ley</v>
      </c>
      <c r="K472" s="20">
        <f ca="1">IFERROR(__xludf.DUMMYFUNCTION("""COMPUTED_VALUE"""),34236)</f>
        <v>34236</v>
      </c>
      <c r="L472" s="20" t="str">
        <f ca="1">IFERROR(__xludf.DUMMYFUNCTION("""COMPUTED_VALUE"""),"Poder Ejecutivo Provincial")</f>
        <v>Poder Ejecutivo Provincial</v>
      </c>
      <c r="M472"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72" s="20" t="str">
        <f ca="1">IFERROR(__xludf.DUMMYFUNCTION("""COMPUTED_VALUE"""),"NO")</f>
        <v>NO</v>
      </c>
      <c r="O472" s="20" t="str">
        <f ca="1">IFERROR(__xludf.DUMMYFUNCTION("""COMPUTED_VALUE"""),"SI")</f>
        <v>SI</v>
      </c>
      <c r="P472" s="20">
        <f ca="1">IFERROR(__xludf.DUMMYFUNCTION("""COMPUTED_VALUE"""),1)</f>
        <v>1</v>
      </c>
      <c r="Q472" s="113" t="str">
        <f ca="1">IFERROR(__xludf.DUMMYFUNCTION("""COMPUTED_VALUE"""),"https://gld.legislaturacba.gob.ar/_cdd/api/Documento/descargar?guid=f3ae2360-d1cf-402b-b9c4-47088199cec1&amp;token=oPk7wSmeSlI3u-mb_k9o4_XIi9zbcTnwmQo_5BEXNIcdnXYD7Im7s69VhD7O1pdVsxGBdlnajkim3lhRenKBysdoIyKKQIPX0rVUQMR-URgyQ7FIPUyVtF5Z7cVmORjb6WadGczlPpu5cTcW"&amp;"u7KJYLOn-qfsBY8W3Eo67eDOY-PHVvjjpf5LGcwOCEbzoNZIN0o9F09NLieiHDFyVRvKZsMxXlXxgGyFt0p6zmkFu_b-NpEgULEnpNCCi3ChaghB")</f>
        <v>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v>
      </c>
      <c r="R472" s="113" t="str">
        <f ca="1">IFERROR(__xludf.DUMMYFUNCTION("""COMPUTED_VALUE"""),"https://www.youtube.com/watch?v=f2qgxq6XRV4")</f>
        <v>https://www.youtube.com/watch?v=f2qgxq6XRV4</v>
      </c>
      <c r="S472" s="113" t="str">
        <f ca="1">IFERROR(__xludf.DUMMYFUNCTION("""COMPUTED_VALUE"""),"https://gld.legislaturacba.gob.ar/Publics/Actas.aspx?id=srEQPgj190M=;https://gld.legislaturacba.gob.ar/Publics/Actas.aspx?id=lq0yZ26EM8k=;https://gld.legislaturacba.gob.ar/Publics/Actas.aspx?id=KQGxy3BovXo=")</f>
        <v>https://gld.legislaturacba.gob.ar/Publics/Actas.aspx?id=srEQPgj190M=;https://gld.legislaturacba.gob.ar/Publics/Actas.aspx?id=lq0yZ26EM8k=;https://gld.legislaturacba.gob.ar/Publics/Actas.aspx?id=KQGxy3BovXo=</v>
      </c>
      <c r="T472" s="99">
        <f t="shared" ca="1" si="0"/>
        <v>0</v>
      </c>
    </row>
    <row r="473" spans="1:20">
      <c r="A473" s="20">
        <f ca="1">IFERROR(__xludf.DUMMYFUNCTION("""COMPUTED_VALUE"""),235)</f>
        <v>235</v>
      </c>
      <c r="B473" s="20">
        <f ca="1">IFERROR(__xludf.DUMMYFUNCTION("""COMPUTED_VALUE"""),2021)</f>
        <v>2021</v>
      </c>
      <c r="C473" s="20" t="str">
        <f ca="1">IFERROR(__xludf.DUMMYFUNCTION("""COMPUTED_VALUE"""),"VIRTUAL")</f>
        <v>VIRTUAL</v>
      </c>
      <c r="D473" s="96">
        <f ca="1">IFERROR(__xludf.DUMMYFUNCTION("""COMPUTED_VALUE"""),44530)</f>
        <v>44530</v>
      </c>
      <c r="E473" s="20" t="str">
        <f ca="1">IFERROR(__xludf.DUMMYFUNCTION("""COMPUTED_VALUE"""),"SI")</f>
        <v>SI</v>
      </c>
      <c r="F473" s="20" t="str">
        <f ca="1">IFERROR(__xludf.DUMMYFUNCTION("""COMPUTED_VALUE"""),"ASUNTOS CONSTITUCIONALES, JUSTICIA Y ACUERDOS;LEGISLACIÓN GENERAL")</f>
        <v>ASUNTOS CONSTITUCIONALES, JUSTICIA Y ACUERDOS;LEGISLACIÓN GENERAL</v>
      </c>
      <c r="G473" s="20">
        <f ca="1">IFERROR(__xludf.DUMMYFUNCTION("""COMPUTED_VALUE"""),2)</f>
        <v>2</v>
      </c>
      <c r="H473" s="20">
        <f ca="1">IFERROR(__xludf.DUMMYFUNCTION("""COMPUTED_VALUE"""),2)</f>
        <v>2</v>
      </c>
      <c r="I473" s="20">
        <f ca="1">IFERROR(__xludf.DUMMYFUNCTION("""COMPUTED_VALUE"""),1)</f>
        <v>1</v>
      </c>
      <c r="J473" s="20" t="str">
        <f ca="1">IFERROR(__xludf.DUMMYFUNCTION("""COMPUTED_VALUE"""),"Ley")</f>
        <v>Ley</v>
      </c>
      <c r="K473" s="20">
        <f ca="1">IFERROR(__xludf.DUMMYFUNCTION("""COMPUTED_VALUE"""),31310)</f>
        <v>31310</v>
      </c>
      <c r="L473" s="20" t="str">
        <f ca="1">IFERROR(__xludf.DUMMYFUNCTION("""COMPUTED_VALUE"""),"Poder Legislativo Provincial")</f>
        <v>Poder Legislativo Provincial</v>
      </c>
      <c r="M473" s="20" t="str">
        <f ca="1">IFERROR(__xludf.DUMMYFUNCTION("""COMPUTED_VALUE"""),"Incorporando el artículo 49 bis a la ley 9571 –“Código Electoral Provincial”-, agregando el requisito “Ficha limpia” que prohíbe la candidatura de las personas que se encuentren condenadas a penas privativas de la libertad, aunque la sentencia no se encon"&amp;"trare firme y la pena fuera de cumplimiento en suspenso de distintos delitos.")</f>
        <v>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v>
      </c>
      <c r="N473" s="20" t="str">
        <f ca="1">IFERROR(__xludf.DUMMYFUNCTION("""COMPUTED_VALUE"""),"NO")</f>
        <v>NO</v>
      </c>
      <c r="O473" s="20" t="str">
        <f ca="1">IFERROR(__xludf.DUMMYFUNCTION("""COMPUTED_VALUE"""),"NO")</f>
        <v>NO</v>
      </c>
      <c r="P473" s="20">
        <f ca="1">IFERROR(__xludf.DUMMYFUNCTION("""COMPUTED_VALUE"""),0)</f>
        <v>0</v>
      </c>
      <c r="Q473" s="113" t="str">
        <f ca="1">IFERROR(__xludf.DUMMYFUNCTION("""COMPUTED_VALUE"""),"https://gld.legislaturacba.gob.ar/_cdd/api/Documento/descargar?guid=f8069608-f76b-4987-8213-b19c4bd1bc7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v>
      </c>
      <c r="R473" s="113" t="str">
        <f ca="1">IFERROR(__xludf.DUMMYFUNCTION("""COMPUTED_VALUE"""),"https://www.youtube.com/watch?v=5THPgphSsE8")</f>
        <v>https://www.youtube.com/watch?v=5THPgphSsE8</v>
      </c>
      <c r="S473" s="113" t="str">
        <f ca="1">IFERROR(__xludf.DUMMYFUNCTION("""COMPUTED_VALUE"""),"https://gld.legislaturacba.gob.ar/Publics/Actas.aspx?id=jZBqtkLucxg=;https://gld.legislaturacba.gob.ar/Publics/Actas.aspx?id=3usMNl4AZfM=")</f>
        <v>https://gld.legislaturacba.gob.ar/Publics/Actas.aspx?id=jZBqtkLucxg=;https://gld.legislaturacba.gob.ar/Publics/Actas.aspx?id=3usMNl4AZfM=</v>
      </c>
      <c r="T473" s="99">
        <f t="shared" ca="1" si="0"/>
        <v>0</v>
      </c>
    </row>
    <row r="474" spans="1:20">
      <c r="A474" s="20">
        <f ca="1">IFERROR(__xludf.DUMMYFUNCTION("""COMPUTED_VALUE"""),236)</f>
        <v>236</v>
      </c>
      <c r="B474" s="20">
        <f ca="1">IFERROR(__xludf.DUMMYFUNCTION("""COMPUTED_VALUE"""),2021)</f>
        <v>2021</v>
      </c>
      <c r="C474" s="20" t="str">
        <f ca="1">IFERROR(__xludf.DUMMYFUNCTION("""COMPUTED_VALUE"""),"SEMIPRESENCIAL")</f>
        <v>SEMIPRESENCIAL</v>
      </c>
      <c r="D474" s="96">
        <f ca="1">IFERROR(__xludf.DUMMYFUNCTION("""COMPUTED_VALUE"""),44532)</f>
        <v>44532</v>
      </c>
      <c r="E474" s="20" t="str">
        <f ca="1">IFERROR(__xludf.DUMMYFUNCTION("""COMPUTED_VALUE"""),"SI")</f>
        <v>SI</v>
      </c>
      <c r="F474"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74" s="20">
        <f ca="1">IFERROR(__xludf.DUMMYFUNCTION("""COMPUTED_VALUE"""),3)</f>
        <v>3</v>
      </c>
      <c r="H474" s="20">
        <f ca="1">IFERROR(__xludf.DUMMYFUNCTION("""COMPUTED_VALUE"""),3)</f>
        <v>3</v>
      </c>
      <c r="I474" s="20">
        <f ca="1">IFERROR(__xludf.DUMMYFUNCTION("""COMPUTED_VALUE"""),1)</f>
        <v>1</v>
      </c>
      <c r="J474" s="20" t="str">
        <f ca="1">IFERROR(__xludf.DUMMYFUNCTION("""COMPUTED_VALUE"""),"Ley")</f>
        <v>Ley</v>
      </c>
      <c r="K474" s="20">
        <f ca="1">IFERROR(__xludf.DUMMYFUNCTION("""COMPUTED_VALUE"""),34131)</f>
        <v>34131</v>
      </c>
      <c r="L474" s="20" t="str">
        <f ca="1">IFERROR(__xludf.DUMMYFUNCTION("""COMPUTED_VALUE"""),"Poder Ejecutivo Provincial")</f>
        <v>Poder Ejecutivo Provincial</v>
      </c>
      <c r="M474" s="20" t="str">
        <f ca="1">IFERROR(__xludf.DUMMYFUNCTION("""COMPUTED_VALUE"""),"Estableciendo el Presupuesto General de la Administración Pública Provincial para el año 2022")</f>
        <v>Estableciendo el Presupuesto General de la Administración Pública Provincial para el año 2022</v>
      </c>
      <c r="N474" s="20" t="str">
        <f ca="1">IFERROR(__xludf.DUMMYFUNCTION("""COMPUTED_VALUE"""),"NO")</f>
        <v>NO</v>
      </c>
      <c r="O474" s="20" t="str">
        <f ca="1">IFERROR(__xludf.DUMMYFUNCTION("""COMPUTED_VALUE"""),"SI")</f>
        <v>SI</v>
      </c>
      <c r="P474" s="20">
        <f ca="1">IFERROR(__xludf.DUMMYFUNCTION("""COMPUTED_VALUE"""),2)</f>
        <v>2</v>
      </c>
      <c r="Q474" s="113" t="str">
        <f ca="1">IFERROR(__xludf.DUMMYFUNCTION("""COMPUTED_VALUE"""),"https://gld.legislaturacba.gob.ar/_cdd/api/Documento/descargar?guid=9c1c9433-7ce4-4ee9-aa2c-5438631c585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v>
      </c>
      <c r="R474" s="113" t="str">
        <f ca="1">IFERROR(__xludf.DUMMYFUNCTION("""COMPUTED_VALUE"""),"https://www.youtube.com/watch?v=z6mVhcgywBY")</f>
        <v>https://www.youtube.com/watch?v=z6mVhcgywBY</v>
      </c>
      <c r="S474" s="113" t="str">
        <f ca="1">IFERROR(__xludf.DUMMYFUNCTION("""COMPUTED_VALUE"""),"https://gld.legislaturacba.gob.ar/Publics/Actas.aspx?id=nyowBNqArE0=;https://gld.legislaturacba.gob.ar/Publics/Actas.aspx?id=bLsLl8J3uv8=;https://gld.legislaturacba.gob.ar/Publics/Actas.aspx?id=izucnWEehAg=")</f>
        <v>https://gld.legislaturacba.gob.ar/Publics/Actas.aspx?id=nyowBNqArE0=;https://gld.legislaturacba.gob.ar/Publics/Actas.aspx?id=bLsLl8J3uv8=;https://gld.legislaturacba.gob.ar/Publics/Actas.aspx?id=izucnWEehAg=</v>
      </c>
      <c r="T474" s="99">
        <f t="shared" ca="1" si="0"/>
        <v>0</v>
      </c>
    </row>
    <row r="475" spans="1:20">
      <c r="A475" s="20">
        <f ca="1">IFERROR(__xludf.DUMMYFUNCTION("""COMPUTED_VALUE"""),237)</f>
        <v>237</v>
      </c>
      <c r="B475" s="20">
        <f ca="1">IFERROR(__xludf.DUMMYFUNCTION("""COMPUTED_VALUE"""),2021)</f>
        <v>2021</v>
      </c>
      <c r="C475" s="20" t="str">
        <f ca="1">IFERROR(__xludf.DUMMYFUNCTION("""COMPUTED_VALUE"""),"VIRTUAL")</f>
        <v>VIRTUAL</v>
      </c>
      <c r="D475" s="96">
        <f ca="1">IFERROR(__xludf.DUMMYFUNCTION("""COMPUTED_VALUE"""),44532)</f>
        <v>44532</v>
      </c>
      <c r="E475" s="20" t="str">
        <f ca="1">IFERROR(__xludf.DUMMYFUNCTION("""COMPUTED_VALUE"""),"NO")</f>
        <v>NO</v>
      </c>
      <c r="F475" s="20" t="str">
        <f ca="1">IFERROR(__xludf.DUMMYFUNCTION("""COMPUTED_VALUE"""),"TURISMO Y SU RELACIÓN CON EL DESARROLLO REGIONAL")</f>
        <v>TURISMO Y SU RELACIÓN CON EL DESARROLLO REGIONAL</v>
      </c>
      <c r="G475" s="20">
        <f ca="1">IFERROR(__xludf.DUMMYFUNCTION("""COMPUTED_VALUE"""),1)</f>
        <v>1</v>
      </c>
      <c r="H475" s="20">
        <f ca="1">IFERROR(__xludf.DUMMYFUNCTION("""COMPUTED_VALUE"""),1)</f>
        <v>1</v>
      </c>
      <c r="I475" s="20">
        <f ca="1">IFERROR(__xludf.DUMMYFUNCTION("""COMPUTED_VALUE"""),1)</f>
        <v>1</v>
      </c>
      <c r="J475" s="20" t="str">
        <f ca="1">IFERROR(__xludf.DUMMYFUNCTION("""COMPUTED_VALUE"""),"Resolución")</f>
        <v>Resolución</v>
      </c>
      <c r="K475" s="20">
        <f ca="1">IFERROR(__xludf.DUMMYFUNCTION("""COMPUTED_VALUE"""),34018)</f>
        <v>34018</v>
      </c>
      <c r="L475" s="20" t="str">
        <f ca="1">IFERROR(__xludf.DUMMYFUNCTION("""COMPUTED_VALUE"""),"Poder Legislativo Provincial")</f>
        <v>Poder Legislativo Provincial</v>
      </c>
      <c r="M475" s="20" t="str">
        <f ca="1">IFERROR(__xludf.DUMMYFUNCTION("""COMPUTED_VALUE"""),"Solicitando al Poder Ejecutivo informe (Art. 102 C.P.) sobre los inconvenientes de quienes contrataron con agencias de viajes que han sufrido las consecuencias de las medidas económicas por la pandemia Covid-19, así como las medidas adoptadas.")</f>
        <v>Solicitando al Poder Ejecutivo informe (Art. 102 C.P.) sobre los inconvenientes de quienes contrataron con agencias de viajes que han sufrido las consecuencias de las medidas económicas por la pandemia Covid-19, así como las medidas adoptadas.</v>
      </c>
      <c r="N475" s="20" t="str">
        <f ca="1">IFERROR(__xludf.DUMMYFUNCTION("""COMPUTED_VALUE"""),"NO")</f>
        <v>NO</v>
      </c>
      <c r="O475" s="20" t="str">
        <f ca="1">IFERROR(__xludf.DUMMYFUNCTION("""COMPUTED_VALUE"""),"NO")</f>
        <v>NO</v>
      </c>
      <c r="P475" s="20">
        <f ca="1">IFERROR(__xludf.DUMMYFUNCTION("""COMPUTED_VALUE"""),0)</f>
        <v>0</v>
      </c>
      <c r="Q475" s="113" t="str">
        <f ca="1">IFERROR(__xludf.DUMMYFUNCTION("""COMPUTED_VALUE"""),"https://gld.legislaturacba.gob.ar/_cdd/api/Documento/descargar?guid=76faf2f6-5774-4137-b36c-7341b117b301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v>
      </c>
      <c r="R475" s="113" t="str">
        <f ca="1">IFERROR(__xludf.DUMMYFUNCTION("""COMPUTED_VALUE"""),"https://www.youtube.com/watch?v=E9NU4IJ3MWY")</f>
        <v>https://www.youtube.com/watch?v=E9NU4IJ3MWY</v>
      </c>
      <c r="S475" s="113" t="str">
        <f ca="1">IFERROR(__xludf.DUMMYFUNCTION("""COMPUTED_VALUE"""),"https://gld.legislaturacba.gob.ar/Publics/Actas.aspx?id=gE-JusxylqU=")</f>
        <v>https://gld.legislaturacba.gob.ar/Publics/Actas.aspx?id=gE-JusxylqU=</v>
      </c>
      <c r="T475" s="99">
        <f t="shared" ca="1" si="0"/>
        <v>0</v>
      </c>
    </row>
    <row r="476" spans="1:20">
      <c r="A476" s="20">
        <f ca="1">IFERROR(__xludf.DUMMYFUNCTION("""COMPUTED_VALUE"""),238)</f>
        <v>238</v>
      </c>
      <c r="B476" s="20">
        <f ca="1">IFERROR(__xludf.DUMMYFUNCTION("""COMPUTED_VALUE"""),2021)</f>
        <v>2021</v>
      </c>
      <c r="C476" s="20" t="str">
        <f ca="1">IFERROR(__xludf.DUMMYFUNCTION("""COMPUTED_VALUE"""),"VIRTUAL")</f>
        <v>VIRTUAL</v>
      </c>
      <c r="D476" s="96">
        <f ca="1">IFERROR(__xludf.DUMMYFUNCTION("""COMPUTED_VALUE"""),44532)</f>
        <v>44532</v>
      </c>
      <c r="E476" s="20" t="str">
        <f ca="1">IFERROR(__xludf.DUMMYFUNCTION("""COMPUTED_VALUE"""),"NO")</f>
        <v>NO</v>
      </c>
      <c r="F476" s="20" t="str">
        <f ca="1">IFERROR(__xludf.DUMMYFUNCTION("""COMPUTED_VALUE"""),"ASUNTOS CONSTITUCIONALES, JUSTICIA Y ACUERDOS")</f>
        <v>ASUNTOS CONSTITUCIONALES, JUSTICIA Y ACUERDOS</v>
      </c>
      <c r="G476" s="20">
        <f ca="1">IFERROR(__xludf.DUMMYFUNCTION("""COMPUTED_VALUE"""),1)</f>
        <v>1</v>
      </c>
      <c r="H476" s="20">
        <f ca="1">IFERROR(__xludf.DUMMYFUNCTION("""COMPUTED_VALUE"""),6)</f>
        <v>6</v>
      </c>
      <c r="I476" s="20">
        <f ca="1">IFERROR(__xludf.DUMMYFUNCTION("""COMPUTED_VALUE"""),1)</f>
        <v>1</v>
      </c>
      <c r="J476" s="20" t="str">
        <f ca="1">IFERROR(__xludf.DUMMYFUNCTION("""COMPUTED_VALUE"""),"Pliego")</f>
        <v>Pliego</v>
      </c>
      <c r="K476" s="20">
        <f ca="1">IFERROR(__xludf.DUMMYFUNCTION("""COMPUTED_VALUE"""),33956)</f>
        <v>33956</v>
      </c>
      <c r="L476" s="20" t="str">
        <f ca="1">IFERROR(__xludf.DUMMYFUNCTION("""COMPUTED_VALUE"""),"Poder Ejecutivo Provincial")</f>
        <v>Poder Ejecutivo Provincial</v>
      </c>
      <c r="M476" s="20" t="str">
        <f ca="1">IFERROR(__xludf.DUMMYFUNCTION("""COMPUTED_VALUE"""),"Solicitando acuerdo para designar al abogado Andrés Rubén Godoy como Fiscal de Instrucción en la Fiscalía de Instrucción Distrito Tres, Primer Turno, del Centro Judicial Córdoba, perteneciente a la Primera Circunscripción Judicial con asiento en la ciudad"&amp;" de Córdoba.")</f>
        <v>Solicitando acuerdo para designar al abogado Andrés Rubén Godoy como Fiscal de Instrucción en la Fiscalía de Instrucción Distrito Tres, Primer Turno, del Centro Judicial Córdoba, perteneciente a la Primera Circunscripción Judicial con asiento en la ciudad de Córdoba.</v>
      </c>
      <c r="N476" s="20" t="str">
        <f ca="1">IFERROR(__xludf.DUMMYFUNCTION("""COMPUTED_VALUE"""),"SI")</f>
        <v>SI</v>
      </c>
      <c r="O476" s="20" t="str">
        <f ca="1">IFERROR(__xludf.DUMMYFUNCTION("""COMPUTED_VALUE"""),"NO")</f>
        <v>NO</v>
      </c>
      <c r="P476" s="20">
        <f ca="1">IFERROR(__xludf.DUMMYFUNCTION("""COMPUTED_VALUE"""),0)</f>
        <v>0</v>
      </c>
      <c r="Q476" s="113" t="str">
        <f ca="1">IFERROR(__xludf.DUMMYFUNCTION("""COMPUTED_VALUE"""),"https://gld.legislaturacba.gob.ar/_cdd/api/Documento/descargar?guid=e44aa68d-c0a5-42b2-b16c-4703245389d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v>
      </c>
      <c r="R476" s="113" t="str">
        <f ca="1">IFERROR(__xludf.DUMMYFUNCTION("""COMPUTED_VALUE"""),"https://www.youtube.com/watch?v=z6mVhcgywBY")</f>
        <v>https://www.youtube.com/watch?v=z6mVhcgywBY</v>
      </c>
      <c r="S476" s="113" t="str">
        <f ca="1">IFERROR(__xludf.DUMMYFUNCTION("""COMPUTED_VALUE"""),"https://gld.legislaturacba.gob.ar/Publics/Actas.aspx?id=WfSgx49K3is=")</f>
        <v>https://gld.legislaturacba.gob.ar/Publics/Actas.aspx?id=WfSgx49K3is=</v>
      </c>
      <c r="T476" s="99">
        <f t="shared" ca="1" si="0"/>
        <v>0</v>
      </c>
    </row>
    <row r="477" spans="1:20">
      <c r="A477" s="20">
        <f ca="1">IFERROR(__xludf.DUMMYFUNCTION("""COMPUTED_VALUE"""),239)</f>
        <v>239</v>
      </c>
      <c r="B477" s="20">
        <f ca="1">IFERROR(__xludf.DUMMYFUNCTION("""COMPUTED_VALUE"""),2021)</f>
        <v>2021</v>
      </c>
      <c r="C477" s="20" t="str">
        <f ca="1">IFERROR(__xludf.DUMMYFUNCTION("""COMPUTED_VALUE"""),"PRESENCIAL")</f>
        <v>PRESENCIAL</v>
      </c>
      <c r="D477" s="96">
        <f ca="1">IFERROR(__xludf.DUMMYFUNCTION("""COMPUTED_VALUE"""),44536)</f>
        <v>44536</v>
      </c>
      <c r="E477" s="20" t="str">
        <f ca="1">IFERROR(__xludf.DUMMYFUNCTION("""COMPUTED_VALUE"""),"SI")</f>
        <v>SI</v>
      </c>
      <c r="F477" s="20" t="str">
        <f ca="1">IFERROR(__xludf.DUMMYFUNCTION("""COMPUTED_VALUE"""),"PREVENCIÓN, TRATAMIENTO Y CONTROL DE LAS ADICCIONES;SALUD HUMANA")</f>
        <v>PREVENCIÓN, TRATAMIENTO Y CONTROL DE LAS ADICCIONES;SALUD HUMANA</v>
      </c>
      <c r="G477" s="20">
        <f ca="1">IFERROR(__xludf.DUMMYFUNCTION("""COMPUTED_VALUE"""),2)</f>
        <v>2</v>
      </c>
      <c r="H477" s="20">
        <f ca="1">IFERROR(__xludf.DUMMYFUNCTION("""COMPUTED_VALUE"""),1)</f>
        <v>1</v>
      </c>
      <c r="I477" s="20">
        <f ca="1">IFERROR(__xludf.DUMMYFUNCTION("""COMPUTED_VALUE"""),1)</f>
        <v>1</v>
      </c>
      <c r="J477" s="20" t="str">
        <f ca="1">IFERROR(__xludf.DUMMYFUNCTION("""COMPUTED_VALUE"""),"NA")</f>
        <v>NA</v>
      </c>
      <c r="K477" s="20" t="str">
        <f ca="1">IFERROR(__xludf.DUMMYFUNCTION("""COMPUTED_VALUE"""),"NA")</f>
        <v>NA</v>
      </c>
      <c r="L477" s="20" t="str">
        <f ca="1">IFERROR(__xludf.DUMMYFUNCTION("""COMPUTED_VALUE"""),"NA")</f>
        <v>NA</v>
      </c>
      <c r="M477" s="20" t="str">
        <f ca="1">IFERROR(__xludf.DUMMYFUNCTION("""COMPUTED_VALUE"""),"Visita a la Comunidad Terapeutica de Santa Maria de Punilla")</f>
        <v>Visita a la Comunidad Terapeutica de Santa Maria de Punilla</v>
      </c>
      <c r="N477" s="20" t="str">
        <f ca="1">IFERROR(__xludf.DUMMYFUNCTION("""COMPUTED_VALUE"""),"NA")</f>
        <v>NA</v>
      </c>
      <c r="O477" s="20" t="str">
        <f ca="1">IFERROR(__xludf.DUMMYFUNCTION("""COMPUTED_VALUE"""),"NO")</f>
        <v>NO</v>
      </c>
      <c r="P477" s="20">
        <f ca="1">IFERROR(__xludf.DUMMYFUNCTION("""COMPUTED_VALUE"""),0)</f>
        <v>0</v>
      </c>
      <c r="Q477" s="20" t="str">
        <f ca="1">IFERROR(__xludf.DUMMYFUNCTION("""COMPUTED_VALUE"""),"NA")</f>
        <v>NA</v>
      </c>
      <c r="R477" s="20" t="str">
        <f ca="1">IFERROR(__xludf.DUMMYFUNCTION("""COMPUTED_VALUE"""),"NA")</f>
        <v>NA</v>
      </c>
      <c r="S477" s="113" t="str">
        <f ca="1">IFERROR(__xludf.DUMMYFUNCTION("""COMPUTED_VALUE"""),"https://gld.legislaturacba.gob.ar/Publics/Actas.aspx?id=49pcfDqVOmg=;https://gld.legislaturacba.gob.ar/Publics/Actas.aspx?id=5HtyuZNeseU=")</f>
        <v>https://gld.legislaturacba.gob.ar/Publics/Actas.aspx?id=49pcfDqVOmg=;https://gld.legislaturacba.gob.ar/Publics/Actas.aspx?id=5HtyuZNeseU=</v>
      </c>
      <c r="T477" s="99">
        <f t="shared" ca="1" si="0"/>
        <v>0</v>
      </c>
    </row>
    <row r="478" spans="1:20">
      <c r="A478" s="20">
        <f ca="1">IFERROR(__xludf.DUMMYFUNCTION("""COMPUTED_VALUE"""),240)</f>
        <v>240</v>
      </c>
      <c r="B478" s="20">
        <f ca="1">IFERROR(__xludf.DUMMYFUNCTION("""COMPUTED_VALUE"""),2021)</f>
        <v>2021</v>
      </c>
      <c r="C478" s="20" t="str">
        <f ca="1">IFERROR(__xludf.DUMMYFUNCTION("""COMPUTED_VALUE"""),"SEMIPRESENCIAL")</f>
        <v>SEMIPRESENCIAL</v>
      </c>
      <c r="D478" s="96">
        <f ca="1">IFERROR(__xludf.DUMMYFUNCTION("""COMPUTED_VALUE"""),44537)</f>
        <v>44537</v>
      </c>
      <c r="E478" s="20" t="str">
        <f ca="1">IFERROR(__xludf.DUMMYFUNCTION("""COMPUTED_VALUE"""),"SI")</f>
        <v>SI</v>
      </c>
      <c r="F478"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78" s="20">
        <f ca="1">IFERROR(__xludf.DUMMYFUNCTION("""COMPUTED_VALUE"""),3)</f>
        <v>3</v>
      </c>
      <c r="H478" s="20">
        <f ca="1">IFERROR(__xludf.DUMMYFUNCTION("""COMPUTED_VALUE"""),3)</f>
        <v>3</v>
      </c>
      <c r="I478" s="20">
        <f ca="1">IFERROR(__xludf.DUMMYFUNCTION("""COMPUTED_VALUE"""),1)</f>
        <v>1</v>
      </c>
      <c r="J478" s="20" t="str">
        <f ca="1">IFERROR(__xludf.DUMMYFUNCTION("""COMPUTED_VALUE"""),"Ley")</f>
        <v>Ley</v>
      </c>
      <c r="K478" s="20">
        <f ca="1">IFERROR(__xludf.DUMMYFUNCTION("""COMPUTED_VALUE"""),34131)</f>
        <v>34131</v>
      </c>
      <c r="L478" s="20" t="str">
        <f ca="1">IFERROR(__xludf.DUMMYFUNCTION("""COMPUTED_VALUE"""),"Poder Ejecutivo Provincial")</f>
        <v>Poder Ejecutivo Provincial</v>
      </c>
      <c r="M478" s="20" t="str">
        <f ca="1">IFERROR(__xludf.DUMMYFUNCTION("""COMPUTED_VALUE"""),"Estableciendo el Presupuesto General de la Administración Pública Provincial para el año 2022")</f>
        <v>Estableciendo el Presupuesto General de la Administración Pública Provincial para el año 2022</v>
      </c>
      <c r="N478" s="20" t="str">
        <f ca="1">IFERROR(__xludf.DUMMYFUNCTION("""COMPUTED_VALUE"""),"NO")</f>
        <v>NO</v>
      </c>
      <c r="O478" s="20" t="str">
        <f ca="1">IFERROR(__xludf.DUMMYFUNCTION("""COMPUTED_VALUE"""),"SI")</f>
        <v>SI</v>
      </c>
      <c r="P478" s="20">
        <f ca="1">IFERROR(__xludf.DUMMYFUNCTION("""COMPUTED_VALUE"""),2)</f>
        <v>2</v>
      </c>
      <c r="Q478" s="113" t="str">
        <f ca="1">IFERROR(__xludf.DUMMYFUNCTION("""COMPUTED_VALUE"""),"https://gld.legislaturacba.gob.ar/_cdd/api/Documento/descargar?guid=31e75adf-e012-4213-822d-b7b3bb875c35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v>
      </c>
      <c r="R478" s="113" t="str">
        <f ca="1">IFERROR(__xludf.DUMMYFUNCTION("""COMPUTED_VALUE"""),"https://www.youtube.com/watch?v=dOKHcKXZ4lA")</f>
        <v>https://www.youtube.com/watch?v=dOKHcKXZ4lA</v>
      </c>
      <c r="S478" s="113" t="str">
        <f ca="1">IFERROR(__xludf.DUMMYFUNCTION("""COMPUTED_VALUE"""),"https://gld.legislaturacba.gob.ar/Publics/Actas.aspx?id=wgf_oPP6nfM=;https://gld.legislaturacba.gob.ar/Publics/Actas.aspx?id=ePV20AjbRBU=;https://gld.legislaturacba.gob.ar/Publics/Actas.aspx?id=tCflfyZD6yY=")</f>
        <v>https://gld.legislaturacba.gob.ar/Publics/Actas.aspx?id=wgf_oPP6nfM=;https://gld.legislaturacba.gob.ar/Publics/Actas.aspx?id=ePV20AjbRBU=;https://gld.legislaturacba.gob.ar/Publics/Actas.aspx?id=tCflfyZD6yY=</v>
      </c>
      <c r="T478" s="99">
        <f t="shared" ca="1" si="0"/>
        <v>0</v>
      </c>
    </row>
    <row r="479" spans="1:20">
      <c r="A479" s="20">
        <f ca="1">IFERROR(__xludf.DUMMYFUNCTION("""COMPUTED_VALUE"""),241)</f>
        <v>241</v>
      </c>
      <c r="B479" s="20">
        <f ca="1">IFERROR(__xludf.DUMMYFUNCTION("""COMPUTED_VALUE"""),2021)</f>
        <v>2021</v>
      </c>
      <c r="C479" s="20" t="str">
        <f ca="1">IFERROR(__xludf.DUMMYFUNCTION("""COMPUTED_VALUE"""),"VIRTUAL")</f>
        <v>VIRTUAL</v>
      </c>
      <c r="D479" s="96">
        <f ca="1">IFERROR(__xludf.DUMMYFUNCTION("""COMPUTED_VALUE"""),44537)</f>
        <v>44537</v>
      </c>
      <c r="E479" s="20" t="str">
        <f ca="1">IFERROR(__xludf.DUMMYFUNCTION("""COMPUTED_VALUE"""),"SI")</f>
        <v>SI</v>
      </c>
      <c r="F479"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79" s="20">
        <f ca="1">IFERROR(__xludf.DUMMYFUNCTION("""COMPUTED_VALUE"""),4)</f>
        <v>4</v>
      </c>
      <c r="H479" s="20">
        <f ca="1">IFERROR(__xludf.DUMMYFUNCTION("""COMPUTED_VALUE"""),1)</f>
        <v>1</v>
      </c>
      <c r="I479" s="20">
        <f ca="1">IFERROR(__xludf.DUMMYFUNCTION("""COMPUTED_VALUE"""),1)</f>
        <v>1</v>
      </c>
      <c r="J479" s="20" t="str">
        <f ca="1">IFERROR(__xludf.DUMMYFUNCTION("""COMPUTED_VALUE"""),"Ley")</f>
        <v>Ley</v>
      </c>
      <c r="K479" s="20">
        <f ca="1">IFERROR(__xludf.DUMMYFUNCTION("""COMPUTED_VALUE"""),34236)</f>
        <v>34236</v>
      </c>
      <c r="L479" s="20" t="str">
        <f ca="1">IFERROR(__xludf.DUMMYFUNCTION("""COMPUTED_VALUE"""),"Poder Ejecutivo Provincial")</f>
        <v>Poder Ejecutivo Provincial</v>
      </c>
      <c r="M479"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79" s="20" t="str">
        <f ca="1">IFERROR(__xludf.DUMMYFUNCTION("""COMPUTED_VALUE"""),"NO")</f>
        <v>NO</v>
      </c>
      <c r="O479" s="20" t="str">
        <f ca="1">IFERROR(__xludf.DUMMYFUNCTION("""COMPUTED_VALUE"""),"SI")</f>
        <v>SI</v>
      </c>
      <c r="P479" s="20">
        <f ca="1">IFERROR(__xludf.DUMMYFUNCTION("""COMPUTED_VALUE"""),7)</f>
        <v>7</v>
      </c>
      <c r="Q479" s="113" t="str">
        <f ca="1">IFERROR(__xludf.DUMMYFUNCTION("""COMPUTED_VALUE"""),"https://gld.legislaturacba.gob.ar/_cdd/api/Documento/descargar?guid=328d63b6-9448-4c67-a408-e7a56e3567f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v>
      </c>
      <c r="R479" s="113" t="str">
        <f ca="1">IFERROR(__xludf.DUMMYFUNCTION("""COMPUTED_VALUE"""),"https://www.youtube.com/watch?v=zZ8T21y6vOY")</f>
        <v>https://www.youtube.com/watch?v=zZ8T21y6vOY</v>
      </c>
      <c r="S479" s="113" t="str">
        <f ca="1">IFERROR(__xludf.DUMMYFUNCTION("""COMPUTED_VALUE"""),"https://gld.legislaturacba.gob.ar/Publics/Actas.aspx?id=BIBxLCUpBZc=;https://gld.legislaturacba.gob.ar/Publics/Actas.aspx?id=grKb3dmAvTc=;https://gld.legislaturacba.gob.ar/Publics/Actas.aspx?id=9B468fgT5rY=;https://gld.legislaturacba.gob.ar/Publics/Actas."&amp;"aspx?id=wpsGQhvxgBs=")</f>
        <v>https://gld.legislaturacba.gob.ar/Publics/Actas.aspx?id=BIBxLCUpBZc=;https://gld.legislaturacba.gob.ar/Publics/Actas.aspx?id=grKb3dmAvTc=;https://gld.legislaturacba.gob.ar/Publics/Actas.aspx?id=9B468fgT5rY=;https://gld.legislaturacba.gob.ar/Publics/Actas.aspx?id=wpsGQhvxgBs=</v>
      </c>
      <c r="T479" s="99">
        <f t="shared" ca="1" si="0"/>
        <v>0</v>
      </c>
    </row>
    <row r="480" spans="1:20">
      <c r="A480" s="20">
        <f ca="1">IFERROR(__xludf.DUMMYFUNCTION("""COMPUTED_VALUE"""),242)</f>
        <v>242</v>
      </c>
      <c r="B480" s="20">
        <f ca="1">IFERROR(__xludf.DUMMYFUNCTION("""COMPUTED_VALUE"""),2021)</f>
        <v>2021</v>
      </c>
      <c r="C480" s="20" t="str">
        <f ca="1">IFERROR(__xludf.DUMMYFUNCTION("""COMPUTED_VALUE"""),"VIRTUAL")</f>
        <v>VIRTUAL</v>
      </c>
      <c r="D480" s="96">
        <f ca="1">IFERROR(__xludf.DUMMYFUNCTION("""COMPUTED_VALUE"""),44539)</f>
        <v>44539</v>
      </c>
      <c r="E480" s="20" t="str">
        <f ca="1">IFERROR(__xludf.DUMMYFUNCTION("""COMPUTED_VALUE"""),"SI")</f>
        <v>SI</v>
      </c>
      <c r="F480"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80" s="20">
        <f ca="1">IFERROR(__xludf.DUMMYFUNCTION("""COMPUTED_VALUE"""),4)</f>
        <v>4</v>
      </c>
      <c r="H480" s="20">
        <f ca="1">IFERROR(__xludf.DUMMYFUNCTION("""COMPUTED_VALUE"""),1)</f>
        <v>1</v>
      </c>
      <c r="I480" s="20">
        <f ca="1">IFERROR(__xludf.DUMMYFUNCTION("""COMPUTED_VALUE"""),1)</f>
        <v>1</v>
      </c>
      <c r="J480" s="20" t="str">
        <f ca="1">IFERROR(__xludf.DUMMYFUNCTION("""COMPUTED_VALUE"""),"Ley")</f>
        <v>Ley</v>
      </c>
      <c r="K480" s="20">
        <f ca="1">IFERROR(__xludf.DUMMYFUNCTION("""COMPUTED_VALUE"""),34236)</f>
        <v>34236</v>
      </c>
      <c r="L480" s="20" t="str">
        <f ca="1">IFERROR(__xludf.DUMMYFUNCTION("""COMPUTED_VALUE"""),"Poder Ejecutivo Provincial")</f>
        <v>Poder Ejecutivo Provincial</v>
      </c>
      <c r="M480"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80" s="20" t="str">
        <f ca="1">IFERROR(__xludf.DUMMYFUNCTION("""COMPUTED_VALUE"""),"NO")</f>
        <v>NO</v>
      </c>
      <c r="O480" s="20" t="str">
        <f ca="1">IFERROR(__xludf.DUMMYFUNCTION("""COMPUTED_VALUE"""),"SI")</f>
        <v>SI</v>
      </c>
      <c r="P480" s="20">
        <f ca="1">IFERROR(__xludf.DUMMYFUNCTION("""COMPUTED_VALUE"""),7)</f>
        <v>7</v>
      </c>
      <c r="Q480" s="113" t="str">
        <f ca="1">IFERROR(__xludf.DUMMYFUNCTION("""COMPUTED_VALUE"""),"https://gld.legislaturacba.gob.ar/_cdd/api/Documento/descargar?guid=c33e57c0-c46c-4641-868b-faecbe2fedc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v>
      </c>
      <c r="R480" s="113" t="str">
        <f ca="1">IFERROR(__xludf.DUMMYFUNCTION("""COMPUTED_VALUE"""),"https://www.youtube.com/watch?v=NAwNXcusuVs")</f>
        <v>https://www.youtube.com/watch?v=NAwNXcusuVs</v>
      </c>
      <c r="S480" s="113" t="str">
        <f ca="1">IFERROR(__xludf.DUMMYFUNCTION("""COMPUTED_VALUE"""),"https://gld.legislaturacba.gob.ar/Publics/Actas.aspx?id=8yWCj-tylzM=;https://gld.legislaturacba.gob.ar/Publics/Actas.aspx?id=ciXLi16OkXY=;https://gld.legislaturacba.gob.ar/Publics/Actas.aspx?id=QW1BfD0z0xk=;https://gld.legislaturacba.gob.ar/Publics/Actas."&amp;"aspx?id=lmasfc0WSwk=")</f>
        <v>https://gld.legislaturacba.gob.ar/Publics/Actas.aspx?id=8yWCj-tylzM=;https://gld.legislaturacba.gob.ar/Publics/Actas.aspx?id=ciXLi16OkXY=;https://gld.legislaturacba.gob.ar/Publics/Actas.aspx?id=QW1BfD0z0xk=;https://gld.legislaturacba.gob.ar/Publics/Actas.aspx?id=lmasfc0WSwk=</v>
      </c>
      <c r="T480" s="99">
        <f t="shared" ca="1" si="0"/>
        <v>0</v>
      </c>
    </row>
    <row r="481" spans="1:20">
      <c r="A481" s="20">
        <f ca="1">IFERROR(__xludf.DUMMYFUNCTION("""COMPUTED_VALUE"""),243)</f>
        <v>243</v>
      </c>
      <c r="B481" s="20">
        <f ca="1">IFERROR(__xludf.DUMMYFUNCTION("""COMPUTED_VALUE"""),2021)</f>
        <v>2021</v>
      </c>
      <c r="C481" s="20" t="str">
        <f ca="1">IFERROR(__xludf.DUMMYFUNCTION("""COMPUTED_VALUE"""),"VIRTUAL")</f>
        <v>VIRTUAL</v>
      </c>
      <c r="D481" s="96">
        <f ca="1">IFERROR(__xludf.DUMMYFUNCTION("""COMPUTED_VALUE"""),44539)</f>
        <v>44539</v>
      </c>
      <c r="E481" s="20" t="str">
        <f ca="1">IFERROR(__xludf.DUMMYFUNCTION("""COMPUTED_VALUE"""),"NO")</f>
        <v>NO</v>
      </c>
      <c r="F481" s="20" t="str">
        <f ca="1">IFERROR(__xludf.DUMMYFUNCTION("""COMPUTED_VALUE"""),"ASUNTOS CONSTITUCIONALES, JUSTICIA Y ACUERDOS")</f>
        <v>ASUNTOS CONSTITUCIONALES, JUSTICIA Y ACUERDOS</v>
      </c>
      <c r="G481" s="20">
        <f ca="1">IFERROR(__xludf.DUMMYFUNCTION("""COMPUTED_VALUE"""),1)</f>
        <v>1</v>
      </c>
      <c r="H481" s="20">
        <f ca="1">IFERROR(__xludf.DUMMYFUNCTION("""COMPUTED_VALUE"""),6)</f>
        <v>6</v>
      </c>
      <c r="I481" s="20">
        <f ca="1">IFERROR(__xludf.DUMMYFUNCTION("""COMPUTED_VALUE"""),1)</f>
        <v>1</v>
      </c>
      <c r="J481" s="20" t="str">
        <f ca="1">IFERROR(__xludf.DUMMYFUNCTION("""COMPUTED_VALUE"""),"Pliego")</f>
        <v>Pliego</v>
      </c>
      <c r="K481" s="20">
        <f ca="1">IFERROR(__xludf.DUMMYFUNCTION("""COMPUTED_VALUE"""),33962)</f>
        <v>33962</v>
      </c>
      <c r="L481" s="20" t="str">
        <f ca="1">IFERROR(__xludf.DUMMYFUNCTION("""COMPUTED_VALUE"""),"Poder Ejecutivo Provincial")</f>
        <v>Poder Ejecutivo Provincial</v>
      </c>
      <c r="M481" s="20" t="str">
        <f ca="1">IFERROR(__xludf.DUMMYFUNCTION("""COMPUTED_VALUE"""),"Solicitando acuerdo para designar al abogado Franco Daniel de Jesús Pilnik Erramouspe como Fiscal de Instrucción en la Fiscalía de Instrucción especializada en Cibercrimen, perteneciente a la Primera Circunscripción Judicial con asiento en la ciudad de Có"&amp;"rdoba")</f>
        <v>Solicitando acuerdo para designar al abogado Franco Daniel de Jesús Pilnik Erramouspe como Fiscal de Instrucción en la Fiscalía de Instrucción especializada en Cibercrimen, perteneciente a la Primera Circunscripción Judicial con asiento en la ciudad de Córdoba</v>
      </c>
      <c r="N481" s="20" t="str">
        <f ca="1">IFERROR(__xludf.DUMMYFUNCTION("""COMPUTED_VALUE"""),"SI")</f>
        <v>SI</v>
      </c>
      <c r="O481" s="20" t="str">
        <f ca="1">IFERROR(__xludf.DUMMYFUNCTION("""COMPUTED_VALUE"""),"NO")</f>
        <v>NO</v>
      </c>
      <c r="P481" s="20">
        <f ca="1">IFERROR(__xludf.DUMMYFUNCTION("""COMPUTED_VALUE"""),0)</f>
        <v>0</v>
      </c>
      <c r="Q481" s="113" t="str">
        <f ca="1">IFERROR(__xludf.DUMMYFUNCTION("""COMPUTED_VALUE"""),"https://gld.legislaturacba.gob.ar/_cdd/api/Documento/descargar?guid=0973774b-d1b7-45ca-8daf-2969df2a42b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v>
      </c>
      <c r="R481" s="113" t="str">
        <f ca="1">IFERROR(__xludf.DUMMYFUNCTION("""COMPUTED_VALUE"""),"https://www.youtube.com/watch?v=yhQjW3QRn4w")</f>
        <v>https://www.youtube.com/watch?v=yhQjW3QRn4w</v>
      </c>
      <c r="S481" s="113" t="str">
        <f ca="1">IFERROR(__xludf.DUMMYFUNCTION("""COMPUTED_VALUE"""),"https://gld.legislaturacba.gob.ar/Publics/Actas.aspx?id=7pamQKt0-nw=")</f>
        <v>https://gld.legislaturacba.gob.ar/Publics/Actas.aspx?id=7pamQKt0-nw=</v>
      </c>
      <c r="T481" s="99">
        <f t="shared" ca="1" si="0"/>
        <v>0</v>
      </c>
    </row>
    <row r="482" spans="1:20">
      <c r="A482" s="20">
        <f ca="1">IFERROR(__xludf.DUMMYFUNCTION("""COMPUTED_VALUE"""),244)</f>
        <v>244</v>
      </c>
      <c r="B482" s="20">
        <f ca="1">IFERROR(__xludf.DUMMYFUNCTION("""COMPUTED_VALUE"""),2021)</f>
        <v>2021</v>
      </c>
      <c r="C482" s="20" t="str">
        <f ca="1">IFERROR(__xludf.DUMMYFUNCTION("""COMPUTED_VALUE"""),"VIRTUAL")</f>
        <v>VIRTUAL</v>
      </c>
      <c r="D482" s="96">
        <f ca="1">IFERROR(__xludf.DUMMYFUNCTION("""COMPUTED_VALUE"""),44544)</f>
        <v>44544</v>
      </c>
      <c r="E482" s="20" t="str">
        <f ca="1">IFERROR(__xludf.DUMMYFUNCTION("""COMPUTED_VALUE"""),"SI")</f>
        <v>SI</v>
      </c>
      <c r="F482" s="20" t="str">
        <f ca="1">IFERROR(__xludf.DUMMYFUNCTION("""COMPUTED_VALUE"""),"ASUNTOS CONSTITUCIONALES, JUSTICIA Y ACUERDOS;ECONOMÍA, PRESUPUESTO, GESTIÓN PÚBLICA E INNOVACIÓN;LEGISLACIÓN GENERAL")</f>
        <v>ASUNTOS CONSTITUCIONALES, JUSTICIA Y ACUERDOS;ECONOMÍA, PRESUPUESTO, GESTIÓN PÚBLICA E INNOVACIÓN;LEGISLACIÓN GENERAL</v>
      </c>
      <c r="G482" s="20">
        <f ca="1">IFERROR(__xludf.DUMMYFUNCTION("""COMPUTED_VALUE"""),3)</f>
        <v>3</v>
      </c>
      <c r="H482" s="20">
        <f ca="1">IFERROR(__xludf.DUMMYFUNCTION("""COMPUTED_VALUE"""),3)</f>
        <v>3</v>
      </c>
      <c r="I482" s="20">
        <f ca="1">IFERROR(__xludf.DUMMYFUNCTION("""COMPUTED_VALUE"""),1)</f>
        <v>1</v>
      </c>
      <c r="J482" s="20" t="str">
        <f ca="1">IFERROR(__xludf.DUMMYFUNCTION("""COMPUTED_VALUE"""),"Ley")</f>
        <v>Ley</v>
      </c>
      <c r="K482" s="20">
        <f ca="1">IFERROR(__xludf.DUMMYFUNCTION("""COMPUTED_VALUE"""),34131)</f>
        <v>34131</v>
      </c>
      <c r="L482" s="20" t="str">
        <f ca="1">IFERROR(__xludf.DUMMYFUNCTION("""COMPUTED_VALUE"""),"Poder Ejecutivo Provincial")</f>
        <v>Poder Ejecutivo Provincial</v>
      </c>
      <c r="M482" s="20" t="str">
        <f ca="1">IFERROR(__xludf.DUMMYFUNCTION("""COMPUTED_VALUE"""),"Estableciendo el Presupuesto General de la Administración Pública Provincial para el año 2022")</f>
        <v>Estableciendo el Presupuesto General de la Administración Pública Provincial para el año 2022</v>
      </c>
      <c r="N482" s="20" t="str">
        <f ca="1">IFERROR(__xludf.DUMMYFUNCTION("""COMPUTED_VALUE"""),"SI")</f>
        <v>SI</v>
      </c>
      <c r="O482" s="20" t="str">
        <f ca="1">IFERROR(__xludf.DUMMYFUNCTION("""COMPUTED_VALUE"""),"SI")</f>
        <v>SI</v>
      </c>
      <c r="P482" s="20">
        <f ca="1">IFERROR(__xludf.DUMMYFUNCTION("""COMPUTED_VALUE"""),2)</f>
        <v>2</v>
      </c>
      <c r="Q482" s="113" t="str">
        <f ca="1">IFERROR(__xludf.DUMMYFUNCTION("""COMPUTED_VALUE"""),"https://gld.legislaturacba.gob.ar/_cdd/api/Documento/descargar?guid=c218872d-70c3-4a80-8d51-02ba1c733d99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v>
      </c>
      <c r="R482" s="113" t="str">
        <f ca="1">IFERROR(__xludf.DUMMYFUNCTION("""COMPUTED_VALUE"""),"https://www.youtube.com/watch?v=LeYEeg9oMmE")</f>
        <v>https://www.youtube.com/watch?v=LeYEeg9oMmE</v>
      </c>
      <c r="S482" s="113" t="str">
        <f ca="1">IFERROR(__xludf.DUMMYFUNCTION("""COMPUTED_VALUE"""),"https://gld.legislaturacba.gob.ar/Publics/Actas.aspx?id=2xB9mmGYACQ=;https://gld.legislaturacba.gob.ar/Publics/Actas.aspx?id=3sSZVdjyzWc=;https://gld.legislaturacba.gob.ar/Publics/Actas.aspx?id=mJikP0nd_cs=")</f>
        <v>https://gld.legislaturacba.gob.ar/Publics/Actas.aspx?id=2xB9mmGYACQ=;https://gld.legislaturacba.gob.ar/Publics/Actas.aspx?id=3sSZVdjyzWc=;https://gld.legislaturacba.gob.ar/Publics/Actas.aspx?id=mJikP0nd_cs=</v>
      </c>
      <c r="T482" s="99">
        <f t="shared" ca="1" si="0"/>
        <v>0</v>
      </c>
    </row>
    <row r="483" spans="1:20">
      <c r="A483" s="20">
        <f ca="1">IFERROR(__xludf.DUMMYFUNCTION("""COMPUTED_VALUE"""),245)</f>
        <v>245</v>
      </c>
      <c r="B483" s="20">
        <f ca="1">IFERROR(__xludf.DUMMYFUNCTION("""COMPUTED_VALUE"""),2021)</f>
        <v>2021</v>
      </c>
      <c r="C483" s="20" t="str">
        <f ca="1">IFERROR(__xludf.DUMMYFUNCTION("""COMPUTED_VALUE"""),"VIRTUAL")</f>
        <v>VIRTUAL</v>
      </c>
      <c r="D483" s="96">
        <f ca="1">IFERROR(__xludf.DUMMYFUNCTION("""COMPUTED_VALUE"""),44544)</f>
        <v>44544</v>
      </c>
      <c r="E483" s="20" t="str">
        <f ca="1">IFERROR(__xludf.DUMMYFUNCTION("""COMPUTED_VALUE"""),"NO")</f>
        <v>NO</v>
      </c>
      <c r="F483" s="20" t="str">
        <f ca="1">IFERROR(__xludf.DUMMYFUNCTION("""COMPUTED_VALUE"""),"EQUIDAD Y LUCHA CONTRA LA VIOLENCIA DE GÉNERO")</f>
        <v>EQUIDAD Y LUCHA CONTRA LA VIOLENCIA DE GÉNERO</v>
      </c>
      <c r="G483" s="20">
        <f ca="1">IFERROR(__xludf.DUMMYFUNCTION("""COMPUTED_VALUE"""),1)</f>
        <v>1</v>
      </c>
      <c r="H483" s="20">
        <f ca="1">IFERROR(__xludf.DUMMYFUNCTION("""COMPUTED_VALUE"""),1)</f>
        <v>1</v>
      </c>
      <c r="I483" s="20">
        <f ca="1">IFERROR(__xludf.DUMMYFUNCTION("""COMPUTED_VALUE"""),1)</f>
        <v>1</v>
      </c>
      <c r="J483" s="20" t="str">
        <f ca="1">IFERROR(__xludf.DUMMYFUNCTION("""COMPUTED_VALUE"""),"NA")</f>
        <v>NA</v>
      </c>
      <c r="K483" s="20" t="str">
        <f ca="1">IFERROR(__xludf.DUMMYFUNCTION("""COMPUTED_VALUE"""),"NA")</f>
        <v>NA</v>
      </c>
      <c r="L483" s="20" t="str">
        <f ca="1">IFERROR(__xludf.DUMMYFUNCTION("""COMPUTED_VALUE"""),"NA")</f>
        <v>NA</v>
      </c>
      <c r="M483" s="20" t="str">
        <f ca="1">IFERROR(__xludf.DUMMYFUNCTION("""COMPUTED_VALUE"""),"Violencia de género en entornos digitales")</f>
        <v>Violencia de género en entornos digitales</v>
      </c>
      <c r="N483" s="20" t="str">
        <f ca="1">IFERROR(__xludf.DUMMYFUNCTION("""COMPUTED_VALUE"""),"NA")</f>
        <v>NA</v>
      </c>
      <c r="O483" s="20" t="str">
        <f ca="1">IFERROR(__xludf.DUMMYFUNCTION("""COMPUTED_VALUE"""),"SI")</f>
        <v>SI</v>
      </c>
      <c r="P483" s="20">
        <f ca="1">IFERROR(__xludf.DUMMYFUNCTION("""COMPUTED_VALUE"""),3)</f>
        <v>3</v>
      </c>
      <c r="Q483" s="113" t="str">
        <f ca="1">IFERROR(__xludf.DUMMYFUNCTION("""COMPUTED_VALUE"""),"https://gld.legislaturacba.gob.ar/_cdd/api/Documento/descargar?guid=1ec3c01b-6b79-4f57-85ed-816c75ce2ca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v>
      </c>
      <c r="R483" s="113" t="str">
        <f ca="1">IFERROR(__xludf.DUMMYFUNCTION("""COMPUTED_VALUE"""),"https://www.youtube.com/watch?v=gFv7xWp2ZZA")</f>
        <v>https://www.youtube.com/watch?v=gFv7xWp2ZZA</v>
      </c>
      <c r="S483" s="113" t="str">
        <f ca="1">IFERROR(__xludf.DUMMYFUNCTION("""COMPUTED_VALUE"""),"https://gld.legislaturacba.gob.ar/Publics/Actas.aspx?id=p0IR4fOJjfo=")</f>
        <v>https://gld.legislaturacba.gob.ar/Publics/Actas.aspx?id=p0IR4fOJjfo=</v>
      </c>
      <c r="T483" s="99">
        <f t="shared" ca="1" si="0"/>
        <v>0</v>
      </c>
    </row>
    <row r="484" spans="1:20">
      <c r="A484" s="20">
        <f ca="1">IFERROR(__xludf.DUMMYFUNCTION("""COMPUTED_VALUE"""),246)</f>
        <v>246</v>
      </c>
      <c r="B484" s="20">
        <f ca="1">IFERROR(__xludf.DUMMYFUNCTION("""COMPUTED_VALUE"""),2021)</f>
        <v>2021</v>
      </c>
      <c r="C484" s="20" t="str">
        <f ca="1">IFERROR(__xludf.DUMMYFUNCTION("""COMPUTED_VALUE"""),"VIRTUAL")</f>
        <v>VIRTUAL</v>
      </c>
      <c r="D484" s="96">
        <f ca="1">IFERROR(__xludf.DUMMYFUNCTION("""COMPUTED_VALUE"""),44546)</f>
        <v>44546</v>
      </c>
      <c r="E484" s="20" t="str">
        <f ca="1">IFERROR(__xludf.DUMMYFUNCTION("""COMPUTED_VALUE"""),"SI")</f>
        <v>SI</v>
      </c>
      <c r="F484" s="20" t="str">
        <f ca="1">IFERROR(__xludf.DUMMYFUNCTION("""COMPUTED_VALUE"""),"EDUCACIÓN, CULTURA, CIENCIA, TECNOLOGÍA E INFORMÁTICA;LEGISLACIÓN DEL TRABAJO, PREVISIÓN Y SEGURIDAD SOCIAL")</f>
        <v>EDUCACIÓN, CULTURA, CIENCIA, TECNOLOGÍA E INFORMÁTICA;LEGISLACIÓN DEL TRABAJO, PREVISIÓN Y SEGURIDAD SOCIAL</v>
      </c>
      <c r="G484" s="20">
        <f ca="1">IFERROR(__xludf.DUMMYFUNCTION("""COMPUTED_VALUE"""),2)</f>
        <v>2</v>
      </c>
      <c r="H484" s="20">
        <f ca="1">IFERROR(__xludf.DUMMYFUNCTION("""COMPUTED_VALUE"""),1)</f>
        <v>1</v>
      </c>
      <c r="I484" s="20">
        <f ca="1">IFERROR(__xludf.DUMMYFUNCTION("""COMPUTED_VALUE"""),1)</f>
        <v>1</v>
      </c>
      <c r="J484" s="20" t="str">
        <f ca="1">IFERROR(__xludf.DUMMYFUNCTION("""COMPUTED_VALUE"""),"Ley")</f>
        <v>Ley</v>
      </c>
      <c r="K484" s="20">
        <f ca="1">IFERROR(__xludf.DUMMYFUNCTION("""COMPUTED_VALUE"""),34072)</f>
        <v>34072</v>
      </c>
      <c r="L484" s="20" t="str">
        <f ca="1">IFERROR(__xludf.DUMMYFUNCTION("""COMPUTED_VALUE"""),"Poder Ejecutivo Provincial")</f>
        <v>Poder Ejecutivo Provincial</v>
      </c>
      <c r="M484" s="20" t="str">
        <f ca="1">IFERROR(__xludf.DUMMYFUNCTION("""COMPUTED_VALUE"""),"Sustituyendo el apartado ""C"" del artículo 27 del Decreto-Ley N° 1910/E/1957, referido a excepciones en cesantías automáticas de suplencias en cargos docentes")</f>
        <v>Sustituyendo el apartado "C" del artículo 27 del Decreto-Ley N° 1910/E/1957, referido a excepciones en cesantías automáticas de suplencias en cargos docentes</v>
      </c>
      <c r="N484" s="20" t="str">
        <f ca="1">IFERROR(__xludf.DUMMYFUNCTION("""COMPUTED_VALUE"""),"NO")</f>
        <v>NO</v>
      </c>
      <c r="O484" s="20" t="str">
        <f ca="1">IFERROR(__xludf.DUMMYFUNCTION("""COMPUTED_VALUE"""),"SI")</f>
        <v>SI</v>
      </c>
      <c r="P484" s="20">
        <f ca="1">IFERROR(__xludf.DUMMYFUNCTION("""COMPUTED_VALUE"""),1)</f>
        <v>1</v>
      </c>
      <c r="Q484" s="113" t="str">
        <f ca="1">IFERROR(__xludf.DUMMYFUNCTION("""COMPUTED_VALUE"""),"https://gld.legislaturacba.gob.ar/_cdd/api/Documento/descargar?guid=faa661ab-6d26-42da-a4b1-48fad79c038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v>
      </c>
      <c r="R484" s="113" t="str">
        <f ca="1">IFERROR(__xludf.DUMMYFUNCTION("""COMPUTED_VALUE"""),"https://www.youtube.com/watch?v=ECY4CsWMPsg")</f>
        <v>https://www.youtube.com/watch?v=ECY4CsWMPsg</v>
      </c>
      <c r="S484" s="113" t="str">
        <f ca="1">IFERROR(__xludf.DUMMYFUNCTION("""COMPUTED_VALUE"""),"https://gld.legislaturacba.gob.ar/Publics/Actas.aspx?id=TdSGCPqaXWc=;https://gld.legislaturacba.gob.ar/Publics/Actas.aspx?id=mFPpfsbTBhI=")</f>
        <v>https://gld.legislaturacba.gob.ar/Publics/Actas.aspx?id=TdSGCPqaXWc=;https://gld.legislaturacba.gob.ar/Publics/Actas.aspx?id=mFPpfsbTBhI=</v>
      </c>
      <c r="T484" s="99">
        <f t="shared" ca="1" si="0"/>
        <v>0</v>
      </c>
    </row>
    <row r="485" spans="1:20">
      <c r="A485" s="20">
        <f ca="1">IFERROR(__xludf.DUMMYFUNCTION("""COMPUTED_VALUE"""),247)</f>
        <v>247</v>
      </c>
      <c r="B485" s="20">
        <f ca="1">IFERROR(__xludf.DUMMYFUNCTION("""COMPUTED_VALUE"""),2021)</f>
        <v>2021</v>
      </c>
      <c r="C485" s="20" t="str">
        <f ca="1">IFERROR(__xludf.DUMMYFUNCTION("""COMPUTED_VALUE"""),"VIRTUAL")</f>
        <v>VIRTUAL</v>
      </c>
      <c r="D485" s="96">
        <f ca="1">IFERROR(__xludf.DUMMYFUNCTION("""COMPUTED_VALUE"""),44546)</f>
        <v>44546</v>
      </c>
      <c r="E485" s="20" t="str">
        <f ca="1">IFERROR(__xludf.DUMMYFUNCTION("""COMPUTED_VALUE"""),"SI")</f>
        <v>SI</v>
      </c>
      <c r="F485"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85" s="20">
        <f ca="1">IFERROR(__xludf.DUMMYFUNCTION("""COMPUTED_VALUE"""),4)</f>
        <v>4</v>
      </c>
      <c r="H485" s="20">
        <f ca="1">IFERROR(__xludf.DUMMYFUNCTION("""COMPUTED_VALUE"""),1)</f>
        <v>1</v>
      </c>
      <c r="I485" s="20">
        <f ca="1">IFERROR(__xludf.DUMMYFUNCTION("""COMPUTED_VALUE"""),1)</f>
        <v>1</v>
      </c>
      <c r="J485" s="20" t="str">
        <f ca="1">IFERROR(__xludf.DUMMYFUNCTION("""COMPUTED_VALUE"""),"Ley")</f>
        <v>Ley</v>
      </c>
      <c r="K485" s="20">
        <f ca="1">IFERROR(__xludf.DUMMYFUNCTION("""COMPUTED_VALUE"""),34236)</f>
        <v>34236</v>
      </c>
      <c r="L485" s="20" t="str">
        <f ca="1">IFERROR(__xludf.DUMMYFUNCTION("""COMPUTED_VALUE"""),"Poder Ejecutivo Provincial")</f>
        <v>Poder Ejecutivo Provincial</v>
      </c>
      <c r="M485"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85" s="20" t="str">
        <f ca="1">IFERROR(__xludf.DUMMYFUNCTION("""COMPUTED_VALUE"""),"NO")</f>
        <v>NO</v>
      </c>
      <c r="O485" s="20" t="str">
        <f ca="1">IFERROR(__xludf.DUMMYFUNCTION("""COMPUTED_VALUE"""),"NO")</f>
        <v>NO</v>
      </c>
      <c r="P485" s="20">
        <f ca="1">IFERROR(__xludf.DUMMYFUNCTION("""COMPUTED_VALUE"""),0)</f>
        <v>0</v>
      </c>
      <c r="Q485" s="113" t="str">
        <f ca="1">IFERROR(__xludf.DUMMYFUNCTION("""COMPUTED_VALUE"""),"https://gld.legislaturacba.gob.ar/_cdd/api/Documento/descargar?guid=a44a32c9-2dce-4f02-ada0-d7c40ba7bab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v>
      </c>
      <c r="R485" s="113" t="str">
        <f ca="1">IFERROR(__xludf.DUMMYFUNCTION("""COMPUTED_VALUE"""),"https://www.youtube.com/watch?v=Ic2x24zNtKY")</f>
        <v>https://www.youtube.com/watch?v=Ic2x24zNtKY</v>
      </c>
      <c r="S485" s="113" t="str">
        <f ca="1">IFERROR(__xludf.DUMMYFUNCTION("""COMPUTED_VALUE"""),"https://gld.legislaturacba.gob.ar/Publics/Actas.aspx?id=4faQmedo_qM=;https://gld.legislaturacba.gob.ar/Publics/Actas.aspx?id=LSS08cIqf3Q=;https://gld.legislaturacba.gob.ar/Publics/Actas.aspx?id=zogP2NPMbs0=;https://gld.legislaturacba.gob.ar/Publics/Actas."&amp;"aspx?id=qmw-ZpsrreU=")</f>
        <v>https://gld.legislaturacba.gob.ar/Publics/Actas.aspx?id=4faQmedo_qM=;https://gld.legislaturacba.gob.ar/Publics/Actas.aspx?id=LSS08cIqf3Q=;https://gld.legislaturacba.gob.ar/Publics/Actas.aspx?id=zogP2NPMbs0=;https://gld.legislaturacba.gob.ar/Publics/Actas.aspx?id=qmw-ZpsrreU=</v>
      </c>
      <c r="T485" s="99">
        <f t="shared" ca="1" si="0"/>
        <v>0</v>
      </c>
    </row>
    <row r="486" spans="1:20">
      <c r="A486" s="20">
        <f ca="1">IFERROR(__xludf.DUMMYFUNCTION("""COMPUTED_VALUE"""),248)</f>
        <v>248</v>
      </c>
      <c r="B486" s="20">
        <f ca="1">IFERROR(__xludf.DUMMYFUNCTION("""COMPUTED_VALUE"""),2021)</f>
        <v>2021</v>
      </c>
      <c r="C486" s="20" t="str">
        <f ca="1">IFERROR(__xludf.DUMMYFUNCTION("""COMPUTED_VALUE"""),"VIRTUAL")</f>
        <v>VIRTUAL</v>
      </c>
      <c r="D486" s="96">
        <f ca="1">IFERROR(__xludf.DUMMYFUNCTION("""COMPUTED_VALUE"""),44546)</f>
        <v>44546</v>
      </c>
      <c r="E486" s="20" t="str">
        <f ca="1">IFERROR(__xludf.DUMMYFUNCTION("""COMPUTED_VALUE"""),"NO")</f>
        <v>NO</v>
      </c>
      <c r="F486" s="20" t="str">
        <f ca="1">IFERROR(__xludf.DUMMYFUNCTION("""COMPUTED_VALUE"""),"ASUNTOS CONSTITUCIONALES, JUSTICIA Y ACUERDOS")</f>
        <v>ASUNTOS CONSTITUCIONALES, JUSTICIA Y ACUERDOS</v>
      </c>
      <c r="G486" s="20">
        <f ca="1">IFERROR(__xludf.DUMMYFUNCTION("""COMPUTED_VALUE"""),1)</f>
        <v>1</v>
      </c>
      <c r="H486" s="20">
        <f ca="1">IFERROR(__xludf.DUMMYFUNCTION("""COMPUTED_VALUE"""),7)</f>
        <v>7</v>
      </c>
      <c r="I486" s="20">
        <f ca="1">IFERROR(__xludf.DUMMYFUNCTION("""COMPUTED_VALUE"""),1)</f>
        <v>1</v>
      </c>
      <c r="J486" s="20" t="str">
        <f ca="1">IFERROR(__xludf.DUMMYFUNCTION("""COMPUTED_VALUE"""),"Pliego")</f>
        <v>Pliego</v>
      </c>
      <c r="K486" s="20">
        <f ca="1">IFERROR(__xludf.DUMMYFUNCTION("""COMPUTED_VALUE"""),34052)</f>
        <v>34052</v>
      </c>
      <c r="L486" s="20" t="str">
        <f ca="1">IFERROR(__xludf.DUMMYFUNCTION("""COMPUTED_VALUE"""),"Poder Ejecutivo Provincial")</f>
        <v>Poder Ejecutivo Provincial</v>
      </c>
      <c r="M486" s="20" t="str">
        <f ca="1">IFERROR(__xludf.DUMMYFUNCTION("""COMPUTED_VALUE"""),"Solicitando acuerdo para designar al abogado Sergio Ariel Ponce, como Juez de Control en el Juzgado de Control, perteneciente a la Sexta Circunscripción Judicial con asiento en la ciudad de Villa Dolores")</f>
        <v>Solicitando acuerdo para designar al abogado Sergio Ariel Ponce, como Juez de Control en el Juzgado de Control, perteneciente a la Sexta Circunscripción Judicial con asiento en la ciudad de Villa Dolores</v>
      </c>
      <c r="N486" s="20" t="str">
        <f ca="1">IFERROR(__xludf.DUMMYFUNCTION("""COMPUTED_VALUE"""),"SI")</f>
        <v>SI</v>
      </c>
      <c r="O486" s="20" t="str">
        <f ca="1">IFERROR(__xludf.DUMMYFUNCTION("""COMPUTED_VALUE"""),"NO")</f>
        <v>NO</v>
      </c>
      <c r="P486" s="20">
        <f ca="1">IFERROR(__xludf.DUMMYFUNCTION("""COMPUTED_VALUE"""),0)</f>
        <v>0</v>
      </c>
      <c r="Q486" s="113" t="str">
        <f ca="1">IFERROR(__xludf.DUMMYFUNCTION("""COMPUTED_VALUE"""),"https://gld.legislaturacba.gob.ar/_cdd/api/Documento/descargar?guid=fbc29e93-c0e7-428e-80bf-f9dea4cf5af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v>
      </c>
      <c r="R486" s="113" t="str">
        <f ca="1">IFERROR(__xludf.DUMMYFUNCTION("""COMPUTED_VALUE"""),"https://www.youtube.com/watch?v=ohIgBDHbLIY")</f>
        <v>https://www.youtube.com/watch?v=ohIgBDHbLIY</v>
      </c>
      <c r="S486" s="113" t="str">
        <f ca="1">IFERROR(__xludf.DUMMYFUNCTION("""COMPUTED_VALUE"""),"https://gld.legislaturacba.gob.ar/Publics/Actas.aspx?id=NCEWmsec9Js=")</f>
        <v>https://gld.legislaturacba.gob.ar/Publics/Actas.aspx?id=NCEWmsec9Js=</v>
      </c>
      <c r="T486" s="99">
        <f t="shared" ca="1" si="0"/>
        <v>0</v>
      </c>
    </row>
    <row r="487" spans="1:20">
      <c r="A487" s="20">
        <f ca="1">IFERROR(__xludf.DUMMYFUNCTION("""COMPUTED_VALUE"""),249)</f>
        <v>249</v>
      </c>
      <c r="B487" s="20">
        <f ca="1">IFERROR(__xludf.DUMMYFUNCTION("""COMPUTED_VALUE"""),2021)</f>
        <v>2021</v>
      </c>
      <c r="C487" s="20" t="str">
        <f ca="1">IFERROR(__xludf.DUMMYFUNCTION("""COMPUTED_VALUE"""),"VIRTUAL")</f>
        <v>VIRTUAL</v>
      </c>
      <c r="D487" s="96">
        <f ca="1">IFERROR(__xludf.DUMMYFUNCTION("""COMPUTED_VALUE"""),44551)</f>
        <v>44551</v>
      </c>
      <c r="E487" s="20" t="str">
        <f ca="1">IFERROR(__xludf.DUMMYFUNCTION("""COMPUTED_VALUE"""),"SI")</f>
        <v>SI</v>
      </c>
      <c r="F487" s="20" t="str">
        <f ca="1">IFERROR(__xludf.DUMMYFUNCTION("""COMPUTED_VALUE"""),"AMBIENTE;ECONOMÍA, PRESUPUESTO, GESTIÓN PÚBLICA E INNOVACIÓN;INDUSTRIA Y MINERÍA;PROMOCIÓN Y DESARROLLO DE ECONOMÍAS REGIONALES Y PYMES")</f>
        <v>AMBIENTE;ECONOMÍA, PRESUPUESTO, GESTIÓN PÚBLICA E INNOVACIÓN;INDUSTRIA Y MINERÍA;PROMOCIÓN Y DESARROLLO DE ECONOMÍAS REGIONALES Y PYMES</v>
      </c>
      <c r="G487" s="20">
        <f ca="1">IFERROR(__xludf.DUMMYFUNCTION("""COMPUTED_VALUE"""),4)</f>
        <v>4</v>
      </c>
      <c r="H487" s="20">
        <f ca="1">IFERROR(__xludf.DUMMYFUNCTION("""COMPUTED_VALUE"""),1)</f>
        <v>1</v>
      </c>
      <c r="I487" s="20">
        <f ca="1">IFERROR(__xludf.DUMMYFUNCTION("""COMPUTED_VALUE"""),1)</f>
        <v>1</v>
      </c>
      <c r="J487" s="20" t="str">
        <f ca="1">IFERROR(__xludf.DUMMYFUNCTION("""COMPUTED_VALUE"""),"Ley")</f>
        <v>Ley</v>
      </c>
      <c r="K487" s="20">
        <f ca="1">IFERROR(__xludf.DUMMYFUNCTION("""COMPUTED_VALUE"""),34236)</f>
        <v>34236</v>
      </c>
      <c r="L487" s="20" t="str">
        <f ca="1">IFERROR(__xludf.DUMMYFUNCTION("""COMPUTED_VALUE"""),"Poder Ejecutivo Provincial")</f>
        <v>Poder Ejecutivo Provincial</v>
      </c>
      <c r="M487" s="20" t="str">
        <f ca="1">IFERROR(__xludf.DUMMYFUNCTION("""COMPUTED_VALUE"""),"Creando el Programa de Promoción Industrial y Desarrollo de Clústeres Productivos de la Provincia de Córdoba")</f>
        <v>Creando el Programa de Promoción Industrial y Desarrollo de Clústeres Productivos de la Provincia de Córdoba</v>
      </c>
      <c r="N487" s="20" t="str">
        <f ca="1">IFERROR(__xludf.DUMMYFUNCTION("""COMPUTED_VALUE"""),"SI")</f>
        <v>SI</v>
      </c>
      <c r="O487" s="20" t="str">
        <f ca="1">IFERROR(__xludf.DUMMYFUNCTION("""COMPUTED_VALUE"""),"NO")</f>
        <v>NO</v>
      </c>
      <c r="P487" s="20">
        <f ca="1">IFERROR(__xludf.DUMMYFUNCTION("""COMPUTED_VALUE"""),0)</f>
        <v>0</v>
      </c>
      <c r="Q487" s="113" t="str">
        <f ca="1">IFERROR(__xludf.DUMMYFUNCTION("""COMPUTED_VALUE"""),"https://gld.legislaturacba.gob.ar/_cdd/api/Documento/descargar?guid=95a49b51-1410-44fb-a67c-4757ae4b06c2&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v>
      </c>
      <c r="R487" s="20" t="str">
        <f ca="1">IFERROR(__xludf.DUMMYFUNCTION("""COMPUTED_VALUE"""),"NA")</f>
        <v>NA</v>
      </c>
      <c r="S487" s="113" t="str">
        <f ca="1">IFERROR(__xludf.DUMMYFUNCTION("""COMPUTED_VALUE"""),"https://gld.legislaturacba.gob.ar/Publics/Actas.aspx?id=StyzO2rRUsM=;https://gld.legislaturacba.gob.ar/Publics/Actas.aspx?id=FiStZm2gvOQ=;https://gld.legislaturacba.gob.ar/Publics/Actas.aspx?id=Us2-IWQLlUU=;https://gld.legislaturacba.gob.ar/Publics/Actas."&amp;"aspx?id=EJVuPrAjXik=")</f>
        <v>https://gld.legislaturacba.gob.ar/Publics/Actas.aspx?id=StyzO2rRUsM=;https://gld.legislaturacba.gob.ar/Publics/Actas.aspx?id=FiStZm2gvOQ=;https://gld.legislaturacba.gob.ar/Publics/Actas.aspx?id=Us2-IWQLlUU=;https://gld.legislaturacba.gob.ar/Publics/Actas.aspx?id=EJVuPrAjXik=</v>
      </c>
      <c r="T487" s="99">
        <f t="shared" ca="1" si="0"/>
        <v>0</v>
      </c>
    </row>
    <row r="488" spans="1:20">
      <c r="A488" s="20">
        <f ca="1">IFERROR(__xludf.DUMMYFUNCTION("""COMPUTED_VALUE"""),250)</f>
        <v>250</v>
      </c>
      <c r="B488" s="20">
        <f ca="1">IFERROR(__xludf.DUMMYFUNCTION("""COMPUTED_VALUE"""),2021)</f>
        <v>2021</v>
      </c>
      <c r="C488" s="20" t="str">
        <f ca="1">IFERROR(__xludf.DUMMYFUNCTION("""COMPUTED_VALUE"""),"VIRTUAL")</f>
        <v>VIRTUAL</v>
      </c>
      <c r="D488" s="96">
        <f ca="1">IFERROR(__xludf.DUMMYFUNCTION("""COMPUTED_VALUE"""),44551)</f>
        <v>44551</v>
      </c>
      <c r="E488" s="20" t="str">
        <f ca="1">IFERROR(__xludf.DUMMYFUNCTION("""COMPUTED_VALUE"""),"SI")</f>
        <v>SI</v>
      </c>
      <c r="F488" s="20" t="str">
        <f ca="1">IFERROR(__xludf.DUMMYFUNCTION("""COMPUTED_VALUE"""),"EDUCACIÓN, CULTURA, CIENCIA, TECNOLOGÍA E INFORMÁTICA;LEGISLACIÓN DEL TRABAJO, PREVISIÓN Y SEGURIDAD SOCIAL")</f>
        <v>EDUCACIÓN, CULTURA, CIENCIA, TECNOLOGÍA E INFORMÁTICA;LEGISLACIÓN DEL TRABAJO, PREVISIÓN Y SEGURIDAD SOCIAL</v>
      </c>
      <c r="G488" s="20">
        <f ca="1">IFERROR(__xludf.DUMMYFUNCTION("""COMPUTED_VALUE"""),2)</f>
        <v>2</v>
      </c>
      <c r="H488" s="20">
        <f ca="1">IFERROR(__xludf.DUMMYFUNCTION("""COMPUTED_VALUE"""),1)</f>
        <v>1</v>
      </c>
      <c r="I488" s="20">
        <f ca="1">IFERROR(__xludf.DUMMYFUNCTION("""COMPUTED_VALUE"""),1)</f>
        <v>1</v>
      </c>
      <c r="J488" s="20" t="str">
        <f ca="1">IFERROR(__xludf.DUMMYFUNCTION("""COMPUTED_VALUE"""),"Ley")</f>
        <v>Ley</v>
      </c>
      <c r="K488" s="20">
        <f ca="1">IFERROR(__xludf.DUMMYFUNCTION("""COMPUTED_VALUE"""),34072)</f>
        <v>34072</v>
      </c>
      <c r="L488" s="20" t="str">
        <f ca="1">IFERROR(__xludf.DUMMYFUNCTION("""COMPUTED_VALUE"""),"Poder Ejecutivo Provincial")</f>
        <v>Poder Ejecutivo Provincial</v>
      </c>
      <c r="M488" s="20" t="str">
        <f ca="1">IFERROR(__xludf.DUMMYFUNCTION("""COMPUTED_VALUE"""),"Sustituyendo el apartado ""C"" del artículo 27 del Decreto-Ley N° 1910/E/1957, referido a excepciones en cesantías automáticas de suplencias en cargos docentes")</f>
        <v>Sustituyendo el apartado "C" del artículo 27 del Decreto-Ley N° 1910/E/1957, referido a excepciones en cesantías automáticas de suplencias en cargos docentes</v>
      </c>
      <c r="N488" s="20" t="str">
        <f ca="1">IFERROR(__xludf.DUMMYFUNCTION("""COMPUTED_VALUE"""),"SI")</f>
        <v>SI</v>
      </c>
      <c r="O488" s="20" t="str">
        <f ca="1">IFERROR(__xludf.DUMMYFUNCTION("""COMPUTED_VALUE"""),"NO")</f>
        <v>NO</v>
      </c>
      <c r="P488" s="20">
        <f ca="1">IFERROR(__xludf.DUMMYFUNCTION("""COMPUTED_VALUE"""),0)</f>
        <v>0</v>
      </c>
      <c r="Q488" s="113" t="str">
        <f ca="1">IFERROR(__xludf.DUMMYFUNCTION("""COMPUTED_VALUE"""),"https://gld.legislaturacba.gob.ar/_cdd/api/Documento/descargar?guid=656e674e-2a1a-41c3-90cf-20ff89fd8551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v>
      </c>
      <c r="R488" s="20" t="str">
        <f ca="1">IFERROR(__xludf.DUMMYFUNCTION("""COMPUTED_VALUE"""),"NA")</f>
        <v>NA</v>
      </c>
      <c r="S488" s="113" t="str">
        <f ca="1">IFERROR(__xludf.DUMMYFUNCTION("""COMPUTED_VALUE"""),"https://gld.legislaturacba.gob.ar/Publics/Actas.aspx?id=un_TMZZNvmM=;https://gld.legislaturacba.gob.ar/Publics/Actas.aspx?id=jxyySxdN7RA=")</f>
        <v>https://gld.legislaturacba.gob.ar/Publics/Actas.aspx?id=un_TMZZNvmM=;https://gld.legislaturacba.gob.ar/Publics/Actas.aspx?id=jxyySxdN7RA=</v>
      </c>
      <c r="T488" s="99">
        <f t="shared" ca="1" si="0"/>
        <v>0</v>
      </c>
    </row>
    <row r="489" spans="1:20">
      <c r="A489" s="20">
        <f ca="1">IFERROR(__xludf.DUMMYFUNCTION("""COMPUTED_VALUE"""),251)</f>
        <v>251</v>
      </c>
      <c r="B489" s="20">
        <f ca="1">IFERROR(__xludf.DUMMYFUNCTION("""COMPUTED_VALUE"""),2021)</f>
        <v>2021</v>
      </c>
      <c r="C489" s="20" t="str">
        <f ca="1">IFERROR(__xludf.DUMMYFUNCTION("""COMPUTED_VALUE"""),"VIRTUAL")</f>
        <v>VIRTUAL</v>
      </c>
      <c r="D489" s="96">
        <f ca="1">IFERROR(__xludf.DUMMYFUNCTION("""COMPUTED_VALUE"""),44551)</f>
        <v>44551</v>
      </c>
      <c r="E489" s="20" t="str">
        <f ca="1">IFERROR(__xludf.DUMMYFUNCTION("""COMPUTED_VALUE"""),"SI")</f>
        <v>SI</v>
      </c>
      <c r="F489" s="20" t="str">
        <f ca="1">IFERROR(__xludf.DUMMYFUNCTION("""COMPUTED_VALUE"""),"ASUNTOS CONSTITUCIONALES, JUSTICIA Y ACUERDOS;LEGISLACIÓN GENERAL")</f>
        <v>ASUNTOS CONSTITUCIONALES, JUSTICIA Y ACUERDOS;LEGISLACIÓN GENERAL</v>
      </c>
      <c r="G489" s="20">
        <f ca="1">IFERROR(__xludf.DUMMYFUNCTION("""COMPUTED_VALUE"""),2)</f>
        <v>2</v>
      </c>
      <c r="H489" s="20">
        <f ca="1">IFERROR(__xludf.DUMMYFUNCTION("""COMPUTED_VALUE"""),2)</f>
        <v>2</v>
      </c>
      <c r="I489" s="20">
        <f ca="1">IFERROR(__xludf.DUMMYFUNCTION("""COMPUTED_VALUE"""),1)</f>
        <v>1</v>
      </c>
      <c r="J489" s="20" t="str">
        <f ca="1">IFERROR(__xludf.DUMMYFUNCTION("""COMPUTED_VALUE"""),"Ley")</f>
        <v>Ley</v>
      </c>
      <c r="K489" s="20">
        <f ca="1">IFERROR(__xludf.DUMMYFUNCTION("""COMPUTED_VALUE"""),31310)</f>
        <v>31310</v>
      </c>
      <c r="L489" s="20" t="str">
        <f ca="1">IFERROR(__xludf.DUMMYFUNCTION("""COMPUTED_VALUE"""),"Poder Legislativo Provincial")</f>
        <v>Poder Legislativo Provincial</v>
      </c>
      <c r="M489" s="20" t="str">
        <f ca="1">IFERROR(__xludf.DUMMYFUNCTION("""COMPUTED_VALUE"""),"Incorporando el artículo 49 bis a la ley 9571 –“Código Electoral Provincial”-, agregando el requisito “Ficha limpia” que prohíbe la candidatura de las personas que se encuentren condenadas a penas privativas de la libertad, aunque la sentencia no se encon"&amp;"trare firme y la pena fuera de cumplimiento en suspenso de distintos delitos.")</f>
        <v>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v>
      </c>
      <c r="N489" s="20" t="str">
        <f ca="1">IFERROR(__xludf.DUMMYFUNCTION("""COMPUTED_VALUE"""),"NO")</f>
        <v>NO</v>
      </c>
      <c r="O489" s="20" t="str">
        <f ca="1">IFERROR(__xludf.DUMMYFUNCTION("""COMPUTED_VALUE"""),"SI")</f>
        <v>SI</v>
      </c>
      <c r="P489" s="20">
        <f ca="1">IFERROR(__xludf.DUMMYFUNCTION("""COMPUTED_VALUE"""),2)</f>
        <v>2</v>
      </c>
      <c r="Q489" s="113" t="str">
        <f ca="1">IFERROR(__xludf.DUMMYFUNCTION("""COMPUTED_VALUE"""),"https://www.youtube.com/watch?v=RIlCrqnWAuU")</f>
        <v>https://www.youtube.com/watch?v=RIlCrqnWAuU</v>
      </c>
      <c r="R489" s="113" t="str">
        <f ca="1">IFERROR(__xludf.DUMMYFUNCTION("""COMPUTED_VALUE"""),"https://www.youtube.com/watch?v=RIlCrqnWAuU")</f>
        <v>https://www.youtube.com/watch?v=RIlCrqnWAuU</v>
      </c>
      <c r="S489" s="113" t="str">
        <f ca="1">IFERROR(__xludf.DUMMYFUNCTION("""COMPUTED_VALUE"""),"https://gld.legislaturacba.gob.ar/Publics/Actas.aspx?id=xe8l6umojo8=;https://gld.legislaturacba.gob.ar/Publics/Actas.aspx?id=3amSxP7naSI=")</f>
        <v>https://gld.legislaturacba.gob.ar/Publics/Actas.aspx?id=xe8l6umojo8=;https://gld.legislaturacba.gob.ar/Publics/Actas.aspx?id=3amSxP7naSI=</v>
      </c>
      <c r="T489" s="99">
        <f t="shared" ca="1" si="0"/>
        <v>0</v>
      </c>
    </row>
    <row r="490" spans="1:20">
      <c r="A490" s="20">
        <f ca="1">IFERROR(__xludf.DUMMYFUNCTION("""COMPUTED_VALUE"""),252)</f>
        <v>252</v>
      </c>
      <c r="B490" s="20">
        <f ca="1">IFERROR(__xludf.DUMMYFUNCTION("""COMPUTED_VALUE"""),2021)</f>
        <v>2021</v>
      </c>
      <c r="C490" s="20" t="str">
        <f ca="1">IFERROR(__xludf.DUMMYFUNCTION("""COMPUTED_VALUE"""),"VIRTUAL")</f>
        <v>VIRTUAL</v>
      </c>
      <c r="D490" s="96">
        <f ca="1">IFERROR(__xludf.DUMMYFUNCTION("""COMPUTED_VALUE"""),44552)</f>
        <v>44552</v>
      </c>
      <c r="E490" s="20" t="str">
        <f ca="1">IFERROR(__xludf.DUMMYFUNCTION("""COMPUTED_VALUE"""),"SI")</f>
        <v>SI</v>
      </c>
      <c r="F490" s="20" t="str">
        <f ca="1">IFERROR(__xludf.DUMMYFUNCTION("""COMPUTED_VALUE"""),"LEGISLACIÓN GENERAL;OBRAS PÚBLICAS, VIVIENDA Y COMUNICACIONES;SERVICIOS PÚBLICOS")</f>
        <v>LEGISLACIÓN GENERAL;OBRAS PÚBLICAS, VIVIENDA Y COMUNICACIONES;SERVICIOS PÚBLICOS</v>
      </c>
      <c r="G490" s="20">
        <f ca="1">IFERROR(__xludf.DUMMYFUNCTION("""COMPUTED_VALUE"""),3)</f>
        <v>3</v>
      </c>
      <c r="H490" s="20">
        <f ca="1">IFERROR(__xludf.DUMMYFUNCTION("""COMPUTED_VALUE"""),1)</f>
        <v>1</v>
      </c>
      <c r="I490" s="20">
        <f ca="1">IFERROR(__xludf.DUMMYFUNCTION("""COMPUTED_VALUE"""),1)</f>
        <v>1</v>
      </c>
      <c r="J490" s="20" t="str">
        <f ca="1">IFERROR(__xludf.DUMMYFUNCTION("""COMPUTED_VALUE"""),"Ley")</f>
        <v>Ley</v>
      </c>
      <c r="K490" s="20">
        <f ca="1">IFERROR(__xludf.DUMMYFUNCTION("""COMPUTED_VALUE"""),34329)</f>
        <v>34329</v>
      </c>
      <c r="L490" s="20" t="str">
        <f ca="1">IFERROR(__xludf.DUMMYFUNCTION("""COMPUTED_VALUE"""),"Poder Ejecutivo Provincial")</f>
        <v>Poder Ejecutivo Provincial</v>
      </c>
      <c r="M490" s="20" t="str">
        <f ca="1">IFERROR(__xludf.DUMMYFUNCTION("""COMPUTED_VALUE"""),"Iniciado por el Poder Ejecutivo, ratificando el Decreto N° 1480/2021 que aprueba el Convenio Específico entre el Ministerio de Infraestructura, Servicios Públicos y Hábitat de la provincia de Santa Fe y el Ministerio de Servicios Públicos de Córdoba, para"&amp;" garantizar el financiamiento y ejecución de la obra Acueducto In-terprovincial Santa Fe-Córdoba.")</f>
        <v>Iniciado por el Poder Ejecutivo, 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v>
      </c>
      <c r="N490" s="20" t="str">
        <f ca="1">IFERROR(__xludf.DUMMYFUNCTION("""COMPUTED_VALUE"""),"NO")</f>
        <v>NO</v>
      </c>
      <c r="O490" s="20" t="str">
        <f ca="1">IFERROR(__xludf.DUMMYFUNCTION("""COMPUTED_VALUE"""),"SI")</f>
        <v>SI</v>
      </c>
      <c r="P490" s="20">
        <f ca="1">IFERROR(__xludf.DUMMYFUNCTION("""COMPUTED_VALUE"""),2)</f>
        <v>2</v>
      </c>
      <c r="Q490" s="113" t="str">
        <f ca="1">IFERROR(__xludf.DUMMYFUNCTION("""COMPUTED_VALUE"""),"https://gld.legislaturacba.gob.ar/_cdd/api/Documento/descargar?guid=f0dbe657-722b-4ce6-9a02-0cbd4ede84d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v>
      </c>
      <c r="R490" s="113" t="str">
        <f ca="1">IFERROR(__xludf.DUMMYFUNCTION("""COMPUTED_VALUE"""),"https://www.youtube.com/watch?v=1SMmSOFczUo")</f>
        <v>https://www.youtube.com/watch?v=1SMmSOFczUo</v>
      </c>
      <c r="S490" s="113" t="str">
        <f ca="1">IFERROR(__xludf.DUMMYFUNCTION("""COMPUTED_VALUE"""),"https://gld.legislaturacba.gob.ar/Publics/Actas.aspx?id=8vkNQYOqbXw=;https://gld.legislaturacba.gob.ar/Publics/Actas.aspx?id=U1-x8cztYwE=;https://gld.legislaturacba.gob.ar/Publics/Actas.aspx?id=yyovZZ_hiaM=")</f>
        <v>https://gld.legislaturacba.gob.ar/Publics/Actas.aspx?id=8vkNQYOqbXw=;https://gld.legislaturacba.gob.ar/Publics/Actas.aspx?id=U1-x8cztYwE=;https://gld.legislaturacba.gob.ar/Publics/Actas.aspx?id=yyovZZ_hiaM=</v>
      </c>
      <c r="T490" s="99">
        <f t="shared" ca="1" si="0"/>
        <v>0</v>
      </c>
    </row>
    <row r="491" spans="1:20">
      <c r="A491" s="20">
        <f ca="1">IFERROR(__xludf.DUMMYFUNCTION("""COMPUTED_VALUE"""),253)</f>
        <v>253</v>
      </c>
      <c r="B491" s="20">
        <f ca="1">IFERROR(__xludf.DUMMYFUNCTION("""COMPUTED_VALUE"""),2021)</f>
        <v>2021</v>
      </c>
      <c r="C491" s="20" t="str">
        <f ca="1">IFERROR(__xludf.DUMMYFUNCTION("""COMPUTED_VALUE"""),"VIRTUAL")</f>
        <v>VIRTUAL</v>
      </c>
      <c r="D491" s="96">
        <f ca="1">IFERROR(__xludf.DUMMYFUNCTION("""COMPUTED_VALUE"""),44553)</f>
        <v>44553</v>
      </c>
      <c r="E491" s="20" t="str">
        <f ca="1">IFERROR(__xludf.DUMMYFUNCTION("""COMPUTED_VALUE"""),"SI")</f>
        <v>SI</v>
      </c>
      <c r="F491" s="20" t="str">
        <f ca="1">IFERROR(__xludf.DUMMYFUNCTION("""COMPUTED_VALUE"""),"LEGISLACIÓN GENERAL;TURISMO Y SU RELACIÓN CON EL DESARROLLO REGIONAL")</f>
        <v>LEGISLACIÓN GENERAL;TURISMO Y SU RELACIÓN CON EL DESARROLLO REGIONAL</v>
      </c>
      <c r="G491" s="20">
        <f ca="1">IFERROR(__xludf.DUMMYFUNCTION("""COMPUTED_VALUE"""),2)</f>
        <v>2</v>
      </c>
      <c r="H491" s="20">
        <f ca="1">IFERROR(__xludf.DUMMYFUNCTION("""COMPUTED_VALUE"""),1)</f>
        <v>1</v>
      </c>
      <c r="I491" s="20">
        <f ca="1">IFERROR(__xludf.DUMMYFUNCTION("""COMPUTED_VALUE"""),1)</f>
        <v>1</v>
      </c>
      <c r="J491" s="20" t="str">
        <f ca="1">IFERROR(__xludf.DUMMYFUNCTION("""COMPUTED_VALUE"""),"Ley")</f>
        <v>Ley</v>
      </c>
      <c r="K491" s="20">
        <f ca="1">IFERROR(__xludf.DUMMYFUNCTION("""COMPUTED_VALUE"""),32460)</f>
        <v>32460</v>
      </c>
      <c r="L491" s="20" t="str">
        <f ca="1">IFERROR(__xludf.DUMMYFUNCTION("""COMPUTED_VALUE"""),"Poder Legislativo Provincial")</f>
        <v>Poder Legislativo Provincial</v>
      </c>
      <c r="M491" s="20" t="str">
        <f ca="1">IFERROR(__xludf.DUMMYFUNCTION("""COMPUTED_VALUE"""),"Creando el programa de ""Revalorización Histórica, Cultural y de Promoción Turística"" del denominado Camino de los Puentes Colgantes, ubicado en el tramo Copina – El Cóndor")</f>
        <v>Creando el programa de "Revalorización Histórica, Cultural y de Promoción Turística" del denominado Camino de los Puentes Colgantes, ubicado en el tramo Copina – El Cóndor</v>
      </c>
      <c r="N491" s="20" t="str">
        <f ca="1">IFERROR(__xludf.DUMMYFUNCTION("""COMPUTED_VALUE"""),"SI")</f>
        <v>SI</v>
      </c>
      <c r="O491" s="20" t="str">
        <f ca="1">IFERROR(__xludf.DUMMYFUNCTION("""COMPUTED_VALUE"""),"NO")</f>
        <v>NO</v>
      </c>
      <c r="P491" s="20">
        <f ca="1">IFERROR(__xludf.DUMMYFUNCTION("""COMPUTED_VALUE"""),0)</f>
        <v>0</v>
      </c>
      <c r="Q491" s="113" t="str">
        <f ca="1">IFERROR(__xludf.DUMMYFUNCTION("""COMPUTED_VALUE"""),"https://gld.legislaturacba.gob.ar/_cdd/api/Documento/descargar?guid=2b735be9-28f5-43ed-92f6-8e5de979baf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v>
      </c>
      <c r="R491" s="20" t="str">
        <f ca="1">IFERROR(__xludf.DUMMYFUNCTION("""COMPUTED_VALUE"""),"NA")</f>
        <v>NA</v>
      </c>
      <c r="S491" s="113" t="str">
        <f ca="1">IFERROR(__xludf.DUMMYFUNCTION("""COMPUTED_VALUE"""),"https://gld.legislaturacba.gob.ar/Publics/Actas.aspx?id=BNnqYyqpa68=;https://gld.legislaturacba.gob.ar/Publics/Actas.aspx?id=8zlvkhnbYr8=")</f>
        <v>https://gld.legislaturacba.gob.ar/Publics/Actas.aspx?id=BNnqYyqpa68=;https://gld.legislaturacba.gob.ar/Publics/Actas.aspx?id=8zlvkhnbYr8=</v>
      </c>
      <c r="T491" s="99">
        <f t="shared" ca="1" si="0"/>
        <v>0</v>
      </c>
    </row>
    <row r="492" spans="1:20">
      <c r="A492" s="20">
        <f ca="1">IFERROR(__xludf.DUMMYFUNCTION("""COMPUTED_VALUE"""),254)</f>
        <v>254</v>
      </c>
      <c r="B492" s="20">
        <f ca="1">IFERROR(__xludf.DUMMYFUNCTION("""COMPUTED_VALUE"""),2021)</f>
        <v>2021</v>
      </c>
      <c r="C492" s="20" t="str">
        <f ca="1">IFERROR(__xludf.DUMMYFUNCTION("""COMPUTED_VALUE"""),"VIRTUAL")</f>
        <v>VIRTUAL</v>
      </c>
      <c r="D492" s="96">
        <f ca="1">IFERROR(__xludf.DUMMYFUNCTION("""COMPUTED_VALUE"""),44553)</f>
        <v>44553</v>
      </c>
      <c r="E492" s="20" t="str">
        <f ca="1">IFERROR(__xludf.DUMMYFUNCTION("""COMPUTED_VALUE"""),"SI")</f>
        <v>SI</v>
      </c>
      <c r="F492" s="20" t="str">
        <f ca="1">IFERROR(__xludf.DUMMYFUNCTION("""COMPUTED_VALUE"""),"ECONOMÍA, PRESUPUESTO, GESTIÓN PÚBLICA E INNOVACIÓN;EDUCACIÓN, CULTURA, CIENCIA, TECNOLOGÍA E INFORMÁTICA;LEGISLACIÓN GENERAL")</f>
        <v>ECONOMÍA, PRESUPUESTO, GESTIÓN PÚBLICA E INNOVACIÓN;EDUCACIÓN, CULTURA, CIENCIA, TECNOLOGÍA E INFORMÁTICA;LEGISLACIÓN GENERAL</v>
      </c>
      <c r="G492" s="20">
        <f ca="1">IFERROR(__xludf.DUMMYFUNCTION("""COMPUTED_VALUE"""),3)</f>
        <v>3</v>
      </c>
      <c r="H492" s="20">
        <f ca="1">IFERROR(__xludf.DUMMYFUNCTION("""COMPUTED_VALUE"""),1)</f>
        <v>1</v>
      </c>
      <c r="I492" s="20">
        <f ca="1">IFERROR(__xludf.DUMMYFUNCTION("""COMPUTED_VALUE"""),1)</f>
        <v>1</v>
      </c>
      <c r="J492" s="20" t="str">
        <f ca="1">IFERROR(__xludf.DUMMYFUNCTION("""COMPUTED_VALUE"""),"Ley")</f>
        <v>Ley</v>
      </c>
      <c r="K492" s="20">
        <f ca="1">IFERROR(__xludf.DUMMYFUNCTION("""COMPUTED_VALUE"""),34270)</f>
        <v>34270</v>
      </c>
      <c r="L492" s="20" t="str">
        <f ca="1">IFERROR(__xludf.DUMMYFUNCTION("""COMPUTED_VALUE"""),"Poder Legislativo Provincial")</f>
        <v>Poder Legislativo Provincial</v>
      </c>
      <c r="M492" s="20" t="str">
        <f ca="1">IFERROR(__xludf.DUMMYFUNCTION("""COMPUTED_VALUE"""),"Regulando la actividad de juegos ""on line"" en sus distintas modalidades, en el ámbito de la provincia de Córdoba.")</f>
        <v>Regulando la actividad de juegos "on line" en sus distintas modalidades, en el ámbito de la provincia de Córdoba.</v>
      </c>
      <c r="N492" s="20" t="str">
        <f ca="1">IFERROR(__xludf.DUMMYFUNCTION("""COMPUTED_VALUE"""),"NO")</f>
        <v>NO</v>
      </c>
      <c r="O492" s="20" t="str">
        <f ca="1">IFERROR(__xludf.DUMMYFUNCTION("""COMPUTED_VALUE"""),"NO")</f>
        <v>NO</v>
      </c>
      <c r="P492" s="20">
        <f ca="1">IFERROR(__xludf.DUMMYFUNCTION("""COMPUTED_VALUE"""),0)</f>
        <v>0</v>
      </c>
      <c r="Q492" s="113" t="str">
        <f ca="1">IFERROR(__xludf.DUMMYFUNCTION("""COMPUTED_VALUE"""),"https://gld.legislaturacba.gob.ar/_cdd/api/Documento/descargar?guid=ae4e480d-75ef-4dfb-9bbe-ea930201ee3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v>
      </c>
      <c r="R492" s="113" t="str">
        <f ca="1">IFERROR(__xludf.DUMMYFUNCTION("""COMPUTED_VALUE"""),"https://www.youtube.com/watch?v=0KHVoD7Sm10")</f>
        <v>https://www.youtube.com/watch?v=0KHVoD7Sm10</v>
      </c>
      <c r="S492" s="113" t="str">
        <f ca="1">IFERROR(__xludf.DUMMYFUNCTION("""COMPUTED_VALUE"""),"https://gld.legislaturacba.gob.ar/Publics/Actas.aspx?id=RYvSStNWDVI=;https://gld.legislaturacba.gob.ar/Publics/Actas.aspx?id=aKdUFWlTuTQ=;https://gld.legislaturacba.gob.ar/Publics/Actas.aspx?id=-iO8dahwLKo=")</f>
        <v>https://gld.legislaturacba.gob.ar/Publics/Actas.aspx?id=RYvSStNWDVI=;https://gld.legislaturacba.gob.ar/Publics/Actas.aspx?id=aKdUFWlTuTQ=;https://gld.legislaturacba.gob.ar/Publics/Actas.aspx?id=-iO8dahwLKo=</v>
      </c>
      <c r="T492" s="99">
        <f t="shared" ca="1" si="0"/>
        <v>0</v>
      </c>
    </row>
    <row r="493" spans="1:20">
      <c r="A493" s="20">
        <f ca="1">IFERROR(__xludf.DUMMYFUNCTION("""COMPUTED_VALUE"""),255)</f>
        <v>255</v>
      </c>
      <c r="B493" s="20">
        <f ca="1">IFERROR(__xludf.DUMMYFUNCTION("""COMPUTED_VALUE"""),2021)</f>
        <v>2021</v>
      </c>
      <c r="C493" s="20" t="str">
        <f ca="1">IFERROR(__xludf.DUMMYFUNCTION("""COMPUTED_VALUE"""),"VIRTUAL")</f>
        <v>VIRTUAL</v>
      </c>
      <c r="D493" s="96">
        <f ca="1">IFERROR(__xludf.DUMMYFUNCTION("""COMPUTED_VALUE"""),44553)</f>
        <v>44553</v>
      </c>
      <c r="E493" s="20" t="str">
        <f ca="1">IFERROR(__xludf.DUMMYFUNCTION("""COMPUTED_VALUE"""),"NO")</f>
        <v>NO</v>
      </c>
      <c r="F493" s="20" t="str">
        <f ca="1">IFERROR(__xludf.DUMMYFUNCTION("""COMPUTED_VALUE"""),"ASUNTOS CONSTITUCIONALES, JUSTICIA Y ACUERDOS")</f>
        <v>ASUNTOS CONSTITUCIONALES, JUSTICIA Y ACUERDOS</v>
      </c>
      <c r="G493" s="20">
        <f ca="1">IFERROR(__xludf.DUMMYFUNCTION("""COMPUTED_VALUE"""),1)</f>
        <v>1</v>
      </c>
      <c r="H493" s="20">
        <f ca="1">IFERROR(__xludf.DUMMYFUNCTION("""COMPUTED_VALUE"""),7)</f>
        <v>7</v>
      </c>
      <c r="I493" s="20">
        <f ca="1">IFERROR(__xludf.DUMMYFUNCTION("""COMPUTED_VALUE"""),1)</f>
        <v>1</v>
      </c>
      <c r="J493" s="20" t="str">
        <f ca="1">IFERROR(__xludf.DUMMYFUNCTION("""COMPUTED_VALUE"""),"Pliego")</f>
        <v>Pliego</v>
      </c>
      <c r="K493" s="20">
        <f ca="1">IFERROR(__xludf.DUMMYFUNCTION("""COMPUTED_VALUE"""),34319)</f>
        <v>34319</v>
      </c>
      <c r="L493" s="20" t="str">
        <f ca="1">IFERROR(__xludf.DUMMYFUNCTION("""COMPUTED_VALUE"""),"Poder Ejecutivo Provincial")</f>
        <v>Poder Ejecutivo Provincial</v>
      </c>
      <c r="M493" s="20" t="str">
        <f ca="1">IFERROR(__xludf.DUMMYFUNCTION("""COMPUTED_VALUE"""),"Solicitando acuerdo para designar a la abogada Sofía Andrea Keselman Procúpez como Vocal de Cámara Laboral en la Sala Segunda de la Cá-mara Única del Trabajo, perteneciente a la Primera Circunscripción Judicial con asiento en la ciudad de Córdoba")</f>
        <v>Solicitando acuerdo para designar a la abogada Sofía Andrea Keselman Procúpez como Vocal de Cámara Laboral en la Sala Segunda de la Cá-mara Única del Trabajo, perteneciente a la Primera Circunscripción Judicial con asiento en la ciudad de Córdoba</v>
      </c>
      <c r="N493" s="20" t="str">
        <f ca="1">IFERROR(__xludf.DUMMYFUNCTION("""COMPUTED_VALUE"""),"SI")</f>
        <v>SI</v>
      </c>
      <c r="O493" s="20" t="str">
        <f ca="1">IFERROR(__xludf.DUMMYFUNCTION("""COMPUTED_VALUE"""),"NO")</f>
        <v>NO</v>
      </c>
      <c r="P493" s="20">
        <f ca="1">IFERROR(__xludf.DUMMYFUNCTION("""COMPUTED_VALUE"""),0)</f>
        <v>0</v>
      </c>
      <c r="Q493" s="113" t="str">
        <f ca="1">IFERROR(__xludf.DUMMYFUNCTION("""COMPUTED_VALUE"""),"https://gld.legislaturacba.gob.ar/_cdd/api/Documento/descargar?guid=c6d7b41b-fcc7-46c0-8e21-ba31db59fd40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v>
      </c>
      <c r="R493" s="113" t="str">
        <f ca="1">IFERROR(__xludf.DUMMYFUNCTION("""COMPUTED_VALUE"""),"https://www.youtube.com/watch?v=k9GjhlB2x3c")</f>
        <v>https://www.youtube.com/watch?v=k9GjhlB2x3c</v>
      </c>
      <c r="S493" s="113" t="str">
        <f ca="1">IFERROR(__xludf.DUMMYFUNCTION("""COMPUTED_VALUE"""),"https://gld.legislaturacba.gob.ar/Publics/Actas.aspx?id=pp_bmZ2OYUk=")</f>
        <v>https://gld.legislaturacba.gob.ar/Publics/Actas.aspx?id=pp_bmZ2OYUk=</v>
      </c>
      <c r="T493" s="99">
        <f t="shared" ca="1" si="0"/>
        <v>0</v>
      </c>
    </row>
    <row r="494" spans="1:20">
      <c r="A494" s="20">
        <f ca="1">IFERROR(__xludf.DUMMYFUNCTION("""COMPUTED_VALUE"""),256)</f>
        <v>256</v>
      </c>
      <c r="B494" s="20">
        <f ca="1">IFERROR(__xludf.DUMMYFUNCTION("""COMPUTED_VALUE"""),2021)</f>
        <v>2021</v>
      </c>
      <c r="C494" s="20" t="str">
        <f ca="1">IFERROR(__xludf.DUMMYFUNCTION("""COMPUTED_VALUE"""),"VIRTUAL")</f>
        <v>VIRTUAL</v>
      </c>
      <c r="D494" s="96">
        <f ca="1">IFERROR(__xludf.DUMMYFUNCTION("""COMPUTED_VALUE"""),44558)</f>
        <v>44558</v>
      </c>
      <c r="E494" s="20" t="str">
        <f ca="1">IFERROR(__xludf.DUMMYFUNCTION("""COMPUTED_VALUE"""),"SI")</f>
        <v>SI</v>
      </c>
      <c r="F494" s="20" t="str">
        <f ca="1">IFERROR(__xludf.DUMMYFUNCTION("""COMPUTED_VALUE"""),"LEGISLACIÓN GENERAL;OBRAS PÚBLICAS, VIVIENDA Y COMUNICACIONES;SERVICIOS PÚBLICOS")</f>
        <v>LEGISLACIÓN GENERAL;OBRAS PÚBLICAS, VIVIENDA Y COMUNICACIONES;SERVICIOS PÚBLICOS</v>
      </c>
      <c r="G494" s="20">
        <f ca="1">IFERROR(__xludf.DUMMYFUNCTION("""COMPUTED_VALUE"""),3)</f>
        <v>3</v>
      </c>
      <c r="H494" s="20">
        <f ca="1">IFERROR(__xludf.DUMMYFUNCTION("""COMPUTED_VALUE"""),1)</f>
        <v>1</v>
      </c>
      <c r="I494" s="20">
        <f ca="1">IFERROR(__xludf.DUMMYFUNCTION("""COMPUTED_VALUE"""),1)</f>
        <v>1</v>
      </c>
      <c r="J494" s="20" t="str">
        <f ca="1">IFERROR(__xludf.DUMMYFUNCTION("""COMPUTED_VALUE"""),"Ley")</f>
        <v>Ley</v>
      </c>
      <c r="K494" s="20">
        <f ca="1">IFERROR(__xludf.DUMMYFUNCTION("""COMPUTED_VALUE"""),34329)</f>
        <v>34329</v>
      </c>
      <c r="L494" s="20" t="str">
        <f ca="1">IFERROR(__xludf.DUMMYFUNCTION("""COMPUTED_VALUE"""),"Poder Ejecutivo Provincial")</f>
        <v>Poder Ejecutivo Provincial</v>
      </c>
      <c r="M494" s="20" t="str">
        <f ca="1">IFERROR(__xludf.DUMMYFUNCTION("""COMPUTED_VALUE"""),"Ratificando el Decreto N° 1480/2021 que aprueba el Convenio Específico entre el Ministerio de Infraestructura, Servicios Públicos y Hábitat de la provincia de Santa Fe y el Ministerio de Servicios Públicos de Córdoba, para garantizar el financiamiento y e"&amp;"jecución de la obra Acueducto Interprovincial Santa Fe-Córdoba.")</f>
        <v>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v>
      </c>
      <c r="N494" s="20" t="str">
        <f ca="1">IFERROR(__xludf.DUMMYFUNCTION("""COMPUTED_VALUE"""),"SI")</f>
        <v>SI</v>
      </c>
      <c r="O494" s="20" t="str">
        <f ca="1">IFERROR(__xludf.DUMMYFUNCTION("""COMPUTED_VALUE"""),"NO")</f>
        <v>NO</v>
      </c>
      <c r="P494" s="20">
        <f ca="1">IFERROR(__xludf.DUMMYFUNCTION("""COMPUTED_VALUE"""),0)</f>
        <v>0</v>
      </c>
      <c r="Q494" s="113" t="str">
        <f ca="1">IFERROR(__xludf.DUMMYFUNCTION("""COMPUTED_VALUE"""),"https://gld.legislaturacba.gob.ar/_cdd/api/Documento/descargar?guid=433a3519-da0e-4955-9b66-5e84d53459b8&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v>
      </c>
      <c r="R494" s="113" t="str">
        <f ca="1">IFERROR(__xludf.DUMMYFUNCTION("""COMPUTED_VALUE"""),"https://www.youtube.com/watch?v=x-RSjRenOGQ")</f>
        <v>https://www.youtube.com/watch?v=x-RSjRenOGQ</v>
      </c>
      <c r="S494" s="113" t="str">
        <f ca="1">IFERROR(__xludf.DUMMYFUNCTION("""COMPUTED_VALUE"""),"https://gld.legislaturacba.gob.ar/Publics/Actas.aspx?id=lN5yBtC2pp8=;https://gld.legislaturacba.gob.ar/Publics/Actas.aspx?id=3sqBt4fuH8I=;https://gld.legislaturacba.gob.ar/Publics/Actas.aspx?id=TMKpFFmJ-Tc=")</f>
        <v>https://gld.legislaturacba.gob.ar/Publics/Actas.aspx?id=lN5yBtC2pp8=;https://gld.legislaturacba.gob.ar/Publics/Actas.aspx?id=3sqBt4fuH8I=;https://gld.legislaturacba.gob.ar/Publics/Actas.aspx?id=TMKpFFmJ-Tc=</v>
      </c>
      <c r="T494" s="99">
        <f t="shared" ca="1" si="0"/>
        <v>0</v>
      </c>
    </row>
    <row r="495" spans="1:20">
      <c r="A495" s="20">
        <f ca="1">IFERROR(__xludf.DUMMYFUNCTION("""COMPUTED_VALUE"""),257)</f>
        <v>257</v>
      </c>
      <c r="B495" s="20">
        <f ca="1">IFERROR(__xludf.DUMMYFUNCTION("""COMPUTED_VALUE"""),2021)</f>
        <v>2021</v>
      </c>
      <c r="C495" s="20" t="str">
        <f ca="1">IFERROR(__xludf.DUMMYFUNCTION("""COMPUTED_VALUE"""),"VIRTUAL")</f>
        <v>VIRTUAL</v>
      </c>
      <c r="D495" s="96">
        <f ca="1">IFERROR(__xludf.DUMMYFUNCTION("""COMPUTED_VALUE"""),44558)</f>
        <v>44558</v>
      </c>
      <c r="E495" s="20" t="str">
        <f ca="1">IFERROR(__xludf.DUMMYFUNCTION("""COMPUTED_VALUE"""),"SI")</f>
        <v>SI</v>
      </c>
      <c r="F495" s="20" t="str">
        <f ca="1">IFERROR(__xludf.DUMMYFUNCTION("""COMPUTED_VALUE"""),"ECONOMÍA, PRESUPUESTO, GESTIÓN PÚBLICA E INNOVACIÓN;EDUCACIÓN, CULTURA, CIENCIA, TECNOLOGÍA E INFORMÁTICA;LEGISLACIÓN GENERAL")</f>
        <v>ECONOMÍA, PRESUPUESTO, GESTIÓN PÚBLICA E INNOVACIÓN;EDUCACIÓN, CULTURA, CIENCIA, TECNOLOGÍA E INFORMÁTICA;LEGISLACIÓN GENERAL</v>
      </c>
      <c r="G495" s="20">
        <f ca="1">IFERROR(__xludf.DUMMYFUNCTION("""COMPUTED_VALUE"""),3)</f>
        <v>3</v>
      </c>
      <c r="H495" s="20">
        <f ca="1">IFERROR(__xludf.DUMMYFUNCTION("""COMPUTED_VALUE"""),1)</f>
        <v>1</v>
      </c>
      <c r="I495" s="20">
        <f ca="1">IFERROR(__xludf.DUMMYFUNCTION("""COMPUTED_VALUE"""),1)</f>
        <v>1</v>
      </c>
      <c r="J495" s="20" t="str">
        <f ca="1">IFERROR(__xludf.DUMMYFUNCTION("""COMPUTED_VALUE"""),"Ley")</f>
        <v>Ley</v>
      </c>
      <c r="K495" s="20">
        <f ca="1">IFERROR(__xludf.DUMMYFUNCTION("""COMPUTED_VALUE"""),34270)</f>
        <v>34270</v>
      </c>
      <c r="L495" s="20" t="str">
        <f ca="1">IFERROR(__xludf.DUMMYFUNCTION("""COMPUTED_VALUE"""),"Poder Legislativo Provincial")</f>
        <v>Poder Legislativo Provincial</v>
      </c>
      <c r="M495" s="20" t="str">
        <f ca="1">IFERROR(__xludf.DUMMYFUNCTION("""COMPUTED_VALUE"""),"Regulando la actividad de juegos ""on line"" en sus distintas modalidades, en el ámbito de la provincia de Córdoba.")</f>
        <v>Regulando la actividad de juegos "on line" en sus distintas modalidades, en el ámbito de la provincia de Córdoba.</v>
      </c>
      <c r="N495" s="20" t="str">
        <f ca="1">IFERROR(__xludf.DUMMYFUNCTION("""COMPUTED_VALUE"""),"SI")</f>
        <v>SI</v>
      </c>
      <c r="O495" s="20" t="str">
        <f ca="1">IFERROR(__xludf.DUMMYFUNCTION("""COMPUTED_VALUE"""),"NO")</f>
        <v>NO</v>
      </c>
      <c r="P495" s="20">
        <f ca="1">IFERROR(__xludf.DUMMYFUNCTION("""COMPUTED_VALUE"""),0)</f>
        <v>0</v>
      </c>
      <c r="Q495" s="113" t="str">
        <f ca="1">IFERROR(__xludf.DUMMYFUNCTION("""COMPUTED_VALUE"""),"https://gld.legislaturacba.gob.ar/_cdd/api/Documento/descargar?guid=4a5370a6-6a12-4f79-9fb0-7acbb8593a5d&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v>
      </c>
      <c r="R495" s="113" t="str">
        <f ca="1">IFERROR(__xludf.DUMMYFUNCTION("""COMPUTED_VALUE"""),"https://www.youtube.com/watch?v=a0t-RI6dfbU")</f>
        <v>https://www.youtube.com/watch?v=a0t-RI6dfbU</v>
      </c>
      <c r="S495" s="113" t="str">
        <f ca="1">IFERROR(__xludf.DUMMYFUNCTION("""COMPUTED_VALUE"""),"https://gld.legislaturacba.gob.ar/Publics/Actas.aspx?id=UkCJ7P74Cp0=;https://gld.legislaturacba.gob.ar/Publics/Actas.aspx?id=ioPa_xH4XXI=;https://gld.legislaturacba.gob.ar/Publics/Actas.aspx?id=caRyUdQNdR4=")</f>
        <v>https://gld.legislaturacba.gob.ar/Publics/Actas.aspx?id=UkCJ7P74Cp0=;https://gld.legislaturacba.gob.ar/Publics/Actas.aspx?id=ioPa_xH4XXI=;https://gld.legislaturacba.gob.ar/Publics/Actas.aspx?id=caRyUdQNdR4=</v>
      </c>
      <c r="T495" s="99">
        <f t="shared" ca="1" si="0"/>
        <v>0</v>
      </c>
    </row>
    <row r="496" spans="1:20">
      <c r="A496" s="20">
        <f ca="1">IFERROR(__xludf.DUMMYFUNCTION("""COMPUTED_VALUE"""),258)</f>
        <v>258</v>
      </c>
      <c r="B496" s="20">
        <f ca="1">IFERROR(__xludf.DUMMYFUNCTION("""COMPUTED_VALUE"""),2021)</f>
        <v>2021</v>
      </c>
      <c r="C496" s="20" t="str">
        <f ca="1">IFERROR(__xludf.DUMMYFUNCTION("""COMPUTED_VALUE"""),"PRESENCIAL")</f>
        <v>PRESENCIAL</v>
      </c>
      <c r="D496" s="96">
        <f ca="1">IFERROR(__xludf.DUMMYFUNCTION("""COMPUTED_VALUE"""),44559)</f>
        <v>44559</v>
      </c>
      <c r="E496" s="20" t="str">
        <f ca="1">IFERROR(__xludf.DUMMYFUNCTION("""COMPUTED_VALUE"""),"NO")</f>
        <v>NO</v>
      </c>
      <c r="F496" s="20" t="str">
        <f ca="1">IFERROR(__xludf.DUMMYFUNCTION("""COMPUTED_VALUE"""),"PROMOCIÓN Y DEFENSA DE LOS DERECHOS DE LA NIÑEZ, ADOLESCENCIA Y FAMILIA")</f>
        <v>PROMOCIÓN Y DEFENSA DE LOS DERECHOS DE LA NIÑEZ, ADOLESCENCIA Y FAMILIA</v>
      </c>
      <c r="G496" s="20">
        <f ca="1">IFERROR(__xludf.DUMMYFUNCTION("""COMPUTED_VALUE"""),1)</f>
        <v>1</v>
      </c>
      <c r="H496" s="20">
        <f ca="1">IFERROR(__xludf.DUMMYFUNCTION("""COMPUTED_VALUE"""),1)</f>
        <v>1</v>
      </c>
      <c r="I496" s="20">
        <f ca="1">IFERROR(__xludf.DUMMYFUNCTION("""COMPUTED_VALUE"""),1)</f>
        <v>1</v>
      </c>
      <c r="J496" s="20" t="str">
        <f ca="1">IFERROR(__xludf.DUMMYFUNCTION("""COMPUTED_VALUE"""),"Resolución")</f>
        <v>Resolución</v>
      </c>
      <c r="K496" s="20">
        <f ca="1">IFERROR(__xludf.DUMMYFUNCTION("""COMPUTED_VALUE"""),34363)</f>
        <v>34363</v>
      </c>
      <c r="L496" s="20" t="str">
        <f ca="1">IFERROR(__xludf.DUMMYFUNCTION("""COMPUTED_VALUE"""),"Poder Legislativo Provincial")</f>
        <v>Poder Legislativo Provincial</v>
      </c>
      <c r="M496" s="20" t="str">
        <f ca="1">IFERROR(__xludf.DUMMYFUNCTION("""COMPUTED_VALUE"""),"Citando al Sr. Ministro de Justicia y Derechos Humanos (Art. 101 C.P.) para que informe sobre distintos aspectos de la problemática de la violencia intrafamiliar y maltrato infantil y la intervención concreta de la Secretaría de Niñez, Adolescencia y Fami"&amp;"lia en los casos detectados.")</f>
        <v>Citando al Sr. Ministro de Justicia y Derechos Humanos (Art. 101 C.P.) para que informe sobre distintos aspectos de la problemática de la violencia intrafamiliar y maltrato infantil y la intervención concreta de la Secretaría de Niñez, Adolescencia y Familia en los casos detectados.</v>
      </c>
      <c r="N496" s="20" t="str">
        <f ca="1">IFERROR(__xludf.DUMMYFUNCTION("""COMPUTED_VALUE"""),"NO")</f>
        <v>NO</v>
      </c>
      <c r="O496" s="20" t="str">
        <f ca="1">IFERROR(__xludf.DUMMYFUNCTION("""COMPUTED_VALUE"""),"Si")</f>
        <v>Si</v>
      </c>
      <c r="P496" s="20">
        <f ca="1">IFERROR(__xludf.DUMMYFUNCTION("""COMPUTED_VALUE"""),4)</f>
        <v>4</v>
      </c>
      <c r="Q496" s="113" t="str">
        <f ca="1">IFERROR(__xludf.DUMMYFUNCTION("""COMPUTED_VALUE"""),"https://gld.legislaturacba.gob.ar/_cdd/api/Documento/descargar?guid=faf3dd7c-4c22-4664-a40c-ce101873ba2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v>
      </c>
      <c r="R496" s="20" t="str">
        <f ca="1">IFERROR(__xludf.DUMMYFUNCTION("""COMPUTED_VALUE"""),"NA")</f>
        <v>NA</v>
      </c>
      <c r="S496" s="113" t="str">
        <f ca="1">IFERROR(__xludf.DUMMYFUNCTION("""COMPUTED_VALUE"""),"https://gld.legislaturacba.gob.ar/Publics/Actas.aspx?id=oYsi31GegCo=")</f>
        <v>https://gld.legislaturacba.gob.ar/Publics/Actas.aspx?id=oYsi31GegCo=</v>
      </c>
      <c r="T496" s="99">
        <f t="shared" ca="1" si="0"/>
        <v>0</v>
      </c>
    </row>
    <row r="497" spans="1:20">
      <c r="A497" s="20">
        <f ca="1">IFERROR(__xludf.DUMMYFUNCTION("""COMPUTED_VALUE"""),1)</f>
        <v>1</v>
      </c>
      <c r="B497" s="20">
        <f ca="1">IFERROR(__xludf.DUMMYFUNCTION("""COMPUTED_VALUE"""),2022)</f>
        <v>2022</v>
      </c>
      <c r="C497" s="20" t="str">
        <f ca="1">IFERROR(__xludf.DUMMYFUNCTION("""COMPUTED_VALUE"""),"VIRTUAL")</f>
        <v>VIRTUAL</v>
      </c>
      <c r="D497" s="96">
        <f ca="1">IFERROR(__xludf.DUMMYFUNCTION("""COMPUTED_VALUE"""),44600)</f>
        <v>44600</v>
      </c>
      <c r="E497" s="20" t="str">
        <f ca="1">IFERROR(__xludf.DUMMYFUNCTION("""COMPUTED_VALUE"""),"NO")</f>
        <v>NO</v>
      </c>
      <c r="F497" s="20" t="str">
        <f ca="1">IFERROR(__xludf.DUMMYFUNCTION("""COMPUTED_VALUE"""),"ASUNTOS CONSTITUCIONALES, JUSTICIA Y ACUERDOS")</f>
        <v>ASUNTOS CONSTITUCIONALES, JUSTICIA Y ACUERDOS</v>
      </c>
      <c r="G497" s="20">
        <f ca="1">IFERROR(__xludf.DUMMYFUNCTION("""COMPUTED_VALUE"""),1)</f>
        <v>1</v>
      </c>
      <c r="H497" s="20">
        <f ca="1">IFERROR(__xludf.DUMMYFUNCTION("""COMPUTED_VALUE"""),2)</f>
        <v>2</v>
      </c>
      <c r="I497" s="20">
        <f ca="1">IFERROR(__xludf.DUMMYFUNCTION("""COMPUTED_VALUE"""),1)</f>
        <v>1</v>
      </c>
      <c r="J497" s="20" t="str">
        <f ca="1">IFERROR(__xludf.DUMMYFUNCTION("""COMPUTED_VALUE"""),"Pliego")</f>
        <v>Pliego</v>
      </c>
      <c r="K497" s="20">
        <f ca="1">IFERROR(__xludf.DUMMYFUNCTION("""COMPUTED_VALUE"""),34318)</f>
        <v>34318</v>
      </c>
      <c r="L497" s="20" t="str">
        <f ca="1">IFERROR(__xludf.DUMMYFUNCTION("""COMPUTED_VALUE"""),"Poder Ejecutivo Provincial")</f>
        <v>Poder Ejecutivo Provincial</v>
      </c>
      <c r="M497" s="20" t="str">
        <f ca="1">IFERROR(__xludf.DUMMYFUNCTION("""COMPUTED_VALUE"""),"Solicitando acuerdo al Padrón Principal y Subsidiario de aspirantes a Magistrados, Fiscales y Asesores Letrados reemplazantes, elevado por el Consejo de la Magistratura de esta Provincia (artículo 56 y concordantes de la Ley N° 8435 y artículo 104, inciso"&amp;" 42, de la Constitución de la Provincia de Córdoba)")</f>
        <v>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v>
      </c>
      <c r="N497" s="20" t="str">
        <f ca="1">IFERROR(__xludf.DUMMYFUNCTION("""COMPUTED_VALUE"""),"SI")</f>
        <v>SI</v>
      </c>
      <c r="O497" s="20" t="str">
        <f ca="1">IFERROR(__xludf.DUMMYFUNCTION("""COMPUTED_VALUE"""),"NO")</f>
        <v>NO</v>
      </c>
      <c r="P497" s="20">
        <f ca="1">IFERROR(__xludf.DUMMYFUNCTION("""COMPUTED_VALUE"""),0)</f>
        <v>0</v>
      </c>
      <c r="Q497" s="113" t="str">
        <f ca="1">IFERROR(__xludf.DUMMYFUNCTION("""COMPUTED_VALUE"""),"https://gld.legislaturacba.gob.ar/_cdd/api/Documento/descargar?guid=ac730f5e-b530-48ac-8640-68f50ab537d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v>
      </c>
      <c r="R497" s="113" t="str">
        <f ca="1">IFERROR(__xludf.DUMMYFUNCTION("""COMPUTED_VALUE"""),"https://www.youtube.com/watch?v=3n5fA_YwBoM")</f>
        <v>https://www.youtube.com/watch?v=3n5fA_YwBoM</v>
      </c>
      <c r="S497" s="113" t="str">
        <f ca="1">IFERROR(__xludf.DUMMYFUNCTION("""COMPUTED_VALUE"""),"https://gld.legislaturacba.gob.ar/Publics/Actas.aspx?id=7P2toU_e3tc=")</f>
        <v>https://gld.legislaturacba.gob.ar/Publics/Actas.aspx?id=7P2toU_e3tc=</v>
      </c>
      <c r="T497" s="99">
        <f t="shared" ca="1" si="0"/>
        <v>0</v>
      </c>
    </row>
    <row r="498" spans="1:20">
      <c r="A498" s="20">
        <f ca="1">IFERROR(__xludf.DUMMYFUNCTION("""COMPUTED_VALUE"""),2)</f>
        <v>2</v>
      </c>
      <c r="B498" s="20">
        <f ca="1">IFERROR(__xludf.DUMMYFUNCTION("""COMPUTED_VALUE"""),2022)</f>
        <v>2022</v>
      </c>
      <c r="C498" s="20" t="str">
        <f ca="1">IFERROR(__xludf.DUMMYFUNCTION("""COMPUTED_VALUE"""),"VIRTUAL")</f>
        <v>VIRTUAL</v>
      </c>
      <c r="D498" s="96">
        <f ca="1">IFERROR(__xludf.DUMMYFUNCTION("""COMPUTED_VALUE"""),44600)</f>
        <v>44600</v>
      </c>
      <c r="E498" s="20" t="str">
        <f ca="1">IFERROR(__xludf.DUMMYFUNCTION("""COMPUTED_VALUE"""),"SI")</f>
        <v>SI</v>
      </c>
      <c r="F498" s="20" t="str">
        <f ca="1">IFERROR(__xludf.DUMMYFUNCTION("""COMPUTED_VALUE"""),"LEGISLACIÓN GENERAL;ASUNTOS INSTITUCIONALES, MUNICIPALES Y COMUNALES")</f>
        <v>LEGISLACIÓN GENERAL;ASUNTOS INSTITUCIONALES, MUNICIPALES Y COMUNALES</v>
      </c>
      <c r="G498" s="20">
        <f ca="1">IFERROR(__xludf.DUMMYFUNCTION("""COMPUTED_VALUE"""),2)</f>
        <v>2</v>
      </c>
      <c r="H498" s="20">
        <f ca="1">IFERROR(__xludf.DUMMYFUNCTION("""COMPUTED_VALUE"""),1)</f>
        <v>1</v>
      </c>
      <c r="I498" s="20">
        <f ca="1">IFERROR(__xludf.DUMMYFUNCTION("""COMPUTED_VALUE"""),1)</f>
        <v>1</v>
      </c>
      <c r="J498" s="20" t="str">
        <f ca="1">IFERROR(__xludf.DUMMYFUNCTION("""COMPUTED_VALUE"""),"Ley")</f>
        <v>Ley</v>
      </c>
      <c r="K498" s="20">
        <f ca="1">IFERROR(__xludf.DUMMYFUNCTION("""COMPUTED_VALUE"""),34317)</f>
        <v>34317</v>
      </c>
      <c r="L498" s="20" t="str">
        <f ca="1">IFERROR(__xludf.DUMMYFUNCTION("""COMPUTED_VALUE"""),"Poder Ejecutivo Provincial")</f>
        <v>Poder Ejecutivo Provincial</v>
      </c>
      <c r="M498" s="20" t="str">
        <f ca="1">IFERROR(__xludf.DUMMYFUNCTION("""COMPUTED_VALUE"""),"Modificando el radio municipal de la localidad de Italó, Departamento General Roca.")</f>
        <v>Modificando el radio municipal de la localidad de Italó, Departamento General Roca.</v>
      </c>
      <c r="N498" s="20" t="str">
        <f ca="1">IFERROR(__xludf.DUMMYFUNCTION("""COMPUTED_VALUE"""),"SI")</f>
        <v>SI</v>
      </c>
      <c r="O498" s="20" t="str">
        <f ca="1">IFERROR(__xludf.DUMMYFUNCTION("""COMPUTED_VALUE"""),"NO")</f>
        <v>NO</v>
      </c>
      <c r="P498" s="20">
        <f ca="1">IFERROR(__xludf.DUMMYFUNCTION("""COMPUTED_VALUE"""),0)</f>
        <v>0</v>
      </c>
      <c r="Q498" s="113" t="str">
        <f ca="1">IFERROR(__xludf.DUMMYFUNCTION("""COMPUTED_VALUE"""),"https://gld.legislaturacba.gob.ar/_cdd/api/Documento/descargar?guid=333f318a-82b3-430c-b23b-37bc3f40ff9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v>
      </c>
      <c r="R498" s="113" t="str">
        <f ca="1">IFERROR(__xludf.DUMMYFUNCTION("""COMPUTED_VALUE"""),"https://www.youtube.com/watch?v=ormC49K7nBg")</f>
        <v>https://www.youtube.com/watch?v=ormC49K7nBg</v>
      </c>
      <c r="S498" s="113" t="str">
        <f ca="1">IFERROR(__xludf.DUMMYFUNCTION("""COMPUTED_VALUE"""),"https://gld.legislaturacba.gob.ar/Publics/Actas.aspx?id=CweL-6hdPQ4=;https://gld.legislaturacba.gob.ar/Publics/Actas.aspx?id=04wN2jZHlHM=")</f>
        <v>https://gld.legislaturacba.gob.ar/Publics/Actas.aspx?id=CweL-6hdPQ4=;https://gld.legislaturacba.gob.ar/Publics/Actas.aspx?id=04wN2jZHlHM=</v>
      </c>
      <c r="T498" s="99">
        <f t="shared" ca="1" si="0"/>
        <v>0</v>
      </c>
    </row>
    <row r="499" spans="1:20">
      <c r="A499" s="20">
        <f ca="1">IFERROR(__xludf.DUMMYFUNCTION("""COMPUTED_VALUE"""),3)</f>
        <v>3</v>
      </c>
      <c r="B499" s="20">
        <f ca="1">IFERROR(__xludf.DUMMYFUNCTION("""COMPUTED_VALUE"""),2022)</f>
        <v>2022</v>
      </c>
      <c r="C499" s="20" t="str">
        <f ca="1">IFERROR(__xludf.DUMMYFUNCTION("""COMPUTED_VALUE"""),"VIRTUAL")</f>
        <v>VIRTUAL</v>
      </c>
      <c r="D499" s="96">
        <f ca="1">IFERROR(__xludf.DUMMYFUNCTION("""COMPUTED_VALUE"""),44602)</f>
        <v>44602</v>
      </c>
      <c r="E499" s="20" t="str">
        <f ca="1">IFERROR(__xludf.DUMMYFUNCTION("""COMPUTED_VALUE"""),"SI")</f>
        <v>SI</v>
      </c>
      <c r="F499" s="20" t="str">
        <f ca="1">IFERROR(__xludf.DUMMYFUNCTION("""COMPUTED_VALUE"""),"ECONOMÍA, PRESUPUESTO, GESTIÓN PÚBLICA E INNOVACIÓN;DERECHOS HUMANOS Y DESARROLLO SOCIAL")</f>
        <v>ECONOMÍA, PRESUPUESTO, GESTIÓN PÚBLICA E INNOVACIÓN;DERECHOS HUMANOS Y DESARROLLO SOCIAL</v>
      </c>
      <c r="G499" s="20">
        <f ca="1">IFERROR(__xludf.DUMMYFUNCTION("""COMPUTED_VALUE"""),2)</f>
        <v>2</v>
      </c>
      <c r="H499" s="20">
        <f ca="1">IFERROR(__xludf.DUMMYFUNCTION("""COMPUTED_VALUE"""),1)</f>
        <v>1</v>
      </c>
      <c r="I499" s="20">
        <f ca="1">IFERROR(__xludf.DUMMYFUNCTION("""COMPUTED_VALUE"""),1)</f>
        <v>1</v>
      </c>
      <c r="J499" s="20" t="str">
        <f ca="1">IFERROR(__xludf.DUMMYFUNCTION("""COMPUTED_VALUE"""),"Ley")</f>
        <v>Ley</v>
      </c>
      <c r="K499" s="20">
        <f ca="1">IFERROR(__xludf.DUMMYFUNCTION("""COMPUTED_VALUE"""),34422)</f>
        <v>34422</v>
      </c>
      <c r="L499" s="20" t="str">
        <f ca="1">IFERROR(__xludf.DUMMYFUNCTION("""COMPUTED_VALUE"""),"Poder Ejecutivo Provincial")</f>
        <v>Poder Ejecutivo Provincial</v>
      </c>
      <c r="M499" s="20" t="str">
        <f ca="1">IFERROR(__xludf.DUMMYFUNCTION("""COMPUTED_VALUE"""),"Declarando de utilidad pública y sujetos a expropiación distintos inmuebles ubicados en Barrio Las Flores, Sección Ameghino “A”, asentamiento denominado ""Villa La Tela"" de la ciudad de Córdoba, con el objeto de su regularización dominial y saneamiento d"&amp;"e títulos.")</f>
        <v>Declarando de utilidad pública y sujetos a expropiación distintos inmuebles ubicados en Barrio Las Flores, Sección Ameghino “A”, asentamiento denominado "Villa La Tela" de la ciudad de Córdoba, con el objeto de su regularización dominial y saneamiento de títulos.</v>
      </c>
      <c r="N499" s="20" t="str">
        <f ca="1">IFERROR(__xludf.DUMMYFUNCTION("""COMPUTED_VALUE"""),"NO")</f>
        <v>NO</v>
      </c>
      <c r="O499" s="20" t="str">
        <f ca="1">IFERROR(__xludf.DUMMYFUNCTION("""COMPUTED_VALUE"""),"SI")</f>
        <v>SI</v>
      </c>
      <c r="P499" s="20">
        <f ca="1">IFERROR(__xludf.DUMMYFUNCTION("""COMPUTED_VALUE"""),2)</f>
        <v>2</v>
      </c>
      <c r="Q499" s="113" t="str">
        <f ca="1">IFERROR(__xludf.DUMMYFUNCTION("""COMPUTED_VALUE"""),"https://gld.legislaturacba.gob.ar/_cdd/api/Documento/descargar?guid=64bc67e5-1687-43e0-a7d8-5b09e0421a90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v>
      </c>
      <c r="R499" s="113" t="str">
        <f ca="1">IFERROR(__xludf.DUMMYFUNCTION("""COMPUTED_VALUE"""),"https://www.youtube.com/watch?v=WTEintlJ2BU")</f>
        <v>https://www.youtube.com/watch?v=WTEintlJ2BU</v>
      </c>
      <c r="S499" s="113" t="str">
        <f ca="1">IFERROR(__xludf.DUMMYFUNCTION("""COMPUTED_VALUE"""),"https://gld.legislaturacba.gob.ar/Publics/Actas.aspx?id=_IAMwlVivao=;https://gld.legislaturacba.gob.ar/Publics/Actas.aspx?id=RPOkn2gov8U=")</f>
        <v>https://gld.legislaturacba.gob.ar/Publics/Actas.aspx?id=_IAMwlVivao=;https://gld.legislaturacba.gob.ar/Publics/Actas.aspx?id=RPOkn2gov8U=</v>
      </c>
      <c r="T499" s="99">
        <f t="shared" ca="1" si="0"/>
        <v>0</v>
      </c>
    </row>
    <row r="500" spans="1:20">
      <c r="A500" s="20">
        <f ca="1">IFERROR(__xludf.DUMMYFUNCTION("""COMPUTED_VALUE"""),4)</f>
        <v>4</v>
      </c>
      <c r="B500" s="20">
        <f ca="1">IFERROR(__xludf.DUMMYFUNCTION("""COMPUTED_VALUE"""),2022)</f>
        <v>2022</v>
      </c>
      <c r="C500" s="20" t="str">
        <f ca="1">IFERROR(__xludf.DUMMYFUNCTION("""COMPUTED_VALUE"""),"VIRTUAL")</f>
        <v>VIRTUAL</v>
      </c>
      <c r="D500" s="96">
        <f ca="1">IFERROR(__xludf.DUMMYFUNCTION("""COMPUTED_VALUE"""),44607)</f>
        <v>44607</v>
      </c>
      <c r="E500" s="20" t="str">
        <f ca="1">IFERROR(__xludf.DUMMYFUNCTION("""COMPUTED_VALUE"""),"NO")</f>
        <v>NO</v>
      </c>
      <c r="F500" s="20" t="str">
        <f ca="1">IFERROR(__xludf.DUMMYFUNCTION("""COMPUTED_VALUE"""),"ECONOMÍA, PRESUPUESTO, GESTIÓN PÚBLICA E INNOVACIÓN")</f>
        <v>ECONOMÍA, PRESUPUESTO, GESTIÓN PÚBLICA E INNOVACIÓN</v>
      </c>
      <c r="G500" s="20">
        <f ca="1">IFERROR(__xludf.DUMMYFUNCTION("""COMPUTED_VALUE"""),1)</f>
        <v>1</v>
      </c>
      <c r="H500" s="20">
        <f ca="1">IFERROR(__xludf.DUMMYFUNCTION("""COMPUTED_VALUE"""),1)</f>
        <v>1</v>
      </c>
      <c r="I500" s="20">
        <f ca="1">IFERROR(__xludf.DUMMYFUNCTION("""COMPUTED_VALUE"""),1)</f>
        <v>1</v>
      </c>
      <c r="J500" s="20" t="str">
        <f ca="1">IFERROR(__xludf.DUMMYFUNCTION("""COMPUTED_VALUE"""),"Ley")</f>
        <v>Ley</v>
      </c>
      <c r="K500" s="20">
        <f ca="1">IFERROR(__xludf.DUMMYFUNCTION("""COMPUTED_VALUE"""),34406)</f>
        <v>34406</v>
      </c>
      <c r="L500" s="20" t="str">
        <f ca="1">IFERROR(__xludf.DUMMYFUNCTION("""COMPUTED_VALUE"""),"Poder Ejecutivo Provincial")</f>
        <v>Poder Ejecutivo Provincial</v>
      </c>
      <c r="M500" s="20" t="str">
        <f ca="1">IFERROR(__xludf.DUMMYFUNCTION("""COMPUTED_VALUE"""),"Ratificando el ""Consenso Fiscal 2021"" celebrado entre el Estado Nacional, la Provincia de Córdoba y demás provincias suscribientes, de fecha 27 de diciembre de 2021.")</f>
        <v>Ratificando el "Consenso Fiscal 2021" celebrado entre el Estado Nacional, la Provincia de Córdoba y demás provincias suscribientes, de fecha 27 de diciembre de 2021.</v>
      </c>
      <c r="N500" s="20" t="str">
        <f ca="1">IFERROR(__xludf.DUMMYFUNCTION("""COMPUTED_VALUE"""),"NO")</f>
        <v>NO</v>
      </c>
      <c r="O500" s="20" t="str">
        <f ca="1">IFERROR(__xludf.DUMMYFUNCTION("""COMPUTED_VALUE"""),"NO")</f>
        <v>NO</v>
      </c>
      <c r="P500" s="20">
        <f ca="1">IFERROR(__xludf.DUMMYFUNCTION("""COMPUTED_VALUE"""),0)</f>
        <v>0</v>
      </c>
      <c r="Q500" s="113" t="str">
        <f ca="1">IFERROR(__xludf.DUMMYFUNCTION("""COMPUTED_VALUE"""),"https://gld.legislaturacba.gob.ar/_cdd/api/Documento/descargar?guid=6c0cd227-3214-4cbb-8748-10db021ff4df&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v>
      </c>
      <c r="R500" s="113" t="str">
        <f ca="1">IFERROR(__xludf.DUMMYFUNCTION("""COMPUTED_VALUE"""),"https://www.youtube.com/watch?v=OfcwC_9ek5o")</f>
        <v>https://www.youtube.com/watch?v=OfcwC_9ek5o</v>
      </c>
      <c r="S500" s="113" t="str">
        <f ca="1">IFERROR(__xludf.DUMMYFUNCTION("""COMPUTED_VALUE"""),"https://gld.legislaturacba.gob.ar/Publics/Actas.aspx?id=7bwOoBKkoWY=")</f>
        <v>https://gld.legislaturacba.gob.ar/Publics/Actas.aspx?id=7bwOoBKkoWY=</v>
      </c>
      <c r="T500" s="99">
        <f t="shared" ca="1" si="0"/>
        <v>0</v>
      </c>
    </row>
    <row r="501" spans="1:20">
      <c r="A501" s="20">
        <f ca="1">IFERROR(__xludf.DUMMYFUNCTION("""COMPUTED_VALUE"""),5)</f>
        <v>5</v>
      </c>
      <c r="B501" s="20">
        <f ca="1">IFERROR(__xludf.DUMMYFUNCTION("""COMPUTED_VALUE"""),2022)</f>
        <v>2022</v>
      </c>
      <c r="C501" s="20" t="str">
        <f ca="1">IFERROR(__xludf.DUMMYFUNCTION("""COMPUTED_VALUE"""),"VIRTUAL")</f>
        <v>VIRTUAL</v>
      </c>
      <c r="D501" s="96">
        <f ca="1">IFERROR(__xludf.DUMMYFUNCTION("""COMPUTED_VALUE"""),44607)</f>
        <v>44607</v>
      </c>
      <c r="E501" s="20" t="str">
        <f ca="1">IFERROR(__xludf.DUMMYFUNCTION("""COMPUTED_VALUE"""),"SI")</f>
        <v>SI</v>
      </c>
      <c r="F501" s="20" t="str">
        <f ca="1">IFERROR(__xludf.DUMMYFUNCTION("""COMPUTED_VALUE"""),"ECONOMÍA, PRESUPUESTO, GESTIÓN PÚBLICA E INNOVACIÓN;DERECHOS HUMANOS Y DESARROLLO SOCIAL")</f>
        <v>ECONOMÍA, PRESUPUESTO, GESTIÓN PÚBLICA E INNOVACIÓN;DERECHOS HUMANOS Y DESARROLLO SOCIAL</v>
      </c>
      <c r="G501" s="20">
        <f ca="1">IFERROR(__xludf.DUMMYFUNCTION("""COMPUTED_VALUE"""),2)</f>
        <v>2</v>
      </c>
      <c r="H501" s="20">
        <f ca="1">IFERROR(__xludf.DUMMYFUNCTION("""COMPUTED_VALUE"""),1)</f>
        <v>1</v>
      </c>
      <c r="I501" s="20">
        <f ca="1">IFERROR(__xludf.DUMMYFUNCTION("""COMPUTED_VALUE"""),1)</f>
        <v>1</v>
      </c>
      <c r="J501" s="20" t="str">
        <f ca="1">IFERROR(__xludf.DUMMYFUNCTION("""COMPUTED_VALUE"""),"Ley")</f>
        <v>Ley</v>
      </c>
      <c r="K501" s="20">
        <f ca="1">IFERROR(__xludf.DUMMYFUNCTION("""COMPUTED_VALUE"""),34422)</f>
        <v>34422</v>
      </c>
      <c r="L501" s="20" t="str">
        <f ca="1">IFERROR(__xludf.DUMMYFUNCTION("""COMPUTED_VALUE"""),"Poder Ejecutivo Provincial")</f>
        <v>Poder Ejecutivo Provincial</v>
      </c>
      <c r="M501" s="20" t="str">
        <f ca="1">IFERROR(__xludf.DUMMYFUNCTION("""COMPUTED_VALUE"""),"Declarando de utilidad pública y sujetos a expropiación distintos inmuebles ubicados en Barrio Las Flores, Sección Ameghino “A”, asentamiento denominado ""Villa La Tela"" de la ciudad de Córdoba, con el objeto de su regularización dominial y saneamiento d"&amp;"e títulos.")</f>
        <v>Declarando de utilidad pública y sujetos a expropiación distintos inmuebles ubicados en Barrio Las Flores, Sección Ameghino “A”, asentamiento denominado "Villa La Tela" de la ciudad de Córdoba, con el objeto de su regularización dominial y saneamiento de títulos.</v>
      </c>
      <c r="N501" s="20" t="str">
        <f ca="1">IFERROR(__xludf.DUMMYFUNCTION("""COMPUTED_VALUE"""),"SI")</f>
        <v>SI</v>
      </c>
      <c r="O501" s="20" t="str">
        <f ca="1">IFERROR(__xludf.DUMMYFUNCTION("""COMPUTED_VALUE"""),"NO")</f>
        <v>NO</v>
      </c>
      <c r="P501" s="20">
        <f ca="1">IFERROR(__xludf.DUMMYFUNCTION("""COMPUTED_VALUE"""),0)</f>
        <v>0</v>
      </c>
      <c r="Q501" s="113" t="str">
        <f ca="1">IFERROR(__xludf.DUMMYFUNCTION("""COMPUTED_VALUE"""),"https://gld.legislaturacba.gob.ar/_cdd/api/Documento/descargar?guid=fc607a64-20f4-4e6f-9d6b-7fb03a893d2b&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v>
      </c>
      <c r="R501" s="113" t="str">
        <f ca="1">IFERROR(__xludf.DUMMYFUNCTION("""COMPUTED_VALUE"""),"https://www.youtube.com/watch?v=HAvjNzL8MgM")</f>
        <v>https://www.youtube.com/watch?v=HAvjNzL8MgM</v>
      </c>
      <c r="S501" s="113" t="str">
        <f ca="1">IFERROR(__xludf.DUMMYFUNCTION("""COMPUTED_VALUE"""),"https://gld.legislaturacba.gob.ar/Publics/Actas.aspx?id=dCFAsvhKW6M=;https://gld.legislaturacba.gob.ar/Publics/Actas.aspx?id=JrBDxIcDyJo=")</f>
        <v>https://gld.legislaturacba.gob.ar/Publics/Actas.aspx?id=dCFAsvhKW6M=;https://gld.legislaturacba.gob.ar/Publics/Actas.aspx?id=JrBDxIcDyJo=</v>
      </c>
      <c r="T501" s="99">
        <f t="shared" ca="1" si="0"/>
        <v>0</v>
      </c>
    </row>
    <row r="502" spans="1:20">
      <c r="A502" s="20">
        <f ca="1">IFERROR(__xludf.DUMMYFUNCTION("""COMPUTED_VALUE"""),6)</f>
        <v>6</v>
      </c>
      <c r="B502" s="20">
        <f ca="1">IFERROR(__xludf.DUMMYFUNCTION("""COMPUTED_VALUE"""),2022)</f>
        <v>2022</v>
      </c>
      <c r="C502" s="20" t="str">
        <f ca="1">IFERROR(__xludf.DUMMYFUNCTION("""COMPUTED_VALUE"""),"VIRTUAL")</f>
        <v>VIRTUAL</v>
      </c>
      <c r="D502" s="96">
        <f ca="1">IFERROR(__xludf.DUMMYFUNCTION("""COMPUTED_VALUE"""),44607)</f>
        <v>44607</v>
      </c>
      <c r="E502" s="20" t="str">
        <f ca="1">IFERROR(__xludf.DUMMYFUNCTION("""COMPUTED_VALUE"""),"SI")</f>
        <v>SI</v>
      </c>
      <c r="F502" s="20" t="str">
        <f ca="1">IFERROR(__xludf.DUMMYFUNCTION("""COMPUTED_VALUE"""),"LEGISLACIÓN GENERAL;ASUNTOS INSTITUCIONALES, MUNICIPALES Y COMUNALES")</f>
        <v>LEGISLACIÓN GENERAL;ASUNTOS INSTITUCIONALES, MUNICIPALES Y COMUNALES</v>
      </c>
      <c r="G502" s="20">
        <f ca="1">IFERROR(__xludf.DUMMYFUNCTION("""COMPUTED_VALUE"""),2)</f>
        <v>2</v>
      </c>
      <c r="H502" s="20">
        <f ca="1">IFERROR(__xludf.DUMMYFUNCTION("""COMPUTED_VALUE"""),1)</f>
        <v>1</v>
      </c>
      <c r="I502" s="20">
        <f ca="1">IFERROR(__xludf.DUMMYFUNCTION("""COMPUTED_VALUE"""),1)</f>
        <v>1</v>
      </c>
      <c r="J502" s="20" t="str">
        <f ca="1">IFERROR(__xludf.DUMMYFUNCTION("""COMPUTED_VALUE"""),"Ley")</f>
        <v>Ley</v>
      </c>
      <c r="K502" s="20">
        <f ca="1">IFERROR(__xludf.DUMMYFUNCTION("""COMPUTED_VALUE"""),34315)</f>
        <v>34315</v>
      </c>
      <c r="L502" s="20" t="str">
        <f ca="1">IFERROR(__xludf.DUMMYFUNCTION("""COMPUTED_VALUE"""),"Poder Ejecutivo Provincial")</f>
        <v>Poder Ejecutivo Provincial</v>
      </c>
      <c r="M502" s="20" t="str">
        <f ca="1">IFERROR(__xludf.DUMMYFUNCTION("""COMPUTED_VALUE"""),"Modificando el radio municipal de la localidad de Noetinger, Departamento Unión.")</f>
        <v>Modificando el radio municipal de la localidad de Noetinger, Departamento Unión.</v>
      </c>
      <c r="N502" s="20" t="str">
        <f ca="1">IFERROR(__xludf.DUMMYFUNCTION("""COMPUTED_VALUE"""),"SI")</f>
        <v>SI</v>
      </c>
      <c r="O502" s="20" t="str">
        <f ca="1">IFERROR(__xludf.DUMMYFUNCTION("""COMPUTED_VALUE"""),"NO")</f>
        <v>NO</v>
      </c>
      <c r="P502" s="20">
        <f ca="1">IFERROR(__xludf.DUMMYFUNCTION("""COMPUTED_VALUE"""),0)</f>
        <v>0</v>
      </c>
      <c r="Q502" s="113" t="str">
        <f ca="1">IFERROR(__xludf.DUMMYFUNCTION("""COMPUTED_VALUE"""),"https://gld.legislaturacba.gob.ar/_cdd/api/Documento/descargar?guid=1643351e-2ad9-4a18-aa8e-316666c282c7&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v>
      </c>
      <c r="R502" s="113" t="str">
        <f ca="1">IFERROR(__xludf.DUMMYFUNCTION("""COMPUTED_VALUE"""),"https://www.youtube.com/watch?v=CCAfByfE6yI")</f>
        <v>https://www.youtube.com/watch?v=CCAfByfE6yI</v>
      </c>
      <c r="S502" s="113" t="str">
        <f ca="1">IFERROR(__xludf.DUMMYFUNCTION("""COMPUTED_VALUE"""),"https://gld.legislaturacba.gob.ar/Publics/Actas.aspx?id=IOJBEyo2tgo=;https://gld.legislaturacba.gob.ar/Publics/Actas.aspx?id=kQTTtivnsCI=")</f>
        <v>https://gld.legislaturacba.gob.ar/Publics/Actas.aspx?id=IOJBEyo2tgo=;https://gld.legislaturacba.gob.ar/Publics/Actas.aspx?id=kQTTtivnsCI=</v>
      </c>
      <c r="T502" s="99">
        <f t="shared" ca="1" si="0"/>
        <v>0</v>
      </c>
    </row>
    <row r="503" spans="1:20">
      <c r="A503" s="20">
        <f ca="1">IFERROR(__xludf.DUMMYFUNCTION("""COMPUTED_VALUE"""),7)</f>
        <v>7</v>
      </c>
      <c r="B503" s="20">
        <f ca="1">IFERROR(__xludf.DUMMYFUNCTION("""COMPUTED_VALUE"""),2022)</f>
        <v>2022</v>
      </c>
      <c r="C503" s="20" t="str">
        <f ca="1">IFERROR(__xludf.DUMMYFUNCTION("""COMPUTED_VALUE"""),"VIRTUAL")</f>
        <v>VIRTUAL</v>
      </c>
      <c r="D503" s="106">
        <f ca="1">IFERROR(__xludf.DUMMYFUNCTION("""COMPUTED_VALUE"""),44609)</f>
        <v>44609</v>
      </c>
      <c r="E503" s="20" t="str">
        <f ca="1">IFERROR(__xludf.DUMMYFUNCTION("""COMPUTED_VALUE"""),"NO")</f>
        <v>NO</v>
      </c>
      <c r="F503" s="20" t="str">
        <f ca="1">IFERROR(__xludf.DUMMYFUNCTION("""COMPUTED_VALUE"""),"ASUNTOS CONSTITUCIONALES, JUSTICIA Y ACUERDOS")</f>
        <v>ASUNTOS CONSTITUCIONALES, JUSTICIA Y ACUERDOS</v>
      </c>
      <c r="G503" s="20">
        <f ca="1">IFERROR(__xludf.DUMMYFUNCTION("""COMPUTED_VALUE"""),1)</f>
        <v>1</v>
      </c>
      <c r="H503" s="20">
        <f ca="1">IFERROR(__xludf.DUMMYFUNCTION("""COMPUTED_VALUE"""),3)</f>
        <v>3</v>
      </c>
      <c r="I503" s="20">
        <f ca="1">IFERROR(__xludf.DUMMYFUNCTION("""COMPUTED_VALUE"""),1)</f>
        <v>1</v>
      </c>
      <c r="J503" s="20" t="str">
        <f ca="1">IFERROR(__xludf.DUMMYFUNCTION("""COMPUTED_VALUE"""),"Pliego")</f>
        <v>Pliego</v>
      </c>
      <c r="K503" s="20">
        <f ca="1">IFERROR(__xludf.DUMMYFUNCTION("""COMPUTED_VALUE"""),34409)</f>
        <v>34409</v>
      </c>
      <c r="L503" s="20" t="str">
        <f ca="1">IFERROR(__xludf.DUMMYFUNCTION("""COMPUTED_VALUE"""),"Poder Ejecutivo Provincial")</f>
        <v>Poder Ejecutivo Provincial</v>
      </c>
      <c r="M503" s="20" t="str">
        <f ca="1">IFERROR(__xludf.DUMMYFUNCTION("""COMPUTED_VALUE"""),"Solicitando acuerdo para designar al abogado Guillermo Joselín Cerda López, como Juez de Conciliación y del Trabajo en el Juzgado de Conciliación y del Trabajo de 1ª Nominación, perteneciente a la Primera Circunscripción Judicial con asiento en la ciudad "&amp;"de Córdoba.")</f>
        <v>Solicitando acuerdo para designar al abogado Guillermo Joselín Cerda López, como Juez de Conciliación y del Trabajo en el Juzgado de Conciliación y del Trabajo de 1ª Nominación, perteneciente a la Primera Circunscripción Judicial con asiento en la ciudad de Córdoba.</v>
      </c>
      <c r="N503" s="20" t="str">
        <f ca="1">IFERROR(__xludf.DUMMYFUNCTION("""COMPUTED_VALUE"""),"SI")</f>
        <v>SI</v>
      </c>
      <c r="O503" s="20" t="str">
        <f ca="1">IFERROR(__xludf.DUMMYFUNCTION("""COMPUTED_VALUE"""),"NO")</f>
        <v>NO</v>
      </c>
      <c r="P503" s="20">
        <f ca="1">IFERROR(__xludf.DUMMYFUNCTION("""COMPUTED_VALUE"""),0)</f>
        <v>0</v>
      </c>
      <c r="Q503" s="113" t="str">
        <f ca="1">IFERROR(__xludf.DUMMYFUNCTION("""COMPUTED_VALUE"""),"https://gld.legislaturacba.gob.ar/_cdd/api/Documento/descargar?guid=c35b4e21-a5b5-460b-9aa7-534e96f11b50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v>
      </c>
      <c r="R503" s="113" t="str">
        <f ca="1">IFERROR(__xludf.DUMMYFUNCTION("""COMPUTED_VALUE"""),"https://www.youtube.com/watch?v=CSO6Q3-O8Jo")</f>
        <v>https://www.youtube.com/watch?v=CSO6Q3-O8Jo</v>
      </c>
      <c r="S503" s="113" t="str">
        <f ca="1">IFERROR(__xludf.DUMMYFUNCTION("""COMPUTED_VALUE"""),"https://gld.legislaturacba.gob.ar/Publics/Actas.aspx?id=iVZBoTy5gdA=")</f>
        <v>https://gld.legislaturacba.gob.ar/Publics/Actas.aspx?id=iVZBoTy5gdA=</v>
      </c>
      <c r="T503" s="99">
        <f t="shared" ca="1" si="0"/>
        <v>0</v>
      </c>
    </row>
    <row r="504" spans="1:20">
      <c r="A504" s="20">
        <f ca="1">IFERROR(__xludf.DUMMYFUNCTION("""COMPUTED_VALUE"""),8)</f>
        <v>8</v>
      </c>
      <c r="B504" s="20">
        <f ca="1">IFERROR(__xludf.DUMMYFUNCTION("""COMPUTED_VALUE"""),2022)</f>
        <v>2022</v>
      </c>
      <c r="C504" s="20" t="str">
        <f ca="1">IFERROR(__xludf.DUMMYFUNCTION("""COMPUTED_VALUE"""),"VIRTUAL")</f>
        <v>VIRTUAL</v>
      </c>
      <c r="D504" s="106">
        <f ca="1">IFERROR(__xludf.DUMMYFUNCTION("""COMPUTED_VALUE"""),44609)</f>
        <v>44609</v>
      </c>
      <c r="E504" s="20" t="str">
        <f ca="1">IFERROR(__xludf.DUMMYFUNCTION("""COMPUTED_VALUE"""),"NO")</f>
        <v>NO</v>
      </c>
      <c r="F504" s="20" t="str">
        <f ca="1">IFERROR(__xludf.DUMMYFUNCTION("""COMPUTED_VALUE"""),"EQUIDAD Y LUCHA CONTRA LA VIOLENCIA DE GÉNERO")</f>
        <v>EQUIDAD Y LUCHA CONTRA LA VIOLENCIA DE GÉNERO</v>
      </c>
      <c r="G504" s="20">
        <f ca="1">IFERROR(__xludf.DUMMYFUNCTION("""COMPUTED_VALUE"""),1)</f>
        <v>1</v>
      </c>
      <c r="H504" s="20">
        <f ca="1">IFERROR(__xludf.DUMMYFUNCTION("""COMPUTED_VALUE"""),1)</f>
        <v>1</v>
      </c>
      <c r="I504" s="20">
        <f ca="1">IFERROR(__xludf.DUMMYFUNCTION("""COMPUTED_VALUE"""),1)</f>
        <v>1</v>
      </c>
      <c r="J504" s="20" t="str">
        <f ca="1">IFERROR(__xludf.DUMMYFUNCTION("""COMPUTED_VALUE"""),"NA")</f>
        <v>NA</v>
      </c>
      <c r="K504" s="20" t="str">
        <f ca="1">IFERROR(__xludf.DUMMYFUNCTION("""COMPUTED_VALUE"""),"NA")</f>
        <v>NA</v>
      </c>
      <c r="L504" s="20" t="str">
        <f ca="1">IFERROR(__xludf.DUMMYFUNCTION("""COMPUTED_VALUE"""),"NA")</f>
        <v>NA</v>
      </c>
      <c r="M504" s="20" t="str">
        <f ca="1">IFERROR(__xludf.DUMMYFUNCTION("""COMPUTED_VALUE"""),"Fijar agenda y cronograma de actividades de la comisión.")</f>
        <v>Fijar agenda y cronograma de actividades de la comisión.</v>
      </c>
      <c r="N504" s="20" t="str">
        <f ca="1">IFERROR(__xludf.DUMMYFUNCTION("""COMPUTED_VALUE"""),"NA")</f>
        <v>NA</v>
      </c>
      <c r="O504" s="20" t="str">
        <f ca="1">IFERROR(__xludf.DUMMYFUNCTION("""COMPUTED_VALUE"""),"NO")</f>
        <v>NO</v>
      </c>
      <c r="P504" s="20">
        <f ca="1">IFERROR(__xludf.DUMMYFUNCTION("""COMPUTED_VALUE"""),0)</f>
        <v>0</v>
      </c>
      <c r="Q504" s="113" t="str">
        <f ca="1">IFERROR(__xludf.DUMMYFUNCTION("""COMPUTED_VALUE"""),"https://gld.legislaturacba.gob.ar/_cdd/api/Documento/descargar?guid=56744d0f-98e2-4568-bb6d-1672d13d7f60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v>
      </c>
      <c r="R504" s="113" t="str">
        <f ca="1">IFERROR(__xludf.DUMMYFUNCTION("""COMPUTED_VALUE"""),"https://www.youtube.com/watch?v=TW1TavWcgYU")</f>
        <v>https://www.youtube.com/watch?v=TW1TavWcgYU</v>
      </c>
      <c r="S504" s="113" t="str">
        <f ca="1">IFERROR(__xludf.DUMMYFUNCTION("""COMPUTED_VALUE"""),"https://gld.legislaturacba.gob.ar/Publics/Actas.aspx?id=ceja36M45po=")</f>
        <v>https://gld.legislaturacba.gob.ar/Publics/Actas.aspx?id=ceja36M45po=</v>
      </c>
      <c r="T504" s="99">
        <f t="shared" ca="1" si="0"/>
        <v>0</v>
      </c>
    </row>
    <row r="505" spans="1:20">
      <c r="A505" s="20">
        <f ca="1">IFERROR(__xludf.DUMMYFUNCTION("""COMPUTED_VALUE"""),9)</f>
        <v>9</v>
      </c>
      <c r="B505" s="20">
        <f ca="1">IFERROR(__xludf.DUMMYFUNCTION("""COMPUTED_VALUE"""),2022)</f>
        <v>2022</v>
      </c>
      <c r="C505" s="20" t="str">
        <f ca="1">IFERROR(__xludf.DUMMYFUNCTION("""COMPUTED_VALUE"""),"VIRTUAL")</f>
        <v>VIRTUAL</v>
      </c>
      <c r="D505" s="106">
        <f ca="1">IFERROR(__xludf.DUMMYFUNCTION("""COMPUTED_VALUE"""),44614)</f>
        <v>44614</v>
      </c>
      <c r="E505" s="20" t="str">
        <f ca="1">IFERROR(__xludf.DUMMYFUNCTION("""COMPUTED_VALUE"""),"NO")</f>
        <v>NO</v>
      </c>
      <c r="F505" s="20" t="str">
        <f ca="1">IFERROR(__xludf.DUMMYFUNCTION("""COMPUTED_VALUE"""),"ASUNTOS CONSTITUCIONALES, JUSTICIA Y ACUERDOS")</f>
        <v>ASUNTOS CONSTITUCIONALES, JUSTICIA Y ACUERDOS</v>
      </c>
      <c r="G505" s="20">
        <f ca="1">IFERROR(__xludf.DUMMYFUNCTION("""COMPUTED_VALUE"""),1)</f>
        <v>1</v>
      </c>
      <c r="H505" s="20">
        <f ca="1">IFERROR(__xludf.DUMMYFUNCTION("""COMPUTED_VALUE"""),2)</f>
        <v>2</v>
      </c>
      <c r="I505" s="20">
        <f ca="1">IFERROR(__xludf.DUMMYFUNCTION("""COMPUTED_VALUE"""),1)</f>
        <v>1</v>
      </c>
      <c r="J505" s="20" t="str">
        <f ca="1">IFERROR(__xludf.DUMMYFUNCTION("""COMPUTED_VALUE"""),"Pliego")</f>
        <v>Pliego</v>
      </c>
      <c r="K505" s="20">
        <f ca="1">IFERROR(__xludf.DUMMYFUNCTION("""COMPUTED_VALUE"""),34407)</f>
        <v>34407</v>
      </c>
      <c r="L505" s="20" t="str">
        <f ca="1">IFERROR(__xludf.DUMMYFUNCTION("""COMPUTED_VALUE"""),"Poder Ejecutivo Provincial")</f>
        <v>Poder Ejecutivo Provincial</v>
      </c>
      <c r="M505" s="20" t="str">
        <f ca="1">IFERROR(__xludf.DUMMYFUNCTION("""COMPUTED_VALUE"""),"Solicitando acuerdo para designar al abogado Andrés Matías Moreno, como Vocal de Cámara Laboral en la Cámara del Trabajo, perteneciente a la Cuarta Circunscripción Judicial con asiento en la ciudad de Villa María.")</f>
        <v>Solicitando acuerdo para designar al abogado Andrés Matías Moreno, como Vocal de Cámara Laboral en la Cámara del Trabajo, perteneciente a la Cuarta Circunscripción Judicial con asiento en la ciudad de Villa María.</v>
      </c>
      <c r="N505" s="20" t="str">
        <f ca="1">IFERROR(__xludf.DUMMYFUNCTION("""COMPUTED_VALUE"""),"SI")</f>
        <v>SI</v>
      </c>
      <c r="O505" s="20" t="str">
        <f ca="1">IFERROR(__xludf.DUMMYFUNCTION("""COMPUTED_VALUE"""),"NO")</f>
        <v>NO</v>
      </c>
      <c r="P505" s="20">
        <f ca="1">IFERROR(__xludf.DUMMYFUNCTION("""COMPUTED_VALUE"""),0)</f>
        <v>0</v>
      </c>
      <c r="Q505" s="113" t="str">
        <f ca="1">IFERROR(__xludf.DUMMYFUNCTION("""COMPUTED_VALUE"""),"https://gld.legislaturacba.gob.ar/_cdd/api/Documento/descargar?guid=1524f9be-d063-4097-9fc9-191bdc2812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v>
      </c>
      <c r="R505" s="113" t="str">
        <f ca="1">IFERROR(__xludf.DUMMYFUNCTION("""COMPUTED_VALUE"""),"https://www.youtube.com/watch?v=1k406hRGYWM")</f>
        <v>https://www.youtube.com/watch?v=1k406hRGYWM</v>
      </c>
      <c r="S505" s="113" t="str">
        <f ca="1">IFERROR(__xludf.DUMMYFUNCTION("""COMPUTED_VALUE"""),"https://gld.legislaturacba.gob.ar/Publics/Actas.aspx?id=1CEIVmy1Vfs=")</f>
        <v>https://gld.legislaturacba.gob.ar/Publics/Actas.aspx?id=1CEIVmy1Vfs=</v>
      </c>
      <c r="T505" s="99">
        <f t="shared" ca="1" si="0"/>
        <v>0</v>
      </c>
    </row>
    <row r="506" spans="1:20">
      <c r="A506" s="20">
        <f ca="1">IFERROR(__xludf.DUMMYFUNCTION("""COMPUTED_VALUE"""),10)</f>
        <v>10</v>
      </c>
      <c r="B506" s="20">
        <f ca="1">IFERROR(__xludf.DUMMYFUNCTION("""COMPUTED_VALUE"""),2022)</f>
        <v>2022</v>
      </c>
      <c r="C506" s="20" t="str">
        <f ca="1">IFERROR(__xludf.DUMMYFUNCTION("""COMPUTED_VALUE"""),"VIRTUAL")</f>
        <v>VIRTUAL</v>
      </c>
      <c r="D506" s="106">
        <f ca="1">IFERROR(__xludf.DUMMYFUNCTION("""COMPUTED_VALUE"""),44614)</f>
        <v>44614</v>
      </c>
      <c r="E506" s="20" t="str">
        <f ca="1">IFERROR(__xludf.DUMMYFUNCTION("""COMPUTED_VALUE"""),"SI")</f>
        <v>SI</v>
      </c>
      <c r="F506"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506" s="20">
        <f ca="1">IFERROR(__xludf.DUMMYFUNCTION("""COMPUTED_VALUE"""),3)</f>
        <v>3</v>
      </c>
      <c r="H506" s="20">
        <f ca="1">IFERROR(__xludf.DUMMYFUNCTION("""COMPUTED_VALUE"""),1)</f>
        <v>1</v>
      </c>
      <c r="I506" s="20">
        <f ca="1">IFERROR(__xludf.DUMMYFUNCTION("""COMPUTED_VALUE"""),1)</f>
        <v>1</v>
      </c>
      <c r="J506" s="20" t="str">
        <f ca="1">IFERROR(__xludf.DUMMYFUNCTION("""COMPUTED_VALUE"""),"Ley")</f>
        <v>Ley</v>
      </c>
      <c r="K506" s="20">
        <f ca="1">IFERROR(__xludf.DUMMYFUNCTION("""COMPUTED_VALUE"""),34406)</f>
        <v>34406</v>
      </c>
      <c r="L506" s="20" t="str">
        <f ca="1">IFERROR(__xludf.DUMMYFUNCTION("""COMPUTED_VALUE"""),"Poder Ejecutivo Provincial")</f>
        <v>Poder Ejecutivo Provincial</v>
      </c>
      <c r="M506" s="20" t="str">
        <f ca="1">IFERROR(__xludf.DUMMYFUNCTION("""COMPUTED_VALUE"""),"Ratificando el ""Consenso Fiscal 2021"" celebrado entre el Estado Nacional, la Provincia de Córdoba y demás provincias suscribientes, de fecha 27 de diciembre de 2021.")</f>
        <v>Ratificando el "Consenso Fiscal 2021" celebrado entre el Estado Nacional, la Provincia de Córdoba y demás provincias suscribientes, de fecha 27 de diciembre de 2021.</v>
      </c>
      <c r="N506" s="20" t="str">
        <f ca="1">IFERROR(__xludf.DUMMYFUNCTION("""COMPUTED_VALUE"""),"SI")</f>
        <v>SI</v>
      </c>
      <c r="O506" s="20" t="str">
        <f ca="1">IFERROR(__xludf.DUMMYFUNCTION("""COMPUTED_VALUE"""),"NO")</f>
        <v>NO</v>
      </c>
      <c r="P506" s="20">
        <f ca="1">IFERROR(__xludf.DUMMYFUNCTION("""COMPUTED_VALUE"""),0)</f>
        <v>0</v>
      </c>
      <c r="Q506" s="113" t="str">
        <f ca="1">IFERROR(__xludf.DUMMYFUNCTION("""COMPUTED_VALUE"""),"https://gld.legislaturacba.gob.ar/_cdd/api/Documento/descargar?guid=6af2b892-f335-4284-8016-5575c7960fac&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v>
      </c>
      <c r="R506" s="113" t="str">
        <f ca="1">IFERROR(__xludf.DUMMYFUNCTION("""COMPUTED_VALUE"""),"https://www.youtube.com/watch?v=oPr42jh4l2g")</f>
        <v>https://www.youtube.com/watch?v=oPr42jh4l2g</v>
      </c>
      <c r="S506" s="113" t="str">
        <f ca="1">IFERROR(__xludf.DUMMYFUNCTION("""COMPUTED_VALUE"""),"https://gld.legislaturacba.gob.ar/Publics/Actas.aspx?id=aniw85wvOYg=;https://gld.legislaturacba.gob.ar/Publics/Actas.aspx?id=20OSoX9bKV8=;https://gld.legislaturacba.gob.ar/Publics/Actas.aspx?id=O5i0_uHY1HY=")</f>
        <v>https://gld.legislaturacba.gob.ar/Publics/Actas.aspx?id=aniw85wvOYg=;https://gld.legislaturacba.gob.ar/Publics/Actas.aspx?id=20OSoX9bKV8=;https://gld.legislaturacba.gob.ar/Publics/Actas.aspx?id=O5i0_uHY1HY=</v>
      </c>
      <c r="T506" s="99">
        <f t="shared" ca="1" si="0"/>
        <v>0</v>
      </c>
    </row>
    <row r="507" spans="1:20">
      <c r="A507" s="20">
        <f ca="1">IFERROR(__xludf.DUMMYFUNCTION("""COMPUTED_VALUE"""),11)</f>
        <v>11</v>
      </c>
      <c r="B507" s="20">
        <f ca="1">IFERROR(__xludf.DUMMYFUNCTION("""COMPUTED_VALUE"""),2022)</f>
        <v>2022</v>
      </c>
      <c r="C507" s="20" t="str">
        <f ca="1">IFERROR(__xludf.DUMMYFUNCTION("""COMPUTED_VALUE"""),"VIRTUAL")</f>
        <v>VIRTUAL</v>
      </c>
      <c r="D507" s="106">
        <f ca="1">IFERROR(__xludf.DUMMYFUNCTION("""COMPUTED_VALUE"""),44614)</f>
        <v>44614</v>
      </c>
      <c r="E507" s="20" t="str">
        <f ca="1">IFERROR(__xludf.DUMMYFUNCTION("""COMPUTED_VALUE"""),"NO")</f>
        <v>NO</v>
      </c>
      <c r="F507" s="20" t="str">
        <f ca="1">IFERROR(__xludf.DUMMYFUNCTION("""COMPUTED_VALUE"""),"PROMOCIÓN Y DEFENSA DE LOS DERECHOS DE LA NIÑEZ, ADOLESCENCIA Y FAMILIA")</f>
        <v>PROMOCIÓN Y DEFENSA DE LOS DERECHOS DE LA NIÑEZ, ADOLESCENCIA Y FAMILIA</v>
      </c>
      <c r="G507" s="20">
        <f ca="1">IFERROR(__xludf.DUMMYFUNCTION("""COMPUTED_VALUE"""),1)</f>
        <v>1</v>
      </c>
      <c r="H507" s="20">
        <f ca="1">IFERROR(__xludf.DUMMYFUNCTION("""COMPUTED_VALUE"""),1)</f>
        <v>1</v>
      </c>
      <c r="I507" s="20">
        <f ca="1">IFERROR(__xludf.DUMMYFUNCTION("""COMPUTED_VALUE"""),1)</f>
        <v>1</v>
      </c>
      <c r="J507" s="20" t="str">
        <f ca="1">IFERROR(__xludf.DUMMYFUNCTION("""COMPUTED_VALUE"""),"NA")</f>
        <v>NA</v>
      </c>
      <c r="K507" s="20" t="str">
        <f ca="1">IFERROR(__xludf.DUMMYFUNCTION("""COMPUTED_VALUE"""),"NA")</f>
        <v>NA</v>
      </c>
      <c r="L507" s="20" t="str">
        <f ca="1">IFERROR(__xludf.DUMMYFUNCTION("""COMPUTED_VALUE"""),"NA")</f>
        <v>NA</v>
      </c>
      <c r="M507" s="20" t="str">
        <f ca="1">IFERROR(__xludf.DUMMYFUNCTION("""COMPUTED_VALUE"""),"Fijar agenda y cronograma de actividades de la comisión.")</f>
        <v>Fijar agenda y cronograma de actividades de la comisión.</v>
      </c>
      <c r="N507" s="20" t="str">
        <f ca="1">IFERROR(__xludf.DUMMYFUNCTION("""COMPUTED_VALUE"""),"NA")</f>
        <v>NA</v>
      </c>
      <c r="O507" s="20" t="str">
        <f ca="1">IFERROR(__xludf.DUMMYFUNCTION("""COMPUTED_VALUE"""),"NO")</f>
        <v>NO</v>
      </c>
      <c r="P507" s="20">
        <f ca="1">IFERROR(__xludf.DUMMYFUNCTION("""COMPUTED_VALUE"""),0)</f>
        <v>0</v>
      </c>
      <c r="Q507" s="113" t="str">
        <f ca="1">IFERROR(__xludf.DUMMYFUNCTION("""COMPUTED_VALUE"""),"https://gld.legislaturacba.gob.ar/_cdd/api/Documento/descargar?guid=b4086c23-9659-4355-89d2-12b70ba5872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v>
      </c>
      <c r="R507" s="113" t="str">
        <f ca="1">IFERROR(__xludf.DUMMYFUNCTION("""COMPUTED_VALUE"""),"https://www.youtube.com/watch?v=cy5zTvFOZNU")</f>
        <v>https://www.youtube.com/watch?v=cy5zTvFOZNU</v>
      </c>
      <c r="S507" s="113" t="str">
        <f ca="1">IFERROR(__xludf.DUMMYFUNCTION("""COMPUTED_VALUE"""),"https://gld.legislaturacba.gob.ar/Publics/Actas.aspx?id=Odv8BFo0s_k=")</f>
        <v>https://gld.legislaturacba.gob.ar/Publics/Actas.aspx?id=Odv8BFo0s_k=</v>
      </c>
      <c r="T507" s="99">
        <f t="shared" ca="1" si="0"/>
        <v>0</v>
      </c>
    </row>
    <row r="508" spans="1:20">
      <c r="A508" s="20">
        <f ca="1">IFERROR(__xludf.DUMMYFUNCTION("""COMPUTED_VALUE"""),12)</f>
        <v>12</v>
      </c>
      <c r="B508" s="20">
        <f ca="1">IFERROR(__xludf.DUMMYFUNCTION("""COMPUTED_VALUE"""),2022)</f>
        <v>2022</v>
      </c>
      <c r="C508" s="20" t="str">
        <f ca="1">IFERROR(__xludf.DUMMYFUNCTION("""COMPUTED_VALUE"""),"VIRTUAL")</f>
        <v>VIRTUAL</v>
      </c>
      <c r="D508" s="106">
        <f ca="1">IFERROR(__xludf.DUMMYFUNCTION("""COMPUTED_VALUE"""),44616)</f>
        <v>44616</v>
      </c>
      <c r="E508" s="20" t="str">
        <f ca="1">IFERROR(__xludf.DUMMYFUNCTION("""COMPUTED_VALUE"""),"NO")</f>
        <v>NO</v>
      </c>
      <c r="F508" s="20" t="str">
        <f ca="1">IFERROR(__xludf.DUMMYFUNCTION("""COMPUTED_VALUE"""),"ASUNTOS INSTITUCIONALES, MUNICIPALES Y COMUNALES")</f>
        <v>ASUNTOS INSTITUCIONALES, MUNICIPALES Y COMUNALES</v>
      </c>
      <c r="G508" s="20">
        <f ca="1">IFERROR(__xludf.DUMMYFUNCTION("""COMPUTED_VALUE"""),1)</f>
        <v>1</v>
      </c>
      <c r="H508" s="20">
        <f ca="1">IFERROR(__xludf.DUMMYFUNCTION("""COMPUTED_VALUE"""),1)</f>
        <v>1</v>
      </c>
      <c r="I508" s="20">
        <f ca="1">IFERROR(__xludf.DUMMYFUNCTION("""COMPUTED_VALUE"""),1)</f>
        <v>1</v>
      </c>
      <c r="J508" s="20" t="str">
        <f ca="1">IFERROR(__xludf.DUMMYFUNCTION("""COMPUTED_VALUE"""),"Ley")</f>
        <v>Ley</v>
      </c>
      <c r="K508" s="20">
        <f ca="1">IFERROR(__xludf.DUMMYFUNCTION("""COMPUTED_VALUE"""),34522)</f>
        <v>34522</v>
      </c>
      <c r="L508" s="20" t="str">
        <f ca="1">IFERROR(__xludf.DUMMYFUNCTION("""COMPUTED_VALUE"""),"Poder Ejecutivo Provincial")</f>
        <v>Poder Ejecutivo Provincial</v>
      </c>
      <c r="M508" s="20" t="str">
        <f ca="1">IFERROR(__xludf.DUMMYFUNCTION("""COMPUTED_VALUE"""),"Modificando el radio municipal de la localidad de Plaza Luxardo, Departament San Justo")</f>
        <v>Modificando el radio municipal de la localidad de Plaza Luxardo, Departament San Justo</v>
      </c>
      <c r="N508" s="20" t="str">
        <f ca="1">IFERROR(__xludf.DUMMYFUNCTION("""COMPUTED_VALUE"""),"SI")</f>
        <v>SI</v>
      </c>
      <c r="O508" s="20" t="str">
        <f ca="1">IFERROR(__xludf.DUMMYFUNCTION("""COMPUTED_VALUE"""),"NO")</f>
        <v>NO</v>
      </c>
      <c r="P508" s="20">
        <f ca="1">IFERROR(__xludf.DUMMYFUNCTION("""COMPUTED_VALUE"""),0)</f>
        <v>0</v>
      </c>
      <c r="Q508" s="113" t="str">
        <f ca="1">IFERROR(__xludf.DUMMYFUNCTION("""COMPUTED_VALUE"""),"https://gld.legislaturacba.gob.ar/_cdd/api/Documento/descargar?guid=33292ab7-23cc-455b-bb99-734923d6d970&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v>
      </c>
      <c r="R508" s="113" t="str">
        <f ca="1">IFERROR(__xludf.DUMMYFUNCTION("""COMPUTED_VALUE"""),"https://www.youtube.com/watch?v=9yHkvDFO8aU")</f>
        <v>https://www.youtube.com/watch?v=9yHkvDFO8aU</v>
      </c>
      <c r="S508" s="113" t="str">
        <f ca="1">IFERROR(__xludf.DUMMYFUNCTION("""COMPUTED_VALUE"""),"https://gld.legislaturacba.gob.ar/Publics/Actas.aspx?id=N15b07RQ_rs=")</f>
        <v>https://gld.legislaturacba.gob.ar/Publics/Actas.aspx?id=N15b07RQ_rs=</v>
      </c>
      <c r="T508" s="99">
        <f t="shared" ca="1" si="0"/>
        <v>0</v>
      </c>
    </row>
    <row r="509" spans="1:20">
      <c r="A509" s="20">
        <f ca="1">IFERROR(__xludf.DUMMYFUNCTION("""COMPUTED_VALUE"""),13)</f>
        <v>13</v>
      </c>
      <c r="B509" s="20">
        <f ca="1">IFERROR(__xludf.DUMMYFUNCTION("""COMPUTED_VALUE"""),2022)</f>
        <v>2022</v>
      </c>
      <c r="C509" s="20" t="str">
        <f ca="1">IFERROR(__xludf.DUMMYFUNCTION("""COMPUTED_VALUE"""),"VIRTUAL")</f>
        <v>VIRTUAL</v>
      </c>
      <c r="D509" s="106">
        <f ca="1">IFERROR(__xludf.DUMMYFUNCTION("""COMPUTED_VALUE"""),44622)</f>
        <v>44622</v>
      </c>
      <c r="E509" s="20" t="str">
        <f ca="1">IFERROR(__xludf.DUMMYFUNCTION("""COMPUTED_VALUE"""),"NO")</f>
        <v>NO</v>
      </c>
      <c r="F509" s="20" t="str">
        <f ca="1">IFERROR(__xludf.DUMMYFUNCTION("""COMPUTED_VALUE"""),"LEGISLACIÓN GENERAL")</f>
        <v>LEGISLACIÓN GENERAL</v>
      </c>
      <c r="G509" s="20">
        <f ca="1">IFERROR(__xludf.DUMMYFUNCTION("""COMPUTED_VALUE"""),1)</f>
        <v>1</v>
      </c>
      <c r="H509" s="20">
        <f ca="1">IFERROR(__xludf.DUMMYFUNCTION("""COMPUTED_VALUE"""),2)</f>
        <v>2</v>
      </c>
      <c r="I509" s="20">
        <f ca="1">IFERROR(__xludf.DUMMYFUNCTION("""COMPUTED_VALUE"""),1)</f>
        <v>1</v>
      </c>
      <c r="J509" s="20" t="str">
        <f ca="1">IFERROR(__xludf.DUMMYFUNCTION("""COMPUTED_VALUE"""),"Ley")</f>
        <v>Ley</v>
      </c>
      <c r="K509" s="20">
        <f ca="1">IFERROR(__xludf.DUMMYFUNCTION("""COMPUTED_VALUE"""),34522)</f>
        <v>34522</v>
      </c>
      <c r="L509" s="20" t="str">
        <f ca="1">IFERROR(__xludf.DUMMYFUNCTION("""COMPUTED_VALUE"""),"Poder Ejecutivo Provincial")</f>
        <v>Poder Ejecutivo Provincial</v>
      </c>
      <c r="M509" s="20" t="str">
        <f ca="1">IFERROR(__xludf.DUMMYFUNCTION("""COMPUTED_VALUE"""),"Modificando el radio municipal de la localidad de Plaza Luxardo, Departamento San Justo")</f>
        <v>Modificando el radio municipal de la localidad de Plaza Luxardo, Departamento San Justo</v>
      </c>
      <c r="N509" s="20" t="str">
        <f ca="1">IFERROR(__xludf.DUMMYFUNCTION("""COMPUTED_VALUE"""),"NO")</f>
        <v>NO</v>
      </c>
      <c r="O509" s="20" t="str">
        <f ca="1">IFERROR(__xludf.DUMMYFUNCTION("""COMPUTED_VALUE"""),"NO")</f>
        <v>NO</v>
      </c>
      <c r="P509" s="20">
        <f ca="1">IFERROR(__xludf.DUMMYFUNCTION("""COMPUTED_VALUE"""),0)</f>
        <v>0</v>
      </c>
      <c r="Q509" s="113" t="str">
        <f ca="1">IFERROR(__xludf.DUMMYFUNCTION("""COMPUTED_VALUE"""),"https://gld.legislaturacba.gob.ar/_cdd/api/Documento/descargar?guid=3393ffe2-a8ab-4a18-be9c-3bc7ec256f1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v>
      </c>
      <c r="R509" s="113" t="str">
        <f ca="1">IFERROR(__xludf.DUMMYFUNCTION("""COMPUTED_VALUE"""),"https://www.youtube.com/watch?v=Lq41TFeOyKM")</f>
        <v>https://www.youtube.com/watch?v=Lq41TFeOyKM</v>
      </c>
      <c r="S509" s="113" t="str">
        <f ca="1">IFERROR(__xludf.DUMMYFUNCTION("""COMPUTED_VALUE"""),"https://gld.legislaturacba.gob.ar/Publics/Actas.aspx?id=usH9e5uYKYQ=")</f>
        <v>https://gld.legislaturacba.gob.ar/Publics/Actas.aspx?id=usH9e5uYKYQ=</v>
      </c>
      <c r="T509" s="99">
        <f t="shared" ca="1" si="0"/>
        <v>0</v>
      </c>
    </row>
    <row r="510" spans="1:20">
      <c r="A510" s="20">
        <f ca="1">IFERROR(__xludf.DUMMYFUNCTION("""COMPUTED_VALUE"""),14)</f>
        <v>14</v>
      </c>
      <c r="B510" s="20">
        <f ca="1">IFERROR(__xludf.DUMMYFUNCTION("""COMPUTED_VALUE"""),2022)</f>
        <v>2022</v>
      </c>
      <c r="C510" s="20" t="str">
        <f ca="1">IFERROR(__xludf.DUMMYFUNCTION("""COMPUTED_VALUE"""),"VIRTUAL")</f>
        <v>VIRTUAL</v>
      </c>
      <c r="D510" s="106">
        <f ca="1">IFERROR(__xludf.DUMMYFUNCTION("""COMPUTED_VALUE"""),44623)</f>
        <v>44623</v>
      </c>
      <c r="E510" s="20" t="str">
        <f ca="1">IFERROR(__xludf.DUMMYFUNCTION("""COMPUTED_VALUE"""),"NO")</f>
        <v>NO</v>
      </c>
      <c r="F510" s="20" t="str">
        <f ca="1">IFERROR(__xludf.DUMMYFUNCTION("""COMPUTED_VALUE"""),"ASUNTOS CONSTITUCIONALES, JUSTICIA Y ACUERDOS")</f>
        <v>ASUNTOS CONSTITUCIONALES, JUSTICIA Y ACUERDOS</v>
      </c>
      <c r="G510" s="20">
        <f ca="1">IFERROR(__xludf.DUMMYFUNCTION("""COMPUTED_VALUE"""),1)</f>
        <v>1</v>
      </c>
      <c r="H510" s="20">
        <f ca="1">IFERROR(__xludf.DUMMYFUNCTION("""COMPUTED_VALUE"""),5)</f>
        <v>5</v>
      </c>
      <c r="I510" s="20">
        <f ca="1">IFERROR(__xludf.DUMMYFUNCTION("""COMPUTED_VALUE"""),1)</f>
        <v>1</v>
      </c>
      <c r="J510" s="20" t="str">
        <f ca="1">IFERROR(__xludf.DUMMYFUNCTION("""COMPUTED_VALUE"""),"Pliego")</f>
        <v>Pliego</v>
      </c>
      <c r="K510" s="20">
        <f ca="1">IFERROR(__xludf.DUMMYFUNCTION("""COMPUTED_VALUE"""),34506)</f>
        <v>34506</v>
      </c>
      <c r="L510" s="20" t="str">
        <f ca="1">IFERROR(__xludf.DUMMYFUNCTION("""COMPUTED_VALUE"""),"Poder Ejecutivo Provincial")</f>
        <v>Poder Ejecutivo Provincial</v>
      </c>
      <c r="M510" s="20" t="str">
        <f ca="1">IFERROR(__xludf.DUMMYFUNCTION("""COMPUTED_VALUE"""),"Solicitando acuerdo para designar a la abogada María Soledad Puigdellibol, como Vocal de la Cámara Contencioso Administrativa de 2ª Nominación, perteneciente a la Primera Circunscripción Judicial con asiento en la ciudad de Córdoba")</f>
        <v>Solicitando acuerdo para designar a la abogada María Soledad Puigdellibol, como Vocal de la Cámara Contencioso Administrativa de 2ª Nominación, perteneciente a la Primera Circunscripción Judicial con asiento en la ciudad de Córdoba</v>
      </c>
      <c r="N510" s="20" t="str">
        <f ca="1">IFERROR(__xludf.DUMMYFUNCTION("""COMPUTED_VALUE"""),"SI")</f>
        <v>SI</v>
      </c>
      <c r="O510" s="20" t="str">
        <f ca="1">IFERROR(__xludf.DUMMYFUNCTION("""COMPUTED_VALUE"""),"NO")</f>
        <v>NO</v>
      </c>
      <c r="P510" s="20">
        <f ca="1">IFERROR(__xludf.DUMMYFUNCTION("""COMPUTED_VALUE"""),0)</f>
        <v>0</v>
      </c>
      <c r="Q510" s="113" t="str">
        <f ca="1">IFERROR(__xludf.DUMMYFUNCTION("""COMPUTED_VALUE"""),"https://gld.legislaturacba.gob.ar/_cdd/api/Documento/descargar?guid=89bb4026-79f2-4d2c-9138-70cdd08d2009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v>
      </c>
      <c r="R510" s="113" t="str">
        <f ca="1">IFERROR(__xludf.DUMMYFUNCTION("""COMPUTED_VALUE"""),"https://www.youtube.com/watch?v=jkZf1V4UblU")</f>
        <v>https://www.youtube.com/watch?v=jkZf1V4UblU</v>
      </c>
      <c r="S510" s="113" t="str">
        <f ca="1">IFERROR(__xludf.DUMMYFUNCTION("""COMPUTED_VALUE"""),"https://gld.legislaturacba.gob.ar/Publics/Actas.aspx?id=EFF1kz-82zU=")</f>
        <v>https://gld.legislaturacba.gob.ar/Publics/Actas.aspx?id=EFF1kz-82zU=</v>
      </c>
      <c r="T510" s="99">
        <f t="shared" ca="1" si="0"/>
        <v>0</v>
      </c>
    </row>
    <row r="511" spans="1:20">
      <c r="A511" s="20">
        <f ca="1">IFERROR(__xludf.DUMMYFUNCTION("""COMPUTED_VALUE"""),15)</f>
        <v>15</v>
      </c>
      <c r="B511" s="20">
        <f ca="1">IFERROR(__xludf.DUMMYFUNCTION("""COMPUTED_VALUE"""),2022)</f>
        <v>2022</v>
      </c>
      <c r="C511" s="20" t="str">
        <f ca="1">IFERROR(__xludf.DUMMYFUNCTION("""COMPUTED_VALUE"""),"VIRTUAL")</f>
        <v>VIRTUAL</v>
      </c>
      <c r="D511" s="106">
        <f ca="1">IFERROR(__xludf.DUMMYFUNCTION("""COMPUTED_VALUE"""),44623)</f>
        <v>44623</v>
      </c>
      <c r="E511" s="20" t="str">
        <f ca="1">IFERROR(__xludf.DUMMYFUNCTION("""COMPUTED_VALUE"""),"NO")</f>
        <v>NO</v>
      </c>
      <c r="F511" s="20" t="str">
        <f ca="1">IFERROR(__xludf.DUMMYFUNCTION("""COMPUTED_VALUE"""),"ASUNTOS INSTITUCIONALES, MUNICIPALES Y COMUNALES")</f>
        <v>ASUNTOS INSTITUCIONALES, MUNICIPALES Y COMUNALES</v>
      </c>
      <c r="G511" s="20">
        <f ca="1">IFERROR(__xludf.DUMMYFUNCTION("""COMPUTED_VALUE"""),1)</f>
        <v>1</v>
      </c>
      <c r="H511" s="20">
        <f ca="1">IFERROR(__xludf.DUMMYFUNCTION("""COMPUTED_VALUE"""),1)</f>
        <v>1</v>
      </c>
      <c r="I511" s="20">
        <f ca="1">IFERROR(__xludf.DUMMYFUNCTION("""COMPUTED_VALUE"""),1)</f>
        <v>1</v>
      </c>
      <c r="J511" s="20" t="str">
        <f ca="1">IFERROR(__xludf.DUMMYFUNCTION("""COMPUTED_VALUE"""),"Ley")</f>
        <v>Ley</v>
      </c>
      <c r="K511" s="20">
        <f ca="1">IFERROR(__xludf.DUMMYFUNCTION("""COMPUTED_VALUE"""),34523)</f>
        <v>34523</v>
      </c>
      <c r="L511" s="20" t="str">
        <f ca="1">IFERROR(__xludf.DUMMYFUNCTION("""COMPUTED_VALUE"""),"Poder Ejecutivo Provincial")</f>
        <v>Poder Ejecutivo Provincial</v>
      </c>
      <c r="M511" s="20" t="str">
        <f ca="1">IFERROR(__xludf.DUMMYFUNCTION("""COMPUTED_VALUE"""),"Modificando el radio municipal de la localidad de Pascanas, Dpto. Union")</f>
        <v>Modificando el radio municipal de la localidad de Pascanas, Dpto. Union</v>
      </c>
      <c r="N511" s="20" t="str">
        <f ca="1">IFERROR(__xludf.DUMMYFUNCTION("""COMPUTED_VALUE"""),"SI")</f>
        <v>SI</v>
      </c>
      <c r="O511" s="20" t="str">
        <f ca="1">IFERROR(__xludf.DUMMYFUNCTION("""COMPUTED_VALUE"""),"NO")</f>
        <v>NO</v>
      </c>
      <c r="P511" s="20">
        <f ca="1">IFERROR(__xludf.DUMMYFUNCTION("""COMPUTED_VALUE"""),0)</f>
        <v>0</v>
      </c>
      <c r="Q511" s="113" t="str">
        <f ca="1">IFERROR(__xludf.DUMMYFUNCTION("""COMPUTED_VALUE"""),"https://gld.legislaturacba.gob.ar/_cdd/api/Documento/descargar?guid=407304c6-a99d-40b1-996e-bdde56b80baa&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v>
      </c>
      <c r="R511" s="113" t="str">
        <f ca="1">IFERROR(__xludf.DUMMYFUNCTION("""COMPUTED_VALUE"""),"https://www.youtube.com/watch?v=2ztWGDKp-vM")</f>
        <v>https://www.youtube.com/watch?v=2ztWGDKp-vM</v>
      </c>
      <c r="S511" s="113" t="str">
        <f ca="1">IFERROR(__xludf.DUMMYFUNCTION("""COMPUTED_VALUE"""),"https://gld.legislaturacba.gob.ar/Publics/Actas.aspx?id=3Wo6yHPgUPQ=")</f>
        <v>https://gld.legislaturacba.gob.ar/Publics/Actas.aspx?id=3Wo6yHPgUPQ=</v>
      </c>
      <c r="T511" s="99">
        <f t="shared" ca="1" si="0"/>
        <v>0</v>
      </c>
    </row>
    <row r="512" spans="1:20">
      <c r="A512" s="20">
        <f ca="1">IFERROR(__xludf.DUMMYFUNCTION("""COMPUTED_VALUE"""),16)</f>
        <v>16</v>
      </c>
      <c r="B512" s="20">
        <f ca="1">IFERROR(__xludf.DUMMYFUNCTION("""COMPUTED_VALUE"""),2022)</f>
        <v>2022</v>
      </c>
      <c r="C512" s="20" t="str">
        <f ca="1">IFERROR(__xludf.DUMMYFUNCTION("""COMPUTED_VALUE"""),"VIRTUAL")</f>
        <v>VIRTUAL</v>
      </c>
      <c r="D512" s="106">
        <f ca="1">IFERROR(__xludf.DUMMYFUNCTION("""COMPUTED_VALUE"""),44623)</f>
        <v>44623</v>
      </c>
      <c r="E512" s="20" t="str">
        <f ca="1">IFERROR(__xludf.DUMMYFUNCTION("""COMPUTED_VALUE"""),"NO")</f>
        <v>NO</v>
      </c>
      <c r="F512" s="20" t="str">
        <f ca="1">IFERROR(__xludf.DUMMYFUNCTION("""COMPUTED_VALUE"""),"DERECHOS HUMANOS Y DESARROLLO SOCIAL")</f>
        <v>DERECHOS HUMANOS Y DESARROLLO SOCIAL</v>
      </c>
      <c r="G512" s="20">
        <f ca="1">IFERROR(__xludf.DUMMYFUNCTION("""COMPUTED_VALUE"""),1)</f>
        <v>1</v>
      </c>
      <c r="H512" s="20">
        <f ca="1">IFERROR(__xludf.DUMMYFUNCTION("""COMPUTED_VALUE"""),1)</f>
        <v>1</v>
      </c>
      <c r="I512" s="20">
        <f ca="1">IFERROR(__xludf.DUMMYFUNCTION("""COMPUTED_VALUE"""),1)</f>
        <v>1</v>
      </c>
      <c r="J512" s="20" t="str">
        <f ca="1">IFERROR(__xludf.DUMMYFUNCTION("""COMPUTED_VALUE"""),"NA")</f>
        <v>NA</v>
      </c>
      <c r="K512" s="20" t="str">
        <f ca="1">IFERROR(__xludf.DUMMYFUNCTION("""COMPUTED_VALUE"""),"NA")</f>
        <v>NA</v>
      </c>
      <c r="L512" s="20" t="str">
        <f ca="1">IFERROR(__xludf.DUMMYFUNCTION("""COMPUTED_VALUE"""),"NA")</f>
        <v>NA</v>
      </c>
      <c r="M512" s="20" t="str">
        <f ca="1">IFERROR(__xludf.DUMMYFUNCTION("""COMPUTED_VALUE"""),"Elección de Presidente de Comisión")</f>
        <v>Elección de Presidente de Comisión</v>
      </c>
      <c r="N512" s="20" t="str">
        <f ca="1">IFERROR(__xludf.DUMMYFUNCTION("""COMPUTED_VALUE"""),"NA")</f>
        <v>NA</v>
      </c>
      <c r="O512" s="20" t="str">
        <f ca="1">IFERROR(__xludf.DUMMYFUNCTION("""COMPUTED_VALUE"""),"NO")</f>
        <v>NO</v>
      </c>
      <c r="P512" s="20">
        <f ca="1">IFERROR(__xludf.DUMMYFUNCTION("""COMPUTED_VALUE"""),0)</f>
        <v>0</v>
      </c>
      <c r="Q512" s="113" t="str">
        <f ca="1">IFERROR(__xludf.DUMMYFUNCTION("""COMPUTED_VALUE"""),"https://gld.legislaturacba.gob.ar/_cdd/api/Documento/descargar?guid=3b3c6321-972c-451f-ad24-bea48b308d83&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v>
      </c>
      <c r="R512" s="113" t="str">
        <f ca="1">IFERROR(__xludf.DUMMYFUNCTION("""COMPUTED_VALUE"""),"https://www.youtube.com/watch?v=3VqpupDkTas")</f>
        <v>https://www.youtube.com/watch?v=3VqpupDkTas</v>
      </c>
      <c r="S512" s="113" t="str">
        <f ca="1">IFERROR(__xludf.DUMMYFUNCTION("""COMPUTED_VALUE"""),"https://gld.legislaturacba.gob.ar/Publics/Actas.aspx?id=8p1nhiia4Zw=")</f>
        <v>https://gld.legislaturacba.gob.ar/Publics/Actas.aspx?id=8p1nhiia4Zw=</v>
      </c>
      <c r="T512" s="99">
        <f t="shared" ca="1" si="0"/>
        <v>0</v>
      </c>
    </row>
    <row r="513" spans="1:20">
      <c r="A513" s="20">
        <f ca="1">IFERROR(__xludf.DUMMYFUNCTION("""COMPUTED_VALUE"""),17)</f>
        <v>17</v>
      </c>
      <c r="B513" s="20">
        <f ca="1">IFERROR(__xludf.DUMMYFUNCTION("""COMPUTED_VALUE"""),2022)</f>
        <v>2022</v>
      </c>
      <c r="C513" s="20" t="str">
        <f ca="1">IFERROR(__xludf.DUMMYFUNCTION("""COMPUTED_VALUE"""),"SEMIPRESENCIAL")</f>
        <v>SEMIPRESENCIAL</v>
      </c>
      <c r="D513" s="106">
        <f ca="1">IFERROR(__xludf.DUMMYFUNCTION("""COMPUTED_VALUE"""),44628)</f>
        <v>44628</v>
      </c>
      <c r="E513" s="20" t="str">
        <f ca="1">IFERROR(__xludf.DUMMYFUNCTION("""COMPUTED_VALUE"""),"NO")</f>
        <v>NO</v>
      </c>
      <c r="F513" s="20" t="str">
        <f ca="1">IFERROR(__xludf.DUMMYFUNCTION("""COMPUTED_VALUE"""),"SALUD HUMANA")</f>
        <v>SALUD HUMANA</v>
      </c>
      <c r="G513" s="20">
        <f ca="1">IFERROR(__xludf.DUMMYFUNCTION("""COMPUTED_VALUE"""),1)</f>
        <v>1</v>
      </c>
      <c r="H513" s="20">
        <f ca="1">IFERROR(__xludf.DUMMYFUNCTION("""COMPUTED_VALUE"""),1)</f>
        <v>1</v>
      </c>
      <c r="I513" s="20">
        <f ca="1">IFERROR(__xludf.DUMMYFUNCTION("""COMPUTED_VALUE"""),1)</f>
        <v>1</v>
      </c>
      <c r="J513" s="20" t="str">
        <f ca="1">IFERROR(__xludf.DUMMYFUNCTION("""COMPUTED_VALUE"""),"NA")</f>
        <v>NA</v>
      </c>
      <c r="K513" s="20" t="str">
        <f ca="1">IFERROR(__xludf.DUMMYFUNCTION("""COMPUTED_VALUE"""),"NA")</f>
        <v>NA</v>
      </c>
      <c r="L513" s="20" t="str">
        <f ca="1">IFERROR(__xludf.DUMMYFUNCTION("""COMPUTED_VALUE"""),"NA")</f>
        <v>NA</v>
      </c>
      <c r="M513" s="20" t="str">
        <f ca="1">IFERROR(__xludf.DUMMYFUNCTION("""COMPUTED_VALUE"""),"Informe Sanitario y brindar respuesta a distintos pedidos de informes con estado parlamentario")</f>
        <v>Informe Sanitario y brindar respuesta a distintos pedidos de informes con estado parlamentario</v>
      </c>
      <c r="N513" s="20" t="str">
        <f ca="1">IFERROR(__xludf.DUMMYFUNCTION("""COMPUTED_VALUE"""),"NA")</f>
        <v>NA</v>
      </c>
      <c r="O513" s="20" t="str">
        <f ca="1">IFERROR(__xludf.DUMMYFUNCTION("""COMPUTED_VALUE"""),"SI")</f>
        <v>SI</v>
      </c>
      <c r="P513" s="20">
        <f ca="1">IFERROR(__xludf.DUMMYFUNCTION("""COMPUTED_VALUE"""),18)</f>
        <v>18</v>
      </c>
      <c r="Q513" s="113" t="str">
        <f ca="1">IFERROR(__xludf.DUMMYFUNCTION("""COMPUTED_VALUE"""),"https://gld.legislaturacba.gob.ar/_cdd/api/Documento/descargar?guid=f3f22be0-4174-4bd0-84c1-6222f7ed052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v>
      </c>
      <c r="R513" s="113" t="str">
        <f ca="1">IFERROR(__xludf.DUMMYFUNCTION("""COMPUTED_VALUE"""),"https://www.youtube.com/watch?v=jLSdFtcmTVk")</f>
        <v>https://www.youtube.com/watch?v=jLSdFtcmTVk</v>
      </c>
      <c r="S513" s="113" t="str">
        <f ca="1">IFERROR(__xludf.DUMMYFUNCTION("""COMPUTED_VALUE"""),"https://gld.legislaturacba.gob.ar/Publics/Actas.aspx?id=L36J39d-lIg=")</f>
        <v>https://gld.legislaturacba.gob.ar/Publics/Actas.aspx?id=L36J39d-lIg=</v>
      </c>
      <c r="T513" s="99">
        <f t="shared" ca="1" si="0"/>
        <v>0</v>
      </c>
    </row>
    <row r="514" spans="1:20">
      <c r="A514" s="20">
        <f ca="1">IFERROR(__xludf.DUMMYFUNCTION("""COMPUTED_VALUE"""),18)</f>
        <v>18</v>
      </c>
      <c r="B514" s="20">
        <f ca="1">IFERROR(__xludf.DUMMYFUNCTION("""COMPUTED_VALUE"""),2022)</f>
        <v>2022</v>
      </c>
      <c r="C514" s="20" t="str">
        <f ca="1">IFERROR(__xludf.DUMMYFUNCTION("""COMPUTED_VALUE"""),"VIRTUAL")</f>
        <v>VIRTUAL</v>
      </c>
      <c r="D514" s="106">
        <f ca="1">IFERROR(__xludf.DUMMYFUNCTION("""COMPUTED_VALUE"""),44628)</f>
        <v>44628</v>
      </c>
      <c r="E514" s="20" t="str">
        <f ca="1">IFERROR(__xludf.DUMMYFUNCTION("""COMPUTED_VALUE"""),"NO")</f>
        <v>NO</v>
      </c>
      <c r="F514" s="20" t="str">
        <f ca="1">IFERROR(__xludf.DUMMYFUNCTION("""COMPUTED_VALUE"""),"DEPORTES Y RECREACIÓN")</f>
        <v>DEPORTES Y RECREACIÓN</v>
      </c>
      <c r="G514" s="20">
        <f ca="1">IFERROR(__xludf.DUMMYFUNCTION("""COMPUTED_VALUE"""),1)</f>
        <v>1</v>
      </c>
      <c r="H514" s="20">
        <f ca="1">IFERROR(__xludf.DUMMYFUNCTION("""COMPUTED_VALUE"""),1)</f>
        <v>1</v>
      </c>
      <c r="I514" s="20">
        <f ca="1">IFERROR(__xludf.DUMMYFUNCTION("""COMPUTED_VALUE"""),1)</f>
        <v>1</v>
      </c>
      <c r="J514" s="20" t="str">
        <f ca="1">IFERROR(__xludf.DUMMYFUNCTION("""COMPUTED_VALUE"""),"NA")</f>
        <v>NA</v>
      </c>
      <c r="K514" s="20" t="str">
        <f ca="1">IFERROR(__xludf.DUMMYFUNCTION("""COMPUTED_VALUE"""),"NA")</f>
        <v>NA</v>
      </c>
      <c r="L514" s="20" t="str">
        <f ca="1">IFERROR(__xludf.DUMMYFUNCTION("""COMPUTED_VALUE"""),"NA")</f>
        <v>NA</v>
      </c>
      <c r="M514" s="20" t="str">
        <f ca="1">IFERROR(__xludf.DUMMYFUNCTION("""COMPUTED_VALUE"""),"Anteproyecto que prorroga la suspensión de ejecuciones dispuestas en proceso judicial que persigan la subasta de bienes inmuebles de asociaciones civiles, clubes o entidades sin fines de lucro")</f>
        <v>Anteproyecto que prorroga la suspensión de ejecuciones dispuestas en proceso judicial que persigan la subasta de bienes inmuebles de asociaciones civiles, clubes o entidades sin fines de lucro</v>
      </c>
      <c r="N514" s="20" t="str">
        <f ca="1">IFERROR(__xludf.DUMMYFUNCTION("""COMPUTED_VALUE"""),"NA")</f>
        <v>NA</v>
      </c>
      <c r="O514" s="20" t="str">
        <f ca="1">IFERROR(__xludf.DUMMYFUNCTION("""COMPUTED_VALUE"""),"NO")</f>
        <v>NO</v>
      </c>
      <c r="P514" s="20">
        <f ca="1">IFERROR(__xludf.DUMMYFUNCTION("""COMPUTED_VALUE"""),0)</f>
        <v>0</v>
      </c>
      <c r="Q514" s="113" t="str">
        <f ca="1">IFERROR(__xludf.DUMMYFUNCTION("""COMPUTED_VALUE"""),"https://gld.legislaturacba.gob.ar/_cdd/api/Documento/descargar?guid=d4f3993b-cc67-4887-8b6d-a7c91eb69a19&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v>
      </c>
      <c r="R514" s="113" t="str">
        <f ca="1">IFERROR(__xludf.DUMMYFUNCTION("""COMPUTED_VALUE"""),"https://www.youtube.com/watch?v=RA1IQw5hEVU")</f>
        <v>https://www.youtube.com/watch?v=RA1IQw5hEVU</v>
      </c>
      <c r="S514" s="113" t="str">
        <f ca="1">IFERROR(__xludf.DUMMYFUNCTION("""COMPUTED_VALUE"""),"https://gld.legislaturacba.gob.ar/Publics/Actas.aspx?id=YsvpWmoxxI0=")</f>
        <v>https://gld.legislaturacba.gob.ar/Publics/Actas.aspx?id=YsvpWmoxxI0=</v>
      </c>
      <c r="T514" s="99">
        <f t="shared" ca="1" si="0"/>
        <v>0</v>
      </c>
    </row>
    <row r="515" spans="1:20">
      <c r="A515" s="20">
        <f ca="1">IFERROR(__xludf.DUMMYFUNCTION("""COMPUTED_VALUE"""),19)</f>
        <v>19</v>
      </c>
      <c r="B515" s="20">
        <f ca="1">IFERROR(__xludf.DUMMYFUNCTION("""COMPUTED_VALUE"""),2022)</f>
        <v>2022</v>
      </c>
      <c r="C515" s="20" t="str">
        <f ca="1">IFERROR(__xludf.DUMMYFUNCTION("""COMPUTED_VALUE"""),"VIRTUAL")</f>
        <v>VIRTUAL</v>
      </c>
      <c r="D515" s="106">
        <f ca="1">IFERROR(__xludf.DUMMYFUNCTION("""COMPUTED_VALUE"""),44628)</f>
        <v>44628</v>
      </c>
      <c r="E515" s="20" t="str">
        <f ca="1">IFERROR(__xludf.DUMMYFUNCTION("""COMPUTED_VALUE"""),"NO")</f>
        <v>NO</v>
      </c>
      <c r="F515" s="20" t="str">
        <f ca="1">IFERROR(__xludf.DUMMYFUNCTION("""COMPUTED_VALUE"""),"ASUNTOS INSTITUCIONALES, MUNICIPALES Y COMUNALES")</f>
        <v>ASUNTOS INSTITUCIONALES, MUNICIPALES Y COMUNALES</v>
      </c>
      <c r="G515" s="20">
        <f ca="1">IFERROR(__xludf.DUMMYFUNCTION("""COMPUTED_VALUE"""),1)</f>
        <v>1</v>
      </c>
      <c r="H515" s="20">
        <f ca="1">IFERROR(__xludf.DUMMYFUNCTION("""COMPUTED_VALUE"""),1)</f>
        <v>1</v>
      </c>
      <c r="I515" s="20">
        <f ca="1">IFERROR(__xludf.DUMMYFUNCTION("""COMPUTED_VALUE"""),1)</f>
        <v>1</v>
      </c>
      <c r="J515" s="20" t="str">
        <f ca="1">IFERROR(__xludf.DUMMYFUNCTION("""COMPUTED_VALUE"""),"Ley")</f>
        <v>Ley</v>
      </c>
      <c r="K515" s="20">
        <f ca="1">IFERROR(__xludf.DUMMYFUNCTION("""COMPUTED_VALUE"""),34554)</f>
        <v>34554</v>
      </c>
      <c r="L515" s="20" t="str">
        <f ca="1">IFERROR(__xludf.DUMMYFUNCTION("""COMPUTED_VALUE"""),"Poder Ejecutivo Provincial")</f>
        <v>Poder Ejecutivo Provincial</v>
      </c>
      <c r="M515" s="20" t="str">
        <f ca="1">IFERROR(__xludf.DUMMYFUNCTION("""COMPUTED_VALUE"""),"Modificando el radio municipal de la localidad de Villa Las Rosas, Dpto. San Javier.")</f>
        <v>Modificando el radio municipal de la localidad de Villa Las Rosas, Dpto. San Javier.</v>
      </c>
      <c r="N515" s="20" t="str">
        <f ca="1">IFERROR(__xludf.DUMMYFUNCTION("""COMPUTED_VALUE"""),"SI")</f>
        <v>SI</v>
      </c>
      <c r="O515" s="20" t="str">
        <f ca="1">IFERROR(__xludf.DUMMYFUNCTION("""COMPUTED_VALUE"""),"NO")</f>
        <v>NO</v>
      </c>
      <c r="P515" s="20">
        <f ca="1">IFERROR(__xludf.DUMMYFUNCTION("""COMPUTED_VALUE"""),0)</f>
        <v>0</v>
      </c>
      <c r="Q515" s="113" t="str">
        <f ca="1">IFERROR(__xludf.DUMMYFUNCTION("""COMPUTED_VALUE"""),"https://gld.legislaturacba.gob.ar/_cdd/api/Documento/descargar?guid=dcee541a-4627-4f32-8ef8-e4f75bd699a1&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v>
      </c>
      <c r="R515" s="113" t="str">
        <f ca="1">IFERROR(__xludf.DUMMYFUNCTION("""COMPUTED_VALUE"""),"https://www.youtube.com/watch?v=C9h90xYtShY")</f>
        <v>https://www.youtube.com/watch?v=C9h90xYtShY</v>
      </c>
      <c r="S515" s="113" t="str">
        <f ca="1">IFERROR(__xludf.DUMMYFUNCTION("""COMPUTED_VALUE"""),"https://gld.legislaturacba.gob.ar/Publics/Actas.aspx?id=DGho2Zhi_Dg=")</f>
        <v>https://gld.legislaturacba.gob.ar/Publics/Actas.aspx?id=DGho2Zhi_Dg=</v>
      </c>
      <c r="T515" s="99">
        <f t="shared" ca="1" si="0"/>
        <v>0</v>
      </c>
    </row>
    <row r="516" spans="1:20">
      <c r="A516" s="20">
        <f ca="1">IFERROR(__xludf.DUMMYFUNCTION("""COMPUTED_VALUE"""),20)</f>
        <v>20</v>
      </c>
      <c r="B516" s="20">
        <f ca="1">IFERROR(__xludf.DUMMYFUNCTION("""COMPUTED_VALUE"""),2022)</f>
        <v>2022</v>
      </c>
      <c r="C516" s="20" t="str">
        <f ca="1">IFERROR(__xludf.DUMMYFUNCTION("""COMPUTED_VALUE"""),"VIRTUAL")</f>
        <v>VIRTUAL</v>
      </c>
      <c r="D516" s="106">
        <f ca="1">IFERROR(__xludf.DUMMYFUNCTION("""COMPUTED_VALUE"""),44629)</f>
        <v>44629</v>
      </c>
      <c r="E516" s="20" t="str">
        <f ca="1">IFERROR(__xludf.DUMMYFUNCTION("""COMPUTED_VALUE"""),"SI")</f>
        <v>SI</v>
      </c>
      <c r="F516" s="20" t="str">
        <f ca="1">IFERROR(__xludf.DUMMYFUNCTION("""COMPUTED_VALUE"""),"LEGISLACIÓN GENERAL;AMBIENTE")</f>
        <v>LEGISLACIÓN GENERAL;AMBIENTE</v>
      </c>
      <c r="G516" s="20">
        <f ca="1">IFERROR(__xludf.DUMMYFUNCTION("""COMPUTED_VALUE"""),2)</f>
        <v>2</v>
      </c>
      <c r="H516" s="20">
        <f ca="1">IFERROR(__xludf.DUMMYFUNCTION("""COMPUTED_VALUE"""),3)</f>
        <v>3</v>
      </c>
      <c r="I516" s="20">
        <f ca="1">IFERROR(__xludf.DUMMYFUNCTION("""COMPUTED_VALUE"""),1)</f>
        <v>1</v>
      </c>
      <c r="J516" s="20" t="str">
        <f ca="1">IFERROR(__xludf.DUMMYFUNCTION("""COMPUTED_VALUE"""),"Ley")</f>
        <v>Ley</v>
      </c>
      <c r="K516" s="20">
        <f ca="1">IFERROR(__xludf.DUMMYFUNCTION("""COMPUTED_VALUE"""),34518)</f>
        <v>34518</v>
      </c>
      <c r="L516" s="20" t="str">
        <f ca="1">IFERROR(__xludf.DUMMYFUNCTION("""COMPUTED_VALUE"""),"Poder Ejecutivo Provincial")</f>
        <v>Poder Ejecutivo Provincial</v>
      </c>
      <c r="M516" s="20" t="str">
        <f ca="1">IFERROR(__xludf.DUMMYFUNCTION("""COMPUTED_VALUE"""),"Ratificando el Decreto N° 1485/21 modificatorio del Decreto N° 1615/19, que se encuentra ratificado por Ley N° 10.726, que establece la Estructura Orgánica del Poder Ejecutivo de la Provincia y modificando los artículos 1° y 8° de la Ley N° 10115 - creaci"&amp;"ón de la Policía Ambiental de la Provincia-.")</f>
        <v>Ratificando el Decreto N° 1485/21 modificatorio del Decreto N° 1615/19, que se encuentra ratificado por Ley N° 10.726, que establece la Estructura Orgánica del Poder Ejecutivo de la Provincia y modificando los artículos 1° y 8° de la Ley N° 10115 - creación de la Policía Ambiental de la Provincia-.</v>
      </c>
      <c r="N516" s="20" t="str">
        <f ca="1">IFERROR(__xludf.DUMMYFUNCTION("""COMPUTED_VALUE"""),"SI")</f>
        <v>SI</v>
      </c>
      <c r="O516" s="20" t="str">
        <f ca="1">IFERROR(__xludf.DUMMYFUNCTION("""COMPUTED_VALUE"""),"NO")</f>
        <v>NO</v>
      </c>
      <c r="P516" s="20">
        <f ca="1">IFERROR(__xludf.DUMMYFUNCTION("""COMPUTED_VALUE"""),0)</f>
        <v>0</v>
      </c>
      <c r="Q516" s="113" t="str">
        <f ca="1">IFERROR(__xludf.DUMMYFUNCTION("""COMPUTED_VALUE"""),"https://gld.legislaturacba.gob.ar/_cdd/api/Documento/descargar?guid=785cb74f-1ffc-40bc-bc7b-2cb6477ccf3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v>
      </c>
      <c r="R516" s="113" t="str">
        <f ca="1">IFERROR(__xludf.DUMMYFUNCTION("""COMPUTED_VALUE"""),"https://www.youtube.com/watch?v=Vf5KMzjkTI4")</f>
        <v>https://www.youtube.com/watch?v=Vf5KMzjkTI4</v>
      </c>
      <c r="S516" s="113" t="str">
        <f ca="1">IFERROR(__xludf.DUMMYFUNCTION("""COMPUTED_VALUE"""),"https://gld.legislaturacba.gob.ar/Publics/Actas.aspx?id=ZByNTvKZ5ao=;https://gld.legislaturacba.gob.ar/Publics/Actas.aspx?id=F9JwTZE2cnI=")</f>
        <v>https://gld.legislaturacba.gob.ar/Publics/Actas.aspx?id=ZByNTvKZ5ao=;https://gld.legislaturacba.gob.ar/Publics/Actas.aspx?id=F9JwTZE2cnI=</v>
      </c>
      <c r="T516" s="99">
        <f t="shared" ca="1" si="0"/>
        <v>0</v>
      </c>
    </row>
    <row r="517" spans="1:20">
      <c r="A517" s="20">
        <f ca="1">IFERROR(__xludf.DUMMYFUNCTION("""COMPUTED_VALUE"""),21)</f>
        <v>21</v>
      </c>
      <c r="B517" s="20">
        <f ca="1">IFERROR(__xludf.DUMMYFUNCTION("""COMPUTED_VALUE"""),2022)</f>
        <v>2022</v>
      </c>
      <c r="C517" s="20" t="str">
        <f ca="1">IFERROR(__xludf.DUMMYFUNCTION("""COMPUTED_VALUE"""),"SEMIPRESENCIAL")</f>
        <v>SEMIPRESENCIAL</v>
      </c>
      <c r="D517" s="106">
        <f ca="1">IFERROR(__xludf.DUMMYFUNCTION("""COMPUTED_VALUE"""),44630)</f>
        <v>44630</v>
      </c>
      <c r="E517" s="20" t="str">
        <f ca="1">IFERROR(__xludf.DUMMYFUNCTION("""COMPUTED_VALUE"""),"NO")</f>
        <v>NO</v>
      </c>
      <c r="F517" s="20" t="str">
        <f ca="1">IFERROR(__xludf.DUMMYFUNCTION("""COMPUTED_VALUE"""),"EDUCACIÓN, CULTURA, CIENCIA, TECNOLOGÍA E INFORMÁTICA")</f>
        <v>EDUCACIÓN, CULTURA, CIENCIA, TECNOLOGÍA E INFORMÁTICA</v>
      </c>
      <c r="G517" s="20">
        <f ca="1">IFERROR(__xludf.DUMMYFUNCTION("""COMPUTED_VALUE"""),1)</f>
        <v>1</v>
      </c>
      <c r="H517" s="20">
        <f ca="1">IFERROR(__xludf.DUMMYFUNCTION("""COMPUTED_VALUE"""),1)</f>
        <v>1</v>
      </c>
      <c r="I517" s="20">
        <f ca="1">IFERROR(__xludf.DUMMYFUNCTION("""COMPUTED_VALUE"""),1)</f>
        <v>1</v>
      </c>
      <c r="J517" s="20" t="str">
        <f ca="1">IFERROR(__xludf.DUMMYFUNCTION("""COMPUTED_VALUE"""),"NA")</f>
        <v>NA</v>
      </c>
      <c r="K517" s="20" t="str">
        <f ca="1">IFERROR(__xludf.DUMMYFUNCTION("""COMPUTED_VALUE"""),"NA")</f>
        <v>NA</v>
      </c>
      <c r="L517" s="20" t="str">
        <f ca="1">IFERROR(__xludf.DUMMYFUNCTION("""COMPUTED_VALUE"""),"NA")</f>
        <v>NA</v>
      </c>
      <c r="M517" s="20" t="str">
        <f ca="1">IFERROR(__xludf.DUMMYFUNCTION("""COMPUTED_VALUE"""),"Cuestiones referidas a la competencia del Ministerio de Educación, brindar respuesta a disitintos pedidos de informes con estado parmalamentario")</f>
        <v>Cuestiones referidas a la competencia del Ministerio de Educación, brindar respuesta a disitintos pedidos de informes con estado parmalamentario</v>
      </c>
      <c r="N517" s="20" t="str">
        <f ca="1">IFERROR(__xludf.DUMMYFUNCTION("""COMPUTED_VALUE"""),"NA")</f>
        <v>NA</v>
      </c>
      <c r="O517" s="20" t="str">
        <f ca="1">IFERROR(__xludf.DUMMYFUNCTION("""COMPUTED_VALUE"""),"SI")</f>
        <v>SI</v>
      </c>
      <c r="P517" s="20">
        <f ca="1">IFERROR(__xludf.DUMMYFUNCTION("""COMPUTED_VALUE"""),5)</f>
        <v>5</v>
      </c>
      <c r="Q517" s="113" t="str">
        <f ca="1">IFERROR(__xludf.DUMMYFUNCTION("""COMPUTED_VALUE"""),"https://gld.legislaturacba.gob.ar/_cdd/api/Documento/descargar?guid=7460108d-b4b1-4fa5-90b1-89dc0d1daa7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v>
      </c>
      <c r="R517" s="113" t="str">
        <f ca="1">IFERROR(__xludf.DUMMYFUNCTION("""COMPUTED_VALUE"""),"https://www.youtube.com/watch?v=hYSKvl7cifY")</f>
        <v>https://www.youtube.com/watch?v=hYSKvl7cifY</v>
      </c>
      <c r="S517" s="113" t="str">
        <f ca="1">IFERROR(__xludf.DUMMYFUNCTION("""COMPUTED_VALUE"""),"https://gld.legislaturacba.gob.ar/Publics/Actas.aspx?id=hrtzF3goJQQ=")</f>
        <v>https://gld.legislaturacba.gob.ar/Publics/Actas.aspx?id=hrtzF3goJQQ=</v>
      </c>
      <c r="T517" s="99">
        <f t="shared" ca="1" si="0"/>
        <v>0</v>
      </c>
    </row>
    <row r="518" spans="1:20">
      <c r="A518" s="20">
        <f ca="1">IFERROR(__xludf.DUMMYFUNCTION("""COMPUTED_VALUE"""),22)</f>
        <v>22</v>
      </c>
      <c r="B518" s="20">
        <f ca="1">IFERROR(__xludf.DUMMYFUNCTION("""COMPUTED_VALUE"""),2022)</f>
        <v>2022</v>
      </c>
      <c r="C518" s="20" t="str">
        <f ca="1">IFERROR(__xludf.DUMMYFUNCTION("""COMPUTED_VALUE"""),"VIRTUAL")</f>
        <v>VIRTUAL</v>
      </c>
      <c r="D518" s="106">
        <f ca="1">IFERROR(__xludf.DUMMYFUNCTION("""COMPUTED_VALUE"""),44630)</f>
        <v>44630</v>
      </c>
      <c r="E518" s="20" t="str">
        <f ca="1">IFERROR(__xludf.DUMMYFUNCTION("""COMPUTED_VALUE"""),"SI")</f>
        <v>SI</v>
      </c>
      <c r="F518" s="20" t="str">
        <f ca="1">IFERROR(__xludf.DUMMYFUNCTION("""COMPUTED_VALUE"""),"SALUD HUMANA;PREVENCIÓN, TRATAMIENTO Y CONTROL DE LAS ADICCIONES")</f>
        <v>SALUD HUMANA;PREVENCIÓN, TRATAMIENTO Y CONTROL DE LAS ADICCIONES</v>
      </c>
      <c r="G518" s="20">
        <f ca="1">IFERROR(__xludf.DUMMYFUNCTION("""COMPUTED_VALUE"""),2)</f>
        <v>2</v>
      </c>
      <c r="H518" s="20">
        <f ca="1">IFERROR(__xludf.DUMMYFUNCTION("""COMPUTED_VALUE"""),1)</f>
        <v>1</v>
      </c>
      <c r="I518" s="20">
        <f ca="1">IFERROR(__xludf.DUMMYFUNCTION("""COMPUTED_VALUE"""),1)</f>
        <v>1</v>
      </c>
      <c r="J518" s="20" t="str">
        <f ca="1">IFERROR(__xludf.DUMMYFUNCTION("""COMPUTED_VALUE"""),"NA")</f>
        <v>NA</v>
      </c>
      <c r="K518" s="20" t="str">
        <f ca="1">IFERROR(__xludf.DUMMYFUNCTION("""COMPUTED_VALUE"""),"NA")</f>
        <v>NA</v>
      </c>
      <c r="L518" s="20" t="str">
        <f ca="1">IFERROR(__xludf.DUMMYFUNCTION("""COMPUTED_VALUE"""),"NA")</f>
        <v>NA</v>
      </c>
      <c r="M518" s="20" t="str">
        <f ca="1">IFERROR(__xludf.DUMMYFUNCTION("""COMPUTED_VALUE"""),"Cocaina Adulterada")</f>
        <v>Cocaina Adulterada</v>
      </c>
      <c r="N518" s="20" t="str">
        <f ca="1">IFERROR(__xludf.DUMMYFUNCTION("""COMPUTED_VALUE"""),"NA")</f>
        <v>NA</v>
      </c>
      <c r="O518" s="20" t="str">
        <f ca="1">IFERROR(__xludf.DUMMYFUNCTION("""COMPUTED_VALUE"""),"SI")</f>
        <v>SI</v>
      </c>
      <c r="P518" s="20">
        <f ca="1">IFERROR(__xludf.DUMMYFUNCTION("""COMPUTED_VALUE"""),1)</f>
        <v>1</v>
      </c>
      <c r="Q518" s="113" t="str">
        <f ca="1">IFERROR(__xludf.DUMMYFUNCTION("""COMPUTED_VALUE"""),"https://gld.legislaturacba.gob.ar/_cdd/api/Documento/descargar?guid=23fc944e-a740-4982-ab18-2749374cdfe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v>
      </c>
      <c r="R518" s="113" t="str">
        <f ca="1">IFERROR(__xludf.DUMMYFUNCTION("""COMPUTED_VALUE"""),"https://www.youtube.com/watch?v=SwJ0AGeVylQ")</f>
        <v>https://www.youtube.com/watch?v=SwJ0AGeVylQ</v>
      </c>
      <c r="S518" s="113" t="str">
        <f ca="1">IFERROR(__xludf.DUMMYFUNCTION("""COMPUTED_VALUE"""),"https://gld.legislaturacba.gob.ar/Publics/Actas.aspx?id=Nz5792MvmaA=;https://gld.legislaturacba.gob.ar/Publics/Actas.aspx?id=1Nan22qFmTg=")</f>
        <v>https://gld.legislaturacba.gob.ar/Publics/Actas.aspx?id=Nz5792MvmaA=;https://gld.legislaturacba.gob.ar/Publics/Actas.aspx?id=1Nan22qFmTg=</v>
      </c>
      <c r="T518" s="99">
        <f t="shared" ca="1" si="0"/>
        <v>0</v>
      </c>
    </row>
    <row r="519" spans="1:20">
      <c r="A519" s="20">
        <f ca="1">IFERROR(__xludf.DUMMYFUNCTION("""COMPUTED_VALUE"""),23)</f>
        <v>23</v>
      </c>
      <c r="B519" s="20">
        <f ca="1">IFERROR(__xludf.DUMMYFUNCTION("""COMPUTED_VALUE"""),2022)</f>
        <v>2022</v>
      </c>
      <c r="C519" s="20" t="str">
        <f ca="1">IFERROR(__xludf.DUMMYFUNCTION("""COMPUTED_VALUE"""),"VIRTUAL")</f>
        <v>VIRTUAL</v>
      </c>
      <c r="D519" s="106">
        <f ca="1">IFERROR(__xludf.DUMMYFUNCTION("""COMPUTED_VALUE"""),44630)</f>
        <v>44630</v>
      </c>
      <c r="E519" s="20" t="str">
        <f ca="1">IFERROR(__xludf.DUMMYFUNCTION("""COMPUTED_VALUE"""),"NO")</f>
        <v>NO</v>
      </c>
      <c r="F519" s="20" t="str">
        <f ca="1">IFERROR(__xludf.DUMMYFUNCTION("""COMPUTED_VALUE"""),"ASUNTOS CONSTITUCIONALES, JUSTICIA Y ACUERDOS")</f>
        <v>ASUNTOS CONSTITUCIONALES, JUSTICIA Y ACUERDOS</v>
      </c>
      <c r="G519" s="20">
        <f ca="1">IFERROR(__xludf.DUMMYFUNCTION("""COMPUTED_VALUE"""),1)</f>
        <v>1</v>
      </c>
      <c r="H519" s="20">
        <f ca="1">IFERROR(__xludf.DUMMYFUNCTION("""COMPUTED_VALUE"""),2)</f>
        <v>2</v>
      </c>
      <c r="I519" s="20">
        <f ca="1">IFERROR(__xludf.DUMMYFUNCTION("""COMPUTED_VALUE"""),1)</f>
        <v>1</v>
      </c>
      <c r="J519" s="20" t="str">
        <f ca="1">IFERROR(__xludf.DUMMYFUNCTION("""COMPUTED_VALUE"""),"Pliego")</f>
        <v>Pliego</v>
      </c>
      <c r="K519" s="20">
        <f ca="1">IFERROR(__xludf.DUMMYFUNCTION("""COMPUTED_VALUE"""),34512)</f>
        <v>34512</v>
      </c>
      <c r="L519" s="20" t="str">
        <f ca="1">IFERROR(__xludf.DUMMYFUNCTION("""COMPUTED_VALUE"""),"Poder Ejecutivo Provincial")</f>
        <v>Poder Ejecutivo Provincial</v>
      </c>
      <c r="M519" s="20" t="str">
        <f ca="1">IFERROR(__xludf.DUMMYFUNCTION("""COMPUTED_VALUE"""),"Solicitando acuerdo para designar a la abogada Cintia Soledad Cena, como Asesora Letrada de Niñez, Adolescencia, Violencia Familiar y de Género en la Asesoría Itinerante de Niñez, Adolescencia, Violencia Familiar y de Género para las sedes de Alta Gracia "&amp;"y Río Tercero")</f>
        <v>Solicitando acuerdo para designar a la abogada Cintia Soledad Cena, como Asesora Letrada de Niñez, Adolescencia, Violencia Familiar y de Género en la Asesoría Itinerante de Niñez, Adolescencia, Violencia Familiar y de Género para las sedes de Alta Gracia y Río Tercero</v>
      </c>
      <c r="N519" s="20" t="str">
        <f ca="1">IFERROR(__xludf.DUMMYFUNCTION("""COMPUTED_VALUE"""),"SI")</f>
        <v>SI</v>
      </c>
      <c r="O519" s="20" t="str">
        <f ca="1">IFERROR(__xludf.DUMMYFUNCTION("""COMPUTED_VALUE"""),"NO")</f>
        <v>NO</v>
      </c>
      <c r="P519" s="20">
        <f ca="1">IFERROR(__xludf.DUMMYFUNCTION("""COMPUTED_VALUE"""),0)</f>
        <v>0</v>
      </c>
      <c r="Q519" s="113" t="str">
        <f ca="1">IFERROR(__xludf.DUMMYFUNCTION("""COMPUTED_VALUE"""),"https://gld.legislaturacba.gob.ar/_cdd/api/Documento/descargar?guid=b6b5591b-6392-45b4-b565-e26fb0f0b003&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v>
      </c>
      <c r="R519" s="113" t="str">
        <f ca="1">IFERROR(__xludf.DUMMYFUNCTION("""COMPUTED_VALUE"""),"https://www.youtube.com/watch?v=McDIKNZ5Pz8")</f>
        <v>https://www.youtube.com/watch?v=McDIKNZ5Pz8</v>
      </c>
      <c r="S519" s="113" t="str">
        <f ca="1">IFERROR(__xludf.DUMMYFUNCTION("""COMPUTED_VALUE"""),"https://gld.legislaturacba.gob.ar/Publics/Actas.aspx?id=zCg0MifoKuQ=")</f>
        <v>https://gld.legislaturacba.gob.ar/Publics/Actas.aspx?id=zCg0MifoKuQ=</v>
      </c>
      <c r="T519" s="99">
        <f t="shared" ca="1" si="0"/>
        <v>0</v>
      </c>
    </row>
    <row r="520" spans="1:20">
      <c r="A520" s="20">
        <f ca="1">IFERROR(__xludf.DUMMYFUNCTION("""COMPUTED_VALUE"""),24)</f>
        <v>24</v>
      </c>
      <c r="B520" s="20">
        <f ca="1">IFERROR(__xludf.DUMMYFUNCTION("""COMPUTED_VALUE"""),2022)</f>
        <v>2022</v>
      </c>
      <c r="C520" s="20" t="str">
        <f ca="1">IFERROR(__xludf.DUMMYFUNCTION("""COMPUTED_VALUE"""),"VIRTUAL")</f>
        <v>VIRTUAL</v>
      </c>
      <c r="D520" s="106">
        <f ca="1">IFERROR(__xludf.DUMMYFUNCTION("""COMPUTED_VALUE"""),44635)</f>
        <v>44635</v>
      </c>
      <c r="E520" s="20" t="str">
        <f ca="1">IFERROR(__xludf.DUMMYFUNCTION("""COMPUTED_VALUE"""),"SI")</f>
        <v>SI</v>
      </c>
      <c r="F520" s="20" t="str">
        <f ca="1">IFERROR(__xludf.DUMMYFUNCTION("""COMPUTED_VALUE"""),"LEGISLACIÓN GENERAL;ASUNTOS CONSTITUCIONALES, JUSTICIA Y ACUERDOS")</f>
        <v>LEGISLACIÓN GENERAL;ASUNTOS CONSTITUCIONALES, JUSTICIA Y ACUERDOS</v>
      </c>
      <c r="G520" s="20">
        <f ca="1">IFERROR(__xludf.DUMMYFUNCTION("""COMPUTED_VALUE"""),2)</f>
        <v>2</v>
      </c>
      <c r="H520" s="20">
        <f ca="1">IFERROR(__xludf.DUMMYFUNCTION("""COMPUTED_VALUE"""),2)</f>
        <v>2</v>
      </c>
      <c r="I520" s="20">
        <f ca="1">IFERROR(__xludf.DUMMYFUNCTION("""COMPUTED_VALUE"""),1)</f>
        <v>1</v>
      </c>
      <c r="J520" s="20" t="str">
        <f ca="1">IFERROR(__xludf.DUMMYFUNCTION("""COMPUTED_VALUE"""),"Ley")</f>
        <v>Ley</v>
      </c>
      <c r="K520" s="20">
        <f ca="1">IFERROR(__xludf.DUMMYFUNCTION("""COMPUTED_VALUE"""),34521)</f>
        <v>34521</v>
      </c>
      <c r="L520" s="20" t="str">
        <f ca="1">IFERROR(__xludf.DUMMYFUNCTION("""COMPUTED_VALUE"""),"Poder Ejecutivo Provincial")</f>
        <v>Poder Ejecutivo Provincial</v>
      </c>
      <c r="M520" s="20" t="str">
        <f ca="1">IFERROR(__xludf.DUMMYFUNCTION("""COMPUTED_VALUE"""),"Reemplazando el Anexo I de la Ley N° 9235 de Seguridad Pública para la Provincia de Córdoba, y modificando los artículos 42 y 43 de la misma Ley")</f>
        <v>Reemplazando el Anexo I de la Ley N° 9235 de Seguridad Pública para la Provincia de Córdoba, y modificando los artículos 42 y 43 de la misma Ley</v>
      </c>
      <c r="N520" s="20" t="str">
        <f ca="1">IFERROR(__xludf.DUMMYFUNCTION("""COMPUTED_VALUE"""),"SI")</f>
        <v>SI</v>
      </c>
      <c r="O520" s="20" t="str">
        <f ca="1">IFERROR(__xludf.DUMMYFUNCTION("""COMPUTED_VALUE"""),"SI")</f>
        <v>SI</v>
      </c>
      <c r="P520" s="20">
        <f ca="1">IFERROR(__xludf.DUMMYFUNCTION("""COMPUTED_VALUE"""),1)</f>
        <v>1</v>
      </c>
      <c r="Q520" s="113" t="str">
        <f ca="1">IFERROR(__xludf.DUMMYFUNCTION("""COMPUTED_VALUE"""),"https://gld.legislaturacba.gob.ar/_cdd/api/Documento/descargar?guid=563e8f71-ff0b-477a-889a-6cd140651a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v>
      </c>
      <c r="R520" s="113" t="str">
        <f ca="1">IFERROR(__xludf.DUMMYFUNCTION("""COMPUTED_VALUE"""),"https://www.youtube.com/watch?v=UdwnG4NU-FE")</f>
        <v>https://www.youtube.com/watch?v=UdwnG4NU-FE</v>
      </c>
      <c r="S520" s="113" t="str">
        <f ca="1">IFERROR(__xludf.DUMMYFUNCTION("""COMPUTED_VALUE"""),"https://gld.legislaturacba.gob.ar/Publics/Actas.aspx?id=IoMn6Mdp6FM=;https://gld.legislaturacba.gob.ar/Publics/Actas.aspx?id=tZfwZ9WeUZ4=")</f>
        <v>https://gld.legislaturacba.gob.ar/Publics/Actas.aspx?id=IoMn6Mdp6FM=;https://gld.legislaturacba.gob.ar/Publics/Actas.aspx?id=tZfwZ9WeUZ4=</v>
      </c>
      <c r="T520" s="99">
        <f t="shared" ca="1" si="0"/>
        <v>0</v>
      </c>
    </row>
    <row r="521" spans="1:20">
      <c r="A521" s="20">
        <f ca="1">IFERROR(__xludf.DUMMYFUNCTION("""COMPUTED_VALUE"""),25)</f>
        <v>25</v>
      </c>
      <c r="B521" s="20">
        <f ca="1">IFERROR(__xludf.DUMMYFUNCTION("""COMPUTED_VALUE"""),2022)</f>
        <v>2022</v>
      </c>
      <c r="C521" s="20" t="str">
        <f ca="1">IFERROR(__xludf.DUMMYFUNCTION("""COMPUTED_VALUE"""),"VIRTUAL")</f>
        <v>VIRTUAL</v>
      </c>
      <c r="D521" s="106">
        <f ca="1">IFERROR(__xludf.DUMMYFUNCTION("""COMPUTED_VALUE"""),44635)</f>
        <v>44635</v>
      </c>
      <c r="E521" s="20" t="str">
        <f ca="1">IFERROR(__xludf.DUMMYFUNCTION("""COMPUTED_VALUE"""),"NO")</f>
        <v>NO</v>
      </c>
      <c r="F521" s="20" t="str">
        <f ca="1">IFERROR(__xludf.DUMMYFUNCTION("""COMPUTED_VALUE"""),"DEPORTES Y RECREACIÓN")</f>
        <v>DEPORTES Y RECREACIÓN</v>
      </c>
      <c r="G521" s="20">
        <f ca="1">IFERROR(__xludf.DUMMYFUNCTION("""COMPUTED_VALUE"""),1)</f>
        <v>1</v>
      </c>
      <c r="H521" s="20">
        <f ca="1">IFERROR(__xludf.DUMMYFUNCTION("""COMPUTED_VALUE"""),1)</f>
        <v>1</v>
      </c>
      <c r="I521" s="20">
        <f ca="1">IFERROR(__xludf.DUMMYFUNCTION("""COMPUTED_VALUE"""),1)</f>
        <v>1</v>
      </c>
      <c r="J521" s="20" t="str">
        <f ca="1">IFERROR(__xludf.DUMMYFUNCTION("""COMPUTED_VALUE"""),"Ley")</f>
        <v>Ley</v>
      </c>
      <c r="K521" s="20">
        <f ca="1">IFERROR(__xludf.DUMMYFUNCTION("""COMPUTED_VALUE"""),34630)</f>
        <v>34630</v>
      </c>
      <c r="L521" s="20" t="str">
        <f ca="1">IFERROR(__xludf.DUMMYFUNCTION("""COMPUTED_VALUE"""),"Poder Legislativo Provincial")</f>
        <v>Poder Legislativo Provincial</v>
      </c>
      <c r="M521" s="20" t="str">
        <f ca="1">IFERROR(__xludf.DUMMYFUNCTION("""COMPUTED_VALUE"""),"Modificando el Art. 1 de la Ley N° 10003, suspendiendo hasta el 31 de marzo de 2023 las ejecuciones que persigan la subasta de bienes inmuebles propiedad de las Asociaciones Civiles, Clubes o Entidades sin Fines de Lucro.")</f>
        <v>Modificando el Art. 1 de la Ley N° 10003, suspendiendo hasta el 31 de marzo de 2023 las ejecuciones que persigan la subasta de bienes inmuebles propiedad de las Asociaciones Civiles, Clubes o Entidades sin Fines de Lucro.</v>
      </c>
      <c r="N521" s="20" t="str">
        <f ca="1">IFERROR(__xludf.DUMMYFUNCTION("""COMPUTED_VALUE"""),"SI")</f>
        <v>SI</v>
      </c>
      <c r="O521" s="20" t="str">
        <f ca="1">IFERROR(__xludf.DUMMYFUNCTION("""COMPUTED_VALUE"""),"NO")</f>
        <v>NO</v>
      </c>
      <c r="P521" s="20">
        <f ca="1">IFERROR(__xludf.DUMMYFUNCTION("""COMPUTED_VALUE"""),0)</f>
        <v>0</v>
      </c>
      <c r="Q521" s="113" t="str">
        <f ca="1">IFERROR(__xludf.DUMMYFUNCTION("""COMPUTED_VALUE"""),"https://gld.legislaturacba.gob.ar/_cdd/api/Documento/descargar?guid=e8a1f7ad-a995-4972-84c7-541bfc8ca8c6&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v>
      </c>
      <c r="R521" s="113" t="str">
        <f ca="1">IFERROR(__xludf.DUMMYFUNCTION("""COMPUTED_VALUE"""),"https://www.youtube.com/watch?v=SATmszd9LTQ")</f>
        <v>https://www.youtube.com/watch?v=SATmszd9LTQ</v>
      </c>
      <c r="S521" s="113" t="str">
        <f ca="1">IFERROR(__xludf.DUMMYFUNCTION("""COMPUTED_VALUE"""),"https://gld.legislaturacba.gob.ar/Publics/Actas.aspx?id=siL8zYfnNSc=")</f>
        <v>https://gld.legislaturacba.gob.ar/Publics/Actas.aspx?id=siL8zYfnNSc=</v>
      </c>
      <c r="T521" s="99">
        <f t="shared" ca="1" si="0"/>
        <v>0</v>
      </c>
    </row>
    <row r="522" spans="1:20">
      <c r="A522" s="20">
        <f ca="1">IFERROR(__xludf.DUMMYFUNCTION("""COMPUTED_VALUE"""),26)</f>
        <v>26</v>
      </c>
      <c r="B522" s="20">
        <f ca="1">IFERROR(__xludf.DUMMYFUNCTION("""COMPUTED_VALUE"""),2022)</f>
        <v>2022</v>
      </c>
      <c r="C522" s="20" t="str">
        <f ca="1">IFERROR(__xludf.DUMMYFUNCTION("""COMPUTED_VALUE"""),"VIRTUAL")</f>
        <v>VIRTUAL</v>
      </c>
      <c r="D522" s="106">
        <f ca="1">IFERROR(__xludf.DUMMYFUNCTION("""COMPUTED_VALUE"""),44635)</f>
        <v>44635</v>
      </c>
      <c r="E522" s="20" t="str">
        <f ca="1">IFERROR(__xludf.DUMMYFUNCTION("""COMPUTED_VALUE"""),"NO")</f>
        <v>NO</v>
      </c>
      <c r="F522" s="20" t="str">
        <f ca="1">IFERROR(__xludf.DUMMYFUNCTION("""COMPUTED_VALUE"""),"EQUIDAD Y LUCHA CONTRA LA VIOLENCIA DE GÉNERO")</f>
        <v>EQUIDAD Y LUCHA CONTRA LA VIOLENCIA DE GÉNERO</v>
      </c>
      <c r="G522" s="20">
        <f ca="1">IFERROR(__xludf.DUMMYFUNCTION("""COMPUTED_VALUE"""),1)</f>
        <v>1</v>
      </c>
      <c r="H522" s="20">
        <f ca="1">IFERROR(__xludf.DUMMYFUNCTION("""COMPUTED_VALUE"""),3)</f>
        <v>3</v>
      </c>
      <c r="I522" s="20">
        <f ca="1">IFERROR(__xludf.DUMMYFUNCTION("""COMPUTED_VALUE"""),1)</f>
        <v>1</v>
      </c>
      <c r="J522" s="20" t="str">
        <f ca="1">IFERROR(__xludf.DUMMYFUNCTION("""COMPUTED_VALUE"""),"Ley")</f>
        <v>Ley</v>
      </c>
      <c r="K522" s="20">
        <f ca="1">IFERROR(__xludf.DUMMYFUNCTION("""COMPUTED_VALUE"""),18194)</f>
        <v>18194</v>
      </c>
      <c r="L522" s="20" t="str">
        <f ca="1">IFERROR(__xludf.DUMMYFUNCTION("""COMPUTED_VALUE"""),"Poder Legislativo Provincial")</f>
        <v>Poder Legislativo Provincial</v>
      </c>
      <c r="M522" s="20" t="str">
        <f ca="1">IFERROR(__xludf.DUMMYFUNCTION("""COMPUTED_VALUE"""),"Implementando espacios amigables de lactancia en instituciones del sector público y privado")</f>
        <v>Implementando espacios amigables de lactancia en instituciones del sector público y privado</v>
      </c>
      <c r="N522" s="20" t="str">
        <f ca="1">IFERROR(__xludf.DUMMYFUNCTION("""COMPUTED_VALUE"""),"NO")</f>
        <v>NO</v>
      </c>
      <c r="O522" s="20" t="str">
        <f ca="1">IFERROR(__xludf.DUMMYFUNCTION("""COMPUTED_VALUE"""),"NO")</f>
        <v>NO</v>
      </c>
      <c r="P522" s="20">
        <f ca="1">IFERROR(__xludf.DUMMYFUNCTION("""COMPUTED_VALUE"""),0)</f>
        <v>0</v>
      </c>
      <c r="Q522" s="113" t="str">
        <f ca="1">IFERROR(__xludf.DUMMYFUNCTION("""COMPUTED_VALUE"""),"https://gld.legislaturacba.gob.ar/_cdd/api/Documento/descargar?guid=06338e1b-f659-4dd4-a5ec-0f2ae02bcd16&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v>
      </c>
      <c r="R522" s="113" t="str">
        <f ca="1">IFERROR(__xludf.DUMMYFUNCTION("""COMPUTED_VALUE"""),"https://www.youtube.com/watch?v=6howXqxnqQA")</f>
        <v>https://www.youtube.com/watch?v=6howXqxnqQA</v>
      </c>
      <c r="S522" s="113" t="str">
        <f ca="1">IFERROR(__xludf.DUMMYFUNCTION("""COMPUTED_VALUE"""),"https://gld.legislaturacba.gob.ar/Publics/Actas.aspx?id=xOj1r6HNrNI=")</f>
        <v>https://gld.legislaturacba.gob.ar/Publics/Actas.aspx?id=xOj1r6HNrNI=</v>
      </c>
      <c r="T522" s="99">
        <f t="shared" ca="1" si="0"/>
        <v>0</v>
      </c>
    </row>
    <row r="523" spans="1:20">
      <c r="A523" s="20">
        <f ca="1">IFERROR(__xludf.DUMMYFUNCTION("""COMPUTED_VALUE"""),27)</f>
        <v>27</v>
      </c>
      <c r="B523" s="20">
        <f ca="1">IFERROR(__xludf.DUMMYFUNCTION("""COMPUTED_VALUE"""),2022)</f>
        <v>2022</v>
      </c>
      <c r="C523" s="20" t="str">
        <f ca="1">IFERROR(__xludf.DUMMYFUNCTION("""COMPUTED_VALUE"""),"VIRTUAL")</f>
        <v>VIRTUAL</v>
      </c>
      <c r="D523" s="106">
        <f ca="1">IFERROR(__xludf.DUMMYFUNCTION("""COMPUTED_VALUE"""),44636)</f>
        <v>44636</v>
      </c>
      <c r="E523" s="20" t="str">
        <f ca="1">IFERROR(__xludf.DUMMYFUNCTION("""COMPUTED_VALUE"""),"NO")</f>
        <v>NO</v>
      </c>
      <c r="F523" s="20" t="str">
        <f ca="1">IFERROR(__xludf.DUMMYFUNCTION("""COMPUTED_VALUE"""),"AGRICULTURA, GANADERÍA Y RECURSOS RENOVABLES")</f>
        <v>AGRICULTURA, GANADERÍA Y RECURSOS RENOVABLES</v>
      </c>
      <c r="G523" s="20">
        <f ca="1">IFERROR(__xludf.DUMMYFUNCTION("""COMPUTED_VALUE"""),1)</f>
        <v>1</v>
      </c>
      <c r="H523" s="20">
        <f ca="1">IFERROR(__xludf.DUMMYFUNCTION("""COMPUTED_VALUE"""),1)</f>
        <v>1</v>
      </c>
      <c r="I523" s="20">
        <f ca="1">IFERROR(__xludf.DUMMYFUNCTION("""COMPUTED_VALUE"""),1)</f>
        <v>1</v>
      </c>
      <c r="J523" s="20" t="str">
        <f ca="1">IFERROR(__xludf.DUMMYFUNCTION("""COMPUTED_VALUE"""),"NA")</f>
        <v>NA</v>
      </c>
      <c r="K523" s="20" t="str">
        <f ca="1">IFERROR(__xludf.DUMMYFUNCTION("""COMPUTED_VALUE"""),"NA")</f>
        <v>NA</v>
      </c>
      <c r="L523" s="20" t="str">
        <f ca="1">IFERROR(__xludf.DUMMYFUNCTION("""COMPUTED_VALUE"""),"NA")</f>
        <v>NA</v>
      </c>
      <c r="M523" s="20" t="str">
        <f ca="1">IFERROR(__xludf.DUMMYFUNCTION("""COMPUTED_VALUE"""),"Fijar Agenda y cronograma de actividades de la Comisión")</f>
        <v>Fijar Agenda y cronograma de actividades de la Comisión</v>
      </c>
      <c r="N523" s="20" t="str">
        <f ca="1">IFERROR(__xludf.DUMMYFUNCTION("""COMPUTED_VALUE"""),"NA")</f>
        <v>NA</v>
      </c>
      <c r="O523" s="20" t="str">
        <f ca="1">IFERROR(__xludf.DUMMYFUNCTION("""COMPUTED_VALUE"""),"NO")</f>
        <v>NO</v>
      </c>
      <c r="P523" s="20">
        <f ca="1">IFERROR(__xludf.DUMMYFUNCTION("""COMPUTED_VALUE"""),0)</f>
        <v>0</v>
      </c>
      <c r="Q523" s="113" t="str">
        <f ca="1">IFERROR(__xludf.DUMMYFUNCTION("""COMPUTED_VALUE"""),"https://gld.legislaturacba.gob.ar/_cdd/api/Documento/descargar?guid=aac922af-6df7-4eab-a487-efad02b20800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v>
      </c>
      <c r="R523" s="113" t="str">
        <f ca="1">IFERROR(__xludf.DUMMYFUNCTION("""COMPUTED_VALUE"""),"https://www.youtube.com/watch?v=I8AUPn3nfdk")</f>
        <v>https://www.youtube.com/watch?v=I8AUPn3nfdk</v>
      </c>
      <c r="S523" s="113" t="str">
        <f ca="1">IFERROR(__xludf.DUMMYFUNCTION("""COMPUTED_VALUE"""),"https://gld.legislaturacba.gob.ar/Publics/Actas.aspx?id=dbduHshi-oU=")</f>
        <v>https://gld.legislaturacba.gob.ar/Publics/Actas.aspx?id=dbduHshi-oU=</v>
      </c>
      <c r="T523" s="99">
        <f t="shared" ca="1" si="0"/>
        <v>0</v>
      </c>
    </row>
    <row r="524" spans="1:20">
      <c r="A524" s="20">
        <f ca="1">IFERROR(__xludf.DUMMYFUNCTION("""COMPUTED_VALUE"""),28)</f>
        <v>28</v>
      </c>
      <c r="B524" s="20">
        <f ca="1">IFERROR(__xludf.DUMMYFUNCTION("""COMPUTED_VALUE"""),2022)</f>
        <v>2022</v>
      </c>
      <c r="C524" s="20" t="str">
        <f ca="1">IFERROR(__xludf.DUMMYFUNCTION("""COMPUTED_VALUE"""),"VIRTUAL")</f>
        <v>VIRTUAL</v>
      </c>
      <c r="D524" s="106">
        <f ca="1">IFERROR(__xludf.DUMMYFUNCTION("""COMPUTED_VALUE"""),44637)</f>
        <v>44637</v>
      </c>
      <c r="E524" s="20" t="str">
        <f ca="1">IFERROR(__xludf.DUMMYFUNCTION("""COMPUTED_VALUE"""),"SI")</f>
        <v>SI</v>
      </c>
      <c r="F524" s="20" t="str">
        <f ca="1">IFERROR(__xludf.DUMMYFUNCTION("""COMPUTED_VALUE"""),"INDUSTRIA Y MINERÍA;PROMOCIÓN Y DESARROLLO DE ECONOMÍAS REGIONALES Y PYMES")</f>
        <v>INDUSTRIA Y MINERÍA;PROMOCIÓN Y DESARROLLO DE ECONOMÍAS REGIONALES Y PYMES</v>
      </c>
      <c r="G524" s="20">
        <f ca="1">IFERROR(__xludf.DUMMYFUNCTION("""COMPUTED_VALUE"""),2)</f>
        <v>2</v>
      </c>
      <c r="H524" s="20">
        <f ca="1">IFERROR(__xludf.DUMMYFUNCTION("""COMPUTED_VALUE"""),1)</f>
        <v>1</v>
      </c>
      <c r="I524" s="20">
        <f ca="1">IFERROR(__xludf.DUMMYFUNCTION("""COMPUTED_VALUE"""),1)</f>
        <v>1</v>
      </c>
      <c r="J524" s="20" t="str">
        <f ca="1">IFERROR(__xludf.DUMMYFUNCTION("""COMPUTED_VALUE"""),"NA")</f>
        <v>NA</v>
      </c>
      <c r="K524" s="20" t="str">
        <f ca="1">IFERROR(__xludf.DUMMYFUNCTION("""COMPUTED_VALUE"""),"NA")</f>
        <v>NA</v>
      </c>
      <c r="L524" s="20" t="str">
        <f ca="1">IFERROR(__xludf.DUMMYFUNCTION("""COMPUTED_VALUE"""),"NA")</f>
        <v>NA</v>
      </c>
      <c r="M524" s="20" t="str">
        <f ca="1">IFERROR(__xludf.DUMMYFUNCTION("""COMPUTED_VALUE"""),"Economías Regionales, Parques Industriales y Desarrollo de las actividades llevadas a cabo por el Ministerio de Industria")</f>
        <v>Economías Regionales, Parques Industriales y Desarrollo de las actividades llevadas a cabo por el Ministerio de Industria</v>
      </c>
      <c r="N524" s="20" t="str">
        <f ca="1">IFERROR(__xludf.DUMMYFUNCTION("""COMPUTED_VALUE"""),"NA")</f>
        <v>NA</v>
      </c>
      <c r="O524" s="20" t="str">
        <f ca="1">IFERROR(__xludf.DUMMYFUNCTION("""COMPUTED_VALUE"""),"SI")</f>
        <v>SI</v>
      </c>
      <c r="P524" s="20">
        <f ca="1">IFERROR(__xludf.DUMMYFUNCTION("""COMPUTED_VALUE"""),4)</f>
        <v>4</v>
      </c>
      <c r="Q524" s="113" t="str">
        <f ca="1">IFERROR(__xludf.DUMMYFUNCTION("""COMPUTED_VALUE"""),"https://gld.legislaturacba.gob.ar/_cdd/api/Documento/descargar?guid=a5e4d400-9db2-4a59-9f1c-b9d8e58f6384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v>
      </c>
      <c r="R524" s="113" t="str">
        <f ca="1">IFERROR(__xludf.DUMMYFUNCTION("""COMPUTED_VALUE"""),"https://www.youtube.com/watch?v=9o6c-dvzw4I")</f>
        <v>https://www.youtube.com/watch?v=9o6c-dvzw4I</v>
      </c>
      <c r="S524" s="113" t="str">
        <f ca="1">IFERROR(__xludf.DUMMYFUNCTION("""COMPUTED_VALUE"""),"https://gld.legislaturacba.gob.ar/Publics/Actas.aspx?id=vq_h92e6vkU=;https://gld.legislaturacba.gob.ar/Publics/Actas.aspx?id=jTWA2aW8Np8=")</f>
        <v>https://gld.legislaturacba.gob.ar/Publics/Actas.aspx?id=vq_h92e6vkU=;https://gld.legislaturacba.gob.ar/Publics/Actas.aspx?id=jTWA2aW8Np8=</v>
      </c>
      <c r="T524" s="99">
        <f t="shared" ca="1" si="0"/>
        <v>0</v>
      </c>
    </row>
    <row r="525" spans="1:20">
      <c r="A525" s="20">
        <f ca="1">IFERROR(__xludf.DUMMYFUNCTION("""COMPUTED_VALUE"""),29)</f>
        <v>29</v>
      </c>
      <c r="B525" s="20">
        <f ca="1">IFERROR(__xludf.DUMMYFUNCTION("""COMPUTED_VALUE"""),2022)</f>
        <v>2022</v>
      </c>
      <c r="C525" s="20" t="str">
        <f ca="1">IFERROR(__xludf.DUMMYFUNCTION("""COMPUTED_VALUE"""),"VIRTUAL")</f>
        <v>VIRTUAL</v>
      </c>
      <c r="D525" s="106">
        <f ca="1">IFERROR(__xludf.DUMMYFUNCTION("""COMPUTED_VALUE"""),44637)</f>
        <v>44637</v>
      </c>
      <c r="E525" s="20" t="str">
        <f ca="1">IFERROR(__xludf.DUMMYFUNCTION("""COMPUTED_VALUE"""),"NO")</f>
        <v>NO</v>
      </c>
      <c r="F525" s="20" t="str">
        <f ca="1">IFERROR(__xludf.DUMMYFUNCTION("""COMPUTED_VALUE"""),"ASUNTOS INSTITUCIONALES, MUNICIPALES Y COMUNALES")</f>
        <v>ASUNTOS INSTITUCIONALES, MUNICIPALES Y COMUNALES</v>
      </c>
      <c r="G525" s="20">
        <f ca="1">IFERROR(__xludf.DUMMYFUNCTION("""COMPUTED_VALUE"""),1)</f>
        <v>1</v>
      </c>
      <c r="H525" s="20">
        <f ca="1">IFERROR(__xludf.DUMMYFUNCTION("""COMPUTED_VALUE"""),1)</f>
        <v>1</v>
      </c>
      <c r="I525" s="20">
        <f ca="1">IFERROR(__xludf.DUMMYFUNCTION("""COMPUTED_VALUE"""),1)</f>
        <v>1</v>
      </c>
      <c r="J525" s="20" t="str">
        <f ca="1">IFERROR(__xludf.DUMMYFUNCTION("""COMPUTED_VALUE"""),"Ley")</f>
        <v>Ley</v>
      </c>
      <c r="K525" s="20">
        <f ca="1">IFERROR(__xludf.DUMMYFUNCTION("""COMPUTED_VALUE"""),34601)</f>
        <v>34601</v>
      </c>
      <c r="L525" s="20" t="str">
        <f ca="1">IFERROR(__xludf.DUMMYFUNCTION("""COMPUTED_VALUE"""),"Poder Ejecutivo Provincial")</f>
        <v>Poder Ejecutivo Provincial</v>
      </c>
      <c r="M525" s="20" t="str">
        <f ca="1">IFERROR(__xludf.DUMMYFUNCTION("""COMPUTED_VALUE"""),"Modificando el radio municipal de la localidad de Villa Giardino, Dpto. Punilla")</f>
        <v>Modificando el radio municipal de la localidad de Villa Giardino, Dpto. Punilla</v>
      </c>
      <c r="N525" s="20" t="str">
        <f ca="1">IFERROR(__xludf.DUMMYFUNCTION("""COMPUTED_VALUE"""),"SI")</f>
        <v>SI</v>
      </c>
      <c r="O525" s="20" t="str">
        <f ca="1">IFERROR(__xludf.DUMMYFUNCTION("""COMPUTED_VALUE"""),"NO")</f>
        <v>NO</v>
      </c>
      <c r="P525" s="20">
        <f ca="1">IFERROR(__xludf.DUMMYFUNCTION("""COMPUTED_VALUE"""),0)</f>
        <v>0</v>
      </c>
      <c r="Q525" s="113" t="str">
        <f ca="1">IFERROR(__xludf.DUMMYFUNCTION("""COMPUTED_VALUE"""),"https://gld.legislaturacba.gob.ar/_cdd/api/Documento/descargar?guid=9a1080d1-e419-4537-9940-b96828470ad5&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v>
      </c>
      <c r="R525" s="113" t="str">
        <f ca="1">IFERROR(__xludf.DUMMYFUNCTION("""COMPUTED_VALUE"""),"https://www.youtube.com/watch?v=gmBo4Qz2raE")</f>
        <v>https://www.youtube.com/watch?v=gmBo4Qz2raE</v>
      </c>
      <c r="S525" s="113" t="str">
        <f ca="1">IFERROR(__xludf.DUMMYFUNCTION("""COMPUTED_VALUE"""),"https://gld.legislaturacba.gob.ar/Publics/Actas.aspx?id=XFhqoAxBThQ=")</f>
        <v>https://gld.legislaturacba.gob.ar/Publics/Actas.aspx?id=XFhqoAxBThQ=</v>
      </c>
      <c r="T525" s="99">
        <f t="shared" ca="1" si="0"/>
        <v>0</v>
      </c>
    </row>
    <row r="526" spans="1:20">
      <c r="A526" s="20">
        <f ca="1">IFERROR(__xludf.DUMMYFUNCTION("""COMPUTED_VALUE"""),30)</f>
        <v>30</v>
      </c>
      <c r="B526" s="20">
        <f ca="1">IFERROR(__xludf.DUMMYFUNCTION("""COMPUTED_VALUE"""),2022)</f>
        <v>2022</v>
      </c>
      <c r="C526" s="20" t="str">
        <f ca="1">IFERROR(__xludf.DUMMYFUNCTION("""COMPUTED_VALUE"""),"VIRTUAL")</f>
        <v>VIRTUAL</v>
      </c>
      <c r="D526" s="106">
        <f ca="1">IFERROR(__xludf.DUMMYFUNCTION("""COMPUTED_VALUE"""),44637)</f>
        <v>44637</v>
      </c>
      <c r="E526" s="20" t="str">
        <f ca="1">IFERROR(__xludf.DUMMYFUNCTION("""COMPUTED_VALUE"""),"NO")</f>
        <v>NO</v>
      </c>
      <c r="F526" s="20" t="str">
        <f ca="1">IFERROR(__xludf.DUMMYFUNCTION("""COMPUTED_VALUE"""),"DERECHOS HUMANOS Y DESARROLLO SOCIAL")</f>
        <v>DERECHOS HUMANOS Y DESARROLLO SOCIAL</v>
      </c>
      <c r="G526" s="20">
        <f ca="1">IFERROR(__xludf.DUMMYFUNCTION("""COMPUTED_VALUE"""),1)</f>
        <v>1</v>
      </c>
      <c r="H526" s="20">
        <f ca="1">IFERROR(__xludf.DUMMYFUNCTION("""COMPUTED_VALUE"""),2)</f>
        <v>2</v>
      </c>
      <c r="I526" s="20">
        <f ca="1">IFERROR(__xludf.DUMMYFUNCTION("""COMPUTED_VALUE"""),1)</f>
        <v>1</v>
      </c>
      <c r="J526" s="20" t="str">
        <f ca="1">IFERROR(__xludf.DUMMYFUNCTION("""COMPUTED_VALUE"""),"Ley")</f>
        <v>Ley</v>
      </c>
      <c r="K526" s="20">
        <f ca="1">IFERROR(__xludf.DUMMYFUNCTION("""COMPUTED_VALUE"""),34691)</f>
        <v>34691</v>
      </c>
      <c r="L526" s="20" t="str">
        <f ca="1">IFERROR(__xludf.DUMMYFUNCTION("""COMPUTED_VALUE"""),"Poder Ejecutivo Provincial")</f>
        <v>Poder Ejecutivo Provincial</v>
      </c>
      <c r="M526" s="20" t="str">
        <f ca="1">IFERROR(__xludf.DUMMYFUNCTION("""COMPUTED_VALUE"""),"Donando a favor de Abuelas de Plaza de Mayo Asociación Civil un inmueble de propiedad de la Provincia de Córdoba, ubicado en calle Bernardino Rivadavia N° 63, 69, 75 y 77 de la ciudad de Córdoba, Dpto. Capital")</f>
        <v>Donando a favor de Abuelas de Plaza de Mayo Asociación Civil un inmueble de propiedad de la Provincia de Córdoba, ubicado en calle Bernardino Rivadavia N° 63, 69, 75 y 77 de la ciudad de Córdoba, Dpto. Capital</v>
      </c>
      <c r="N526" s="20" t="str">
        <f ca="1">IFERROR(__xludf.DUMMYFUNCTION("""COMPUTED_VALUE"""),"NO")</f>
        <v>NO</v>
      </c>
      <c r="O526" s="20" t="str">
        <f ca="1">IFERROR(__xludf.DUMMYFUNCTION("""COMPUTED_VALUE"""),"SI")</f>
        <v>SI</v>
      </c>
      <c r="P526" s="20">
        <f ca="1">IFERROR(__xludf.DUMMYFUNCTION("""COMPUTED_VALUE"""),1)</f>
        <v>1</v>
      </c>
      <c r="Q526" s="113" t="str">
        <f ca="1">IFERROR(__xludf.DUMMYFUNCTION("""COMPUTED_VALUE"""),"https://gld.legislaturacba.gob.ar/_cdd/api/Documento/descargar?guid=c5bb2342-e33f-455f-a1c5-bfdea545fc35&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v>
      </c>
      <c r="R526" s="113" t="str">
        <f ca="1">IFERROR(__xludf.DUMMYFUNCTION("""COMPUTED_VALUE"""),"https://www.youtube.com/watch?v=bxt656sT_PM")</f>
        <v>https://www.youtube.com/watch?v=bxt656sT_PM</v>
      </c>
      <c r="S526" s="113" t="str">
        <f ca="1">IFERROR(__xludf.DUMMYFUNCTION("""COMPUTED_VALUE"""),"https://gld.legislaturacba.gob.ar/Publics/Actas.aspx?id=oNYlzCy9m8g=")</f>
        <v>https://gld.legislaturacba.gob.ar/Publics/Actas.aspx?id=oNYlzCy9m8g=</v>
      </c>
      <c r="T526" s="99">
        <f t="shared" ca="1" si="0"/>
        <v>0</v>
      </c>
    </row>
    <row r="527" spans="1:20">
      <c r="A527" s="20">
        <f ca="1">IFERROR(__xludf.DUMMYFUNCTION("""COMPUTED_VALUE"""),31)</f>
        <v>31</v>
      </c>
      <c r="B527" s="20">
        <f ca="1">IFERROR(__xludf.DUMMYFUNCTION("""COMPUTED_VALUE"""),2022)</f>
        <v>2022</v>
      </c>
      <c r="C527" s="20" t="str">
        <f ca="1">IFERROR(__xludf.DUMMYFUNCTION("""COMPUTED_VALUE"""),"VIRTUAL")</f>
        <v>VIRTUAL</v>
      </c>
      <c r="D527" s="106">
        <f ca="1">IFERROR(__xludf.DUMMYFUNCTION("""COMPUTED_VALUE"""),44637)</f>
        <v>44637</v>
      </c>
      <c r="E527" s="20" t="str">
        <f ca="1">IFERROR(__xludf.DUMMYFUNCTION("""COMPUTED_VALUE"""),"NO")</f>
        <v>NO</v>
      </c>
      <c r="F527" s="20" t="str">
        <f ca="1">IFERROR(__xludf.DUMMYFUNCTION("""COMPUTED_VALUE"""),"ASUNTOS CONSTITUCIONALES, JUSTICIA Y ACUERDOS")</f>
        <v>ASUNTOS CONSTITUCIONALES, JUSTICIA Y ACUERDOS</v>
      </c>
      <c r="G527" s="20">
        <f ca="1">IFERROR(__xludf.DUMMYFUNCTION("""COMPUTED_VALUE"""),1)</f>
        <v>1</v>
      </c>
      <c r="H527" s="20">
        <f ca="1">IFERROR(__xludf.DUMMYFUNCTION("""COMPUTED_VALUE"""),3)</f>
        <v>3</v>
      </c>
      <c r="I527" s="20">
        <f ca="1">IFERROR(__xludf.DUMMYFUNCTION("""COMPUTED_VALUE"""),1)</f>
        <v>1</v>
      </c>
      <c r="J527" s="20" t="str">
        <f ca="1">IFERROR(__xludf.DUMMYFUNCTION("""COMPUTED_VALUE"""),"Pliego")</f>
        <v>Pliego</v>
      </c>
      <c r="K527" s="20">
        <f ca="1">IFERROR(__xludf.DUMMYFUNCTION("""COMPUTED_VALUE"""),34514)</f>
        <v>34514</v>
      </c>
      <c r="L527" s="20" t="str">
        <f ca="1">IFERROR(__xludf.DUMMYFUNCTION("""COMPUTED_VALUE"""),"Poder Ejecutivo Provincial")</f>
        <v>Poder Ejecutivo Provincial</v>
      </c>
      <c r="M527" s="20" t="str">
        <f ca="1">IFERROR(__xludf.DUMMYFUNCTION("""COMPUTED_VALUE"""),"Solicitando acuerdo para designar al abogado Gustavo Alejandro Gómez, como Asesor Letrado de Niñez, Adolescencia, Violencia Familiar y de Género en la Asesoría Itinerante de Niñez, Adolescencia, Violencia Familiar y de Género para las sedes de Villa Dolor"&amp;"es y Cura Brochero")</f>
        <v>Solicitando acuerdo para designar al abogado Gustavo Alejandro Gómez, como Asesor Letrado de Niñez, Adolescencia, Violencia Familiar y de Género en la Asesoría Itinerante de Niñez, Adolescencia, Violencia Familiar y de Género para las sedes de Villa Dolores y Cura Brochero</v>
      </c>
      <c r="N527" s="20" t="str">
        <f ca="1">IFERROR(__xludf.DUMMYFUNCTION("""COMPUTED_VALUE"""),"SI")</f>
        <v>SI</v>
      </c>
      <c r="O527" s="20" t="str">
        <f ca="1">IFERROR(__xludf.DUMMYFUNCTION("""COMPUTED_VALUE"""),"NO")</f>
        <v>NO</v>
      </c>
      <c r="P527" s="20">
        <f ca="1">IFERROR(__xludf.DUMMYFUNCTION("""COMPUTED_VALUE"""),0)</f>
        <v>0</v>
      </c>
      <c r="Q527" s="113" t="str">
        <f ca="1">IFERROR(__xludf.DUMMYFUNCTION("""COMPUTED_VALUE"""),"https://gld.legislaturacba.gob.ar/_cdd/api/Documento/descargar?guid=51df6ddf-3fcd-45c8-8a3c-f6c512e2aa4e&amp;token=oPwFbxpPc2XDWN-89zDOfjM6203_XAkSpo0YpK6J6mORvim05LeOaHxicALu_HwsVnb6n7k7NavxKclyzRHrPiFqCy_j5rkontBJSoDwhHwWjz3s1Y_Nv_j0Q8uUiFz3NZszEluJFc3HvE_f"&amp;"84kdIeFnoLu6QpDQtTIzT1WBwPvbJBRAQkbUPJ4XcE-4Lx3bjqnmTIesrl48NrgyZIaw6-qIaVB6DQXYWrOc_uOjyS1K0QSBbl_hl5jOt0HlQZtD")</f>
        <v>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v>
      </c>
      <c r="R527" s="113" t="str">
        <f ca="1">IFERROR(__xludf.DUMMYFUNCTION("""COMPUTED_VALUE"""),"https://www.youtube.com/watch?v=qW9rwFjCGNg")</f>
        <v>https://www.youtube.com/watch?v=qW9rwFjCGNg</v>
      </c>
      <c r="S527" s="113" t="str">
        <f ca="1">IFERROR(__xludf.DUMMYFUNCTION("""COMPUTED_VALUE"""),"https://gld.legislaturacba.gob.ar/Publics/Actas.aspx?id=U_NcY2N3mrE=")</f>
        <v>https://gld.legislaturacba.gob.ar/Publics/Actas.aspx?id=U_NcY2N3mrE=</v>
      </c>
      <c r="T527" s="99">
        <f t="shared" ca="1" si="0"/>
        <v>0</v>
      </c>
    </row>
    <row r="528" spans="1:20">
      <c r="A528" s="20">
        <f ca="1">IFERROR(__xludf.DUMMYFUNCTION("""COMPUTED_VALUE"""),32)</f>
        <v>32</v>
      </c>
      <c r="B528" s="20">
        <f ca="1">IFERROR(__xludf.DUMMYFUNCTION("""COMPUTED_VALUE"""),2022)</f>
        <v>2022</v>
      </c>
      <c r="C528" s="20" t="str">
        <f ca="1">IFERROR(__xludf.DUMMYFUNCTION("""COMPUTED_VALUE"""),"PRESENCIAL")</f>
        <v>PRESENCIAL</v>
      </c>
      <c r="D528" s="106">
        <f ca="1">IFERROR(__xludf.DUMMYFUNCTION("""COMPUTED_VALUE"""),44641)</f>
        <v>44641</v>
      </c>
      <c r="E528" s="20" t="str">
        <f ca="1">IFERROR(__xludf.DUMMYFUNCTION("""COMPUTED_VALUE"""),"SI")</f>
        <v>SI</v>
      </c>
      <c r="F528" s="20" t="str">
        <f ca="1">IFERROR(__xludf.DUMMYFUNCTION("""COMPUTED_VALUE"""),"AMBIENTE;SERVICIOS PÚBLICOS;AGRICULTURA, GANADERÍA Y RECURSOS RENOVABLES;PROMOCIÓN Y DESARROLLO DE LAS COMUNIDADES REGIONALES")</f>
        <v>AMBIENTE;SERVICIOS PÚBLICOS;AGRICULTURA, GANADERÍA Y RECURSOS RENOVABLES;PROMOCIÓN Y DESARROLLO DE LAS COMUNIDADES REGIONALES</v>
      </c>
      <c r="G528" s="20">
        <f ca="1">IFERROR(__xludf.DUMMYFUNCTION("""COMPUTED_VALUE"""),4)</f>
        <v>4</v>
      </c>
      <c r="H528" s="20">
        <f ca="1">IFERROR(__xludf.DUMMYFUNCTION("""COMPUTED_VALUE"""),1)</f>
        <v>1</v>
      </c>
      <c r="I528" s="20">
        <f ca="1">IFERROR(__xludf.DUMMYFUNCTION("""COMPUTED_VALUE"""),1)</f>
        <v>1</v>
      </c>
      <c r="J528" s="20" t="str">
        <f ca="1">IFERROR(__xludf.DUMMYFUNCTION("""COMPUTED_VALUE"""),"NA")</f>
        <v>NA</v>
      </c>
      <c r="K528" s="20" t="str">
        <f ca="1">IFERROR(__xludf.DUMMYFUNCTION("""COMPUTED_VALUE"""),"NA")</f>
        <v>NA</v>
      </c>
      <c r="L528" s="20" t="str">
        <f ca="1">IFERROR(__xludf.DUMMYFUNCTION("""COMPUTED_VALUE"""),"NA")</f>
        <v>NA</v>
      </c>
      <c r="M528" s="20" t="str">
        <f ca="1">IFERROR(__xludf.DUMMYFUNCTION("""COMPUTED_VALUE"""),"Visita a la Planta Bio 4 (Bioetanol Rio Cuarto S.A) de la localidad de Rio Cuarto, para analizar la situación del sector agroindustrial y del bioetanol en particular")</f>
        <v>Visita a la Planta Bio 4 (Bioetanol Rio Cuarto S.A) de la localidad de Rio Cuarto, para analizar la situación del sector agroindustrial y del bioetanol en particular</v>
      </c>
      <c r="N528" s="20" t="str">
        <f ca="1">IFERROR(__xludf.DUMMYFUNCTION("""COMPUTED_VALUE"""),"NA")</f>
        <v>NA</v>
      </c>
      <c r="O528" s="20" t="str">
        <f ca="1">IFERROR(__xludf.DUMMYFUNCTION("""COMPUTED_VALUE"""),"NO")</f>
        <v>NO</v>
      </c>
      <c r="P528" s="20">
        <f ca="1">IFERROR(__xludf.DUMMYFUNCTION("""COMPUTED_VALUE"""),0)</f>
        <v>0</v>
      </c>
      <c r="Q528" s="113" t="str">
        <f ca="1">IFERROR(__xludf.DUMMYFUNCTION("""COMPUTED_VALUE"""),"https://gld.legislaturacba.gob.ar/_cdd/api/Documento/descargar?guid=1ca4f143-d22e-4697-9d68-e77af0d587a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v>
      </c>
      <c r="R528" s="20" t="str">
        <f ca="1">IFERROR(__xludf.DUMMYFUNCTION("""COMPUTED_VALUE"""),"NA")</f>
        <v>NA</v>
      </c>
      <c r="S528" s="113" t="str">
        <f ca="1">IFERROR(__xludf.DUMMYFUNCTION("""COMPUTED_VALUE"""),"https://gld.legislaturacba.gob.ar/Publics/Actas.aspx?id=z9uDSoPEnjk=;https://gld.legislaturacba.gob.ar/Publics/Actas.aspx?id=AC0OtZ7Zjq8=;https://gld.legislaturacba.gob.ar/Publics/Actas.aspx?id=IVADnGT9Tfg=;https://gld.legislaturacba.gob.ar/Publics/Actas."&amp;"aspx?id=jjhK7lufJls=")</f>
        <v>https://gld.legislaturacba.gob.ar/Publics/Actas.aspx?id=z9uDSoPEnjk=;https://gld.legislaturacba.gob.ar/Publics/Actas.aspx?id=AC0OtZ7Zjq8=;https://gld.legislaturacba.gob.ar/Publics/Actas.aspx?id=IVADnGT9Tfg=;https://gld.legislaturacba.gob.ar/Publics/Actas.aspx?id=jjhK7lufJls=</v>
      </c>
      <c r="T528" s="99">
        <f t="shared" ca="1" si="0"/>
        <v>0</v>
      </c>
    </row>
    <row r="529" spans="1:20">
      <c r="A529" s="20">
        <f ca="1">IFERROR(__xludf.DUMMYFUNCTION("""COMPUTED_VALUE"""),33)</f>
        <v>33</v>
      </c>
      <c r="B529" s="20">
        <f ca="1">IFERROR(__xludf.DUMMYFUNCTION("""COMPUTED_VALUE"""),2022)</f>
        <v>2022</v>
      </c>
      <c r="C529" s="20" t="str">
        <f ca="1">IFERROR(__xludf.DUMMYFUNCTION("""COMPUTED_VALUE"""),"VIRTUAL")</f>
        <v>VIRTUAL</v>
      </c>
      <c r="D529" s="106">
        <f ca="1">IFERROR(__xludf.DUMMYFUNCTION("""COMPUTED_VALUE"""),44642)</f>
        <v>44642</v>
      </c>
      <c r="E529" s="20" t="str">
        <f ca="1">IFERROR(__xludf.DUMMYFUNCTION("""COMPUTED_VALUE"""),"SI")</f>
        <v>SI</v>
      </c>
      <c r="F529" s="20" t="str">
        <f ca="1">IFERROR(__xludf.DUMMYFUNCTION("""COMPUTED_VALUE"""),"LEGISLACIÓN GENERAL;DERECHOS HUMANOS Y DESARROLLO SOCIAL")</f>
        <v>LEGISLACIÓN GENERAL;DERECHOS HUMANOS Y DESARROLLO SOCIAL</v>
      </c>
      <c r="G529" s="20">
        <f ca="1">IFERROR(__xludf.DUMMYFUNCTION("""COMPUTED_VALUE"""),2)</f>
        <v>2</v>
      </c>
      <c r="H529" s="20">
        <f ca="1">IFERROR(__xludf.DUMMYFUNCTION("""COMPUTED_VALUE"""),2)</f>
        <v>2</v>
      </c>
      <c r="I529" s="20">
        <f ca="1">IFERROR(__xludf.DUMMYFUNCTION("""COMPUTED_VALUE"""),1)</f>
        <v>1</v>
      </c>
      <c r="J529" s="20" t="str">
        <f ca="1">IFERROR(__xludf.DUMMYFUNCTION("""COMPUTED_VALUE"""),"Ley")</f>
        <v>Ley</v>
      </c>
      <c r="K529" s="20">
        <f ca="1">IFERROR(__xludf.DUMMYFUNCTION("""COMPUTED_VALUE"""),34691)</f>
        <v>34691</v>
      </c>
      <c r="L529" s="20" t="str">
        <f ca="1">IFERROR(__xludf.DUMMYFUNCTION("""COMPUTED_VALUE"""),"Poder Ejecutivo Provincial")</f>
        <v>Poder Ejecutivo Provincial</v>
      </c>
      <c r="M529" s="20" t="str">
        <f ca="1">IFERROR(__xludf.DUMMYFUNCTION("""COMPUTED_VALUE"""),"Donando a favor de Abuelas de Plaza de Mayo Asociación Civil un inmueble de propiedad de la Provincia de Córdoba, ubicado en calle Bernardino Rivadavia N° 63, 69, 75 y 77 de la ciudad de Córdoba, Dpto. Capital")</f>
        <v>Donando a favor de Abuelas de Plaza de Mayo Asociación Civil un inmueble de propiedad de la Provincia de Córdoba, ubicado en calle Bernardino Rivadavia N° 63, 69, 75 y 77 de la ciudad de Córdoba, Dpto. Capital</v>
      </c>
      <c r="N529" s="20" t="str">
        <f ca="1">IFERROR(__xludf.DUMMYFUNCTION("""COMPUTED_VALUE"""),"SI")</f>
        <v>SI</v>
      </c>
      <c r="O529" s="20" t="str">
        <f ca="1">IFERROR(__xludf.DUMMYFUNCTION("""COMPUTED_VALUE"""),"NO")</f>
        <v>NO</v>
      </c>
      <c r="P529" s="20">
        <f ca="1">IFERROR(__xludf.DUMMYFUNCTION("""COMPUTED_VALUE"""),0)</f>
        <v>0</v>
      </c>
      <c r="Q529" s="113" t="str">
        <f ca="1">IFERROR(__xludf.DUMMYFUNCTION("""COMPUTED_VALUE"""),"https://gld.legislaturacba.gob.ar/_cdd/api/Documento/descargar?guid=40b925b6-e666-4bbe-ac66-dc183cae0ec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v>
      </c>
      <c r="R529" s="113" t="str">
        <f ca="1">IFERROR(__xludf.DUMMYFUNCTION("""COMPUTED_VALUE"""),"https://www.youtube.com/watch?v=Nyeasa61Qpc")</f>
        <v>https://www.youtube.com/watch?v=Nyeasa61Qpc</v>
      </c>
      <c r="S529" s="113" t="str">
        <f ca="1">IFERROR(__xludf.DUMMYFUNCTION("""COMPUTED_VALUE"""),"https://gld.legislaturacba.gob.ar/Publics/Actas.aspx?id=Vtin_cSbkOY=;https://gld.legislaturacba.gob.ar/Publics/Actas.aspx?id=UNiDKaYO96g=")</f>
        <v>https://gld.legislaturacba.gob.ar/Publics/Actas.aspx?id=Vtin_cSbkOY=;https://gld.legislaturacba.gob.ar/Publics/Actas.aspx?id=UNiDKaYO96g=</v>
      </c>
      <c r="T529" s="99">
        <f t="shared" ca="1" si="0"/>
        <v>0</v>
      </c>
    </row>
    <row r="530" spans="1:20">
      <c r="A530" s="20">
        <f ca="1">IFERROR(__xludf.DUMMYFUNCTION("""COMPUTED_VALUE"""),34)</f>
        <v>34</v>
      </c>
      <c r="B530" s="20">
        <f ca="1">IFERROR(__xludf.DUMMYFUNCTION("""COMPUTED_VALUE"""),2022)</f>
        <v>2022</v>
      </c>
      <c r="C530" s="20" t="str">
        <f ca="1">IFERROR(__xludf.DUMMYFUNCTION("""COMPUTED_VALUE"""),"PRESENCIAL")</f>
        <v>PRESENCIAL</v>
      </c>
      <c r="D530" s="106">
        <f ca="1">IFERROR(__xludf.DUMMYFUNCTION("""COMPUTED_VALUE"""),44648)</f>
        <v>44648</v>
      </c>
      <c r="E530" s="20" t="str">
        <f ca="1">IFERROR(__xludf.DUMMYFUNCTION("""COMPUTED_VALUE"""),"NO")</f>
        <v>NO</v>
      </c>
      <c r="F530" s="20" t="str">
        <f ca="1">IFERROR(__xludf.DUMMYFUNCTION("""COMPUTED_VALUE"""),"PROMOCIÓN Y DEFENSA DE LOS DERECHOS DE LA NIÑEZ, ADOLESCENCIA Y FAMILIA")</f>
        <v>PROMOCIÓN Y DEFENSA DE LOS DERECHOS DE LA NIÑEZ, ADOLESCENCIA Y FAMILIA</v>
      </c>
      <c r="G530" s="20">
        <f ca="1">IFERROR(__xludf.DUMMYFUNCTION("""COMPUTED_VALUE"""),1)</f>
        <v>1</v>
      </c>
      <c r="H530" s="20">
        <f ca="1">IFERROR(__xludf.DUMMYFUNCTION("""COMPUTED_VALUE"""),1)</f>
        <v>1</v>
      </c>
      <c r="I530" s="20">
        <f ca="1">IFERROR(__xludf.DUMMYFUNCTION("""COMPUTED_VALUE"""),1)</f>
        <v>1</v>
      </c>
      <c r="J530" s="20" t="str">
        <f ca="1">IFERROR(__xludf.DUMMYFUNCTION("""COMPUTED_VALUE"""),"NA")</f>
        <v>NA</v>
      </c>
      <c r="K530" s="20" t="str">
        <f ca="1">IFERROR(__xludf.DUMMYFUNCTION("""COMPUTED_VALUE"""),"NA")</f>
        <v>NA</v>
      </c>
      <c r="L530" s="20" t="str">
        <f ca="1">IFERROR(__xludf.DUMMYFUNCTION("""COMPUTED_VALUE"""),"NA")</f>
        <v>NA</v>
      </c>
      <c r="M530" s="20" t="str">
        <f ca="1">IFERROR(__xludf.DUMMYFUNCTION("""COMPUTED_VALUE"""),"Visita al ""Complejo Esperanza"" y al Centro Socioeducativo para adolescentes Mujeres (CeSAM)")</f>
        <v>Visita al "Complejo Esperanza" y al Centro Socioeducativo para adolescentes Mujeres (CeSAM)</v>
      </c>
      <c r="N530" s="20" t="str">
        <f ca="1">IFERROR(__xludf.DUMMYFUNCTION("""COMPUTED_VALUE"""),"NA")</f>
        <v>NA</v>
      </c>
      <c r="O530" s="20" t="str">
        <f ca="1">IFERROR(__xludf.DUMMYFUNCTION("""COMPUTED_VALUE"""),"NO")</f>
        <v>NO</v>
      </c>
      <c r="P530" s="20">
        <f ca="1">IFERROR(__xludf.DUMMYFUNCTION("""COMPUTED_VALUE"""),0)</f>
        <v>0</v>
      </c>
      <c r="Q530" s="20" t="str">
        <f ca="1">IFERROR(__xludf.DUMMYFUNCTION("""COMPUTED_VALUE"""),"NA")</f>
        <v>NA</v>
      </c>
      <c r="R530" s="20" t="str">
        <f ca="1">IFERROR(__xludf.DUMMYFUNCTION("""COMPUTED_VALUE"""),"NA")</f>
        <v>NA</v>
      </c>
      <c r="S530" s="113" t="str">
        <f ca="1">IFERROR(__xludf.DUMMYFUNCTION("""COMPUTED_VALUE"""),"https://gld.legislaturacba.gob.ar/Publics/Actas.aspx?id=TPbr0_k2yUY=")</f>
        <v>https://gld.legislaturacba.gob.ar/Publics/Actas.aspx?id=TPbr0_k2yUY=</v>
      </c>
      <c r="T530" s="99">
        <f t="shared" ca="1" si="0"/>
        <v>0</v>
      </c>
    </row>
    <row r="531" spans="1:20">
      <c r="A531" s="20">
        <f ca="1">IFERROR(__xludf.DUMMYFUNCTION("""COMPUTED_VALUE"""),35)</f>
        <v>35</v>
      </c>
      <c r="B531" s="20">
        <f ca="1">IFERROR(__xludf.DUMMYFUNCTION("""COMPUTED_VALUE"""),2022)</f>
        <v>2022</v>
      </c>
      <c r="C531" s="20" t="str">
        <f ca="1">IFERROR(__xludf.DUMMYFUNCTION("""COMPUTED_VALUE"""),"VIRTUAL")</f>
        <v>VIRTUAL</v>
      </c>
      <c r="D531" s="106">
        <f ca="1">IFERROR(__xludf.DUMMYFUNCTION("""COMPUTED_VALUE"""),44649)</f>
        <v>44649</v>
      </c>
      <c r="E531" s="20" t="str">
        <f ca="1">IFERROR(__xludf.DUMMYFUNCTION("""COMPUTED_VALUE"""),"NO")</f>
        <v>NO</v>
      </c>
      <c r="F531" s="20" t="str">
        <f ca="1">IFERROR(__xludf.DUMMYFUNCTION("""COMPUTED_VALUE"""),"LEGISLACIÓN GENERAL")</f>
        <v>LEGISLACIÓN GENERAL</v>
      </c>
      <c r="G531" s="20">
        <f ca="1">IFERROR(__xludf.DUMMYFUNCTION("""COMPUTED_VALUE"""),1)</f>
        <v>1</v>
      </c>
      <c r="H531" s="20">
        <f ca="1">IFERROR(__xludf.DUMMYFUNCTION("""COMPUTED_VALUE"""),3)</f>
        <v>3</v>
      </c>
      <c r="I531" s="20">
        <f ca="1">IFERROR(__xludf.DUMMYFUNCTION("""COMPUTED_VALUE"""),1)</f>
        <v>1</v>
      </c>
      <c r="J531" s="20" t="str">
        <f ca="1">IFERROR(__xludf.DUMMYFUNCTION("""COMPUTED_VALUE"""),"Ley")</f>
        <v>Ley</v>
      </c>
      <c r="K531" s="20">
        <f ca="1">IFERROR(__xludf.DUMMYFUNCTION("""COMPUTED_VALUE"""),34630)</f>
        <v>34630</v>
      </c>
      <c r="L531" s="20" t="str">
        <f ca="1">IFERROR(__xludf.DUMMYFUNCTION("""COMPUTED_VALUE"""),"Poder Legislativo Provincial")</f>
        <v>Poder Legislativo Provincial</v>
      </c>
      <c r="M531" s="20" t="str">
        <f ca="1">IFERROR(__xludf.DUMMYFUNCTION("""COMPUTED_VALUE"""),"Modificando el Art. 1 de la Ley N° 10003, suspendiendo hasta el 31 de marzo de 2023 las ejecuciones que persigan la subasta de bienes inmuebles propiedad de las Asociaciones Civiles, Clubes o Entidades sin Fines de Lucro.")</f>
        <v>Modificando el Art. 1 de la Ley N° 10003, suspendiendo hasta el 31 de marzo de 2023 las ejecuciones que persigan la subasta de bienes inmuebles propiedad de las Asociaciones Civiles, Clubes o Entidades sin Fines de Lucro.</v>
      </c>
      <c r="N531" s="20" t="str">
        <f ca="1">IFERROR(__xludf.DUMMYFUNCTION("""COMPUTED_VALUE"""),"NO")</f>
        <v>NO</v>
      </c>
      <c r="O531" s="20" t="str">
        <f ca="1">IFERROR(__xludf.DUMMYFUNCTION("""COMPUTED_VALUE"""),"NO")</f>
        <v>NO</v>
      </c>
      <c r="P531" s="20">
        <f ca="1">IFERROR(__xludf.DUMMYFUNCTION("""COMPUTED_VALUE"""),0)</f>
        <v>0</v>
      </c>
      <c r="Q531" s="113" t="str">
        <f ca="1">IFERROR(__xludf.DUMMYFUNCTION("""COMPUTED_VALUE"""),"https://gld.legislaturacba.gob.ar/_cdd/api/Documento/descargar?guid=c00105a6-a3ce-447e-b9e6-5611d08e28b8&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v>
      </c>
      <c r="R531" s="113" t="str">
        <f ca="1">IFERROR(__xludf.DUMMYFUNCTION("""COMPUTED_VALUE"""),"https://www.youtube.com/watch?v=4VFSpl8AzPA")</f>
        <v>https://www.youtube.com/watch?v=4VFSpl8AzPA</v>
      </c>
      <c r="S531" s="113" t="str">
        <f ca="1">IFERROR(__xludf.DUMMYFUNCTION("""COMPUTED_VALUE"""),"https://gld.legislaturacba.gob.ar/Publics/Actas.aspx?id=VOiB0FvDC8s=")</f>
        <v>https://gld.legislaturacba.gob.ar/Publics/Actas.aspx?id=VOiB0FvDC8s=</v>
      </c>
      <c r="T531" s="99">
        <f t="shared" ca="1" si="0"/>
        <v>0</v>
      </c>
    </row>
    <row r="532" spans="1:20">
      <c r="A532" s="20">
        <f ca="1">IFERROR(__xludf.DUMMYFUNCTION("""COMPUTED_VALUE"""),36)</f>
        <v>36</v>
      </c>
      <c r="B532" s="20">
        <f ca="1">IFERROR(__xludf.DUMMYFUNCTION("""COMPUTED_VALUE"""),2022)</f>
        <v>2022</v>
      </c>
      <c r="C532" s="20" t="str">
        <f ca="1">IFERROR(__xludf.DUMMYFUNCTION("""COMPUTED_VALUE"""),"VIRTUAL")</f>
        <v>VIRTUAL</v>
      </c>
      <c r="D532" s="106">
        <f ca="1">IFERROR(__xludf.DUMMYFUNCTION("""COMPUTED_VALUE"""),44651)</f>
        <v>44651</v>
      </c>
      <c r="E532" s="20" t="str">
        <f ca="1">IFERROR(__xludf.DUMMYFUNCTION("""COMPUTED_VALUE"""),"NO")</f>
        <v>NO</v>
      </c>
      <c r="F532" s="20" t="str">
        <f ca="1">IFERROR(__xludf.DUMMYFUNCTION("""COMPUTED_VALUE"""),"SERVICIOS PÚBLICOS")</f>
        <v>SERVICIOS PÚBLICOS</v>
      </c>
      <c r="G532" s="20">
        <f ca="1">IFERROR(__xludf.DUMMYFUNCTION("""COMPUTED_VALUE"""),1)</f>
        <v>1</v>
      </c>
      <c r="H532" s="20">
        <f ca="1">IFERROR(__xludf.DUMMYFUNCTION("""COMPUTED_VALUE"""),2)</f>
        <v>2</v>
      </c>
      <c r="I532" s="20">
        <f ca="1">IFERROR(__xludf.DUMMYFUNCTION("""COMPUTED_VALUE"""),1)</f>
        <v>1</v>
      </c>
      <c r="J532" s="20" t="str">
        <f ca="1">IFERROR(__xludf.DUMMYFUNCTION("""COMPUTED_VALUE"""),"Resolución")</f>
        <v>Resolución</v>
      </c>
      <c r="K532" s="20">
        <f ca="1">IFERROR(__xludf.DUMMYFUNCTION("""COMPUTED_VALUE"""),34452)</f>
        <v>34452</v>
      </c>
      <c r="L532" s="20" t="str">
        <f ca="1">IFERROR(__xludf.DUMMYFUNCTION("""COMPUTED_VALUE"""),"Poder Legislativo Provincial")</f>
        <v>Poder Legislativo Provincial</v>
      </c>
      <c r="M532" s="20" t="str">
        <f ca="1">IFERROR(__xludf.DUMMYFUNCTION("""COMPUTED_VALUE"""),"Citando al Directorio del E.R.Se.P para que informe las acciones realizadas como autoridad de aplicación de la Ley Nº 10281, de Seguridad Eléctrica, especialmente sobre sus prórrogas y respecto de municipios y comunas que no presentaron plan de adecuación")</f>
        <v>Citando al Directorio del E.R.Se.P para que informe las acciones realizadas como autoridad de aplicación de la Ley Nº 10281, de Seguridad Eléctrica, especialmente sobre sus prórrogas y respecto de municipios y comunas que no presentaron plan de adecuación</v>
      </c>
      <c r="N532" s="20" t="str">
        <f ca="1">IFERROR(__xludf.DUMMYFUNCTION("""COMPUTED_VALUE"""),"NO")</f>
        <v>NO</v>
      </c>
      <c r="O532" s="20" t="str">
        <f ca="1">IFERROR(__xludf.DUMMYFUNCTION("""COMPUTED_VALUE"""),"SI")</f>
        <v>SI</v>
      </c>
      <c r="P532" s="20">
        <f ca="1">IFERROR(__xludf.DUMMYFUNCTION("""COMPUTED_VALUE"""),1)</f>
        <v>1</v>
      </c>
      <c r="Q532" s="113" t="str">
        <f ca="1">IFERROR(__xludf.DUMMYFUNCTION("""COMPUTED_VALUE"""),"https://gld.legislaturacba.gob.ar/_cdd/api/Documento/descargar?guid=07797ad3-9b8a-4d61-ba3f-11729ba233a6&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v>
      </c>
      <c r="R532" s="113" t="str">
        <f ca="1">IFERROR(__xludf.DUMMYFUNCTION("""COMPUTED_VALUE"""),"https://www.youtube.com/watch?v=-lXsmhPTxUg")</f>
        <v>https://www.youtube.com/watch?v=-lXsmhPTxUg</v>
      </c>
      <c r="S532" s="113" t="str">
        <f ca="1">IFERROR(__xludf.DUMMYFUNCTION("""COMPUTED_VALUE"""),"https://gld.legislaturacba.gob.ar/Publics/Actas.aspx?id=Nemub8280PQ=")</f>
        <v>https://gld.legislaturacba.gob.ar/Publics/Actas.aspx?id=Nemub8280PQ=</v>
      </c>
      <c r="T532" s="99">
        <f t="shared" ca="1" si="0"/>
        <v>0</v>
      </c>
    </row>
    <row r="533" spans="1:20">
      <c r="A533" s="20">
        <f ca="1">IFERROR(__xludf.DUMMYFUNCTION("""COMPUTED_VALUE"""),37)</f>
        <v>37</v>
      </c>
      <c r="B533" s="20">
        <f ca="1">IFERROR(__xludf.DUMMYFUNCTION("""COMPUTED_VALUE"""),2022)</f>
        <v>2022</v>
      </c>
      <c r="C533" s="20" t="str">
        <f ca="1">IFERROR(__xludf.DUMMYFUNCTION("""COMPUTED_VALUE"""),"VIRTUAL")</f>
        <v>VIRTUAL</v>
      </c>
      <c r="D533" s="106">
        <f ca="1">IFERROR(__xludf.DUMMYFUNCTION("""COMPUTED_VALUE"""),44651)</f>
        <v>44651</v>
      </c>
      <c r="E533" s="20" t="str">
        <f ca="1">IFERROR(__xludf.DUMMYFUNCTION("""COMPUTED_VALUE"""),"NO")</f>
        <v>NO</v>
      </c>
      <c r="F533" s="20" t="str">
        <f ca="1">IFERROR(__xludf.DUMMYFUNCTION("""COMPUTED_VALUE"""),"DERECHOS HUMANOS Y DESARROLLO SOCIAL")</f>
        <v>DERECHOS HUMANOS Y DESARROLLO SOCIAL</v>
      </c>
      <c r="G533" s="20">
        <f ca="1">IFERROR(__xludf.DUMMYFUNCTION("""COMPUTED_VALUE"""),1)</f>
        <v>1</v>
      </c>
      <c r="H533" s="20">
        <f ca="1">IFERROR(__xludf.DUMMYFUNCTION("""COMPUTED_VALUE"""),2)</f>
        <v>2</v>
      </c>
      <c r="I533" s="20">
        <f ca="1">IFERROR(__xludf.DUMMYFUNCTION("""COMPUTED_VALUE"""),1)</f>
        <v>1</v>
      </c>
      <c r="J533" s="20" t="str">
        <f ca="1">IFERROR(__xludf.DUMMYFUNCTION("""COMPUTED_VALUE"""),"Ley")</f>
        <v>Ley</v>
      </c>
      <c r="K533" s="20">
        <f ca="1">IFERROR(__xludf.DUMMYFUNCTION("""COMPUTED_VALUE"""),34553)</f>
        <v>34553</v>
      </c>
      <c r="L533" s="20" t="str">
        <f ca="1">IFERROR(__xludf.DUMMYFUNCTION("""COMPUTED_VALUE"""),"Poder Ejecutivo Provincial")</f>
        <v>Poder Ejecutivo Provincial</v>
      </c>
      <c r="M533" s="20" t="str">
        <f ca="1">IFERROR(__xludf.DUMMYFUNCTION("""COMPUTED_VALUE"""),"Declarando de utilidad pública y sujetos a expropiación, para la regularización dominial y el saneamiento de títulos, los inmuebles ubicados en el denominado asentamiento ""El Pueblito 2"" de la ciudad de Córdoba, Dpto. Capital.")</f>
        <v>Declarando de utilidad pública y sujetos a expropiación, para la regularización dominial y el saneamiento de títulos, los inmuebles ubicados en el denominado asentamiento "El Pueblito 2" de la ciudad de Córdoba, Dpto. Capital.</v>
      </c>
      <c r="N533" s="20" t="str">
        <f ca="1">IFERROR(__xludf.DUMMYFUNCTION("""COMPUTED_VALUE"""),"NO")</f>
        <v>NO</v>
      </c>
      <c r="O533" s="20" t="str">
        <f ca="1">IFERROR(__xludf.DUMMYFUNCTION("""COMPUTED_VALUE"""),"SI")</f>
        <v>SI</v>
      </c>
      <c r="P533" s="20">
        <f ca="1">IFERROR(__xludf.DUMMYFUNCTION("""COMPUTED_VALUE"""),2)</f>
        <v>2</v>
      </c>
      <c r="Q533" s="113" t="str">
        <f ca="1">IFERROR(__xludf.DUMMYFUNCTION("""COMPUTED_VALUE"""),"https://gld.legislaturacba.gob.ar/_cdd/api/Documento/descargar?guid=c7cd98e9-1626-4dd4-bc3f-84042ccb5a3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v>
      </c>
      <c r="R533" s="113" t="str">
        <f ca="1">IFERROR(__xludf.DUMMYFUNCTION("""COMPUTED_VALUE"""),"https://www.youtube.com/watch?v=FRry8NuePeQ")</f>
        <v>https://www.youtube.com/watch?v=FRry8NuePeQ</v>
      </c>
      <c r="S533" s="113" t="str">
        <f ca="1">IFERROR(__xludf.DUMMYFUNCTION("""COMPUTED_VALUE"""),"https://gld.legislaturacba.gob.ar/Publics/Actas.aspx?id=FQI3Lxt5BeE=")</f>
        <v>https://gld.legislaturacba.gob.ar/Publics/Actas.aspx?id=FQI3Lxt5BeE=</v>
      </c>
      <c r="T533" s="99">
        <f t="shared" ca="1" si="0"/>
        <v>0</v>
      </c>
    </row>
    <row r="534" spans="1:20">
      <c r="A534" s="20">
        <f ca="1">IFERROR(__xludf.DUMMYFUNCTION("""COMPUTED_VALUE"""),38)</f>
        <v>38</v>
      </c>
      <c r="B534" s="20">
        <f ca="1">IFERROR(__xludf.DUMMYFUNCTION("""COMPUTED_VALUE"""),2022)</f>
        <v>2022</v>
      </c>
      <c r="C534" s="20" t="str">
        <f ca="1">IFERROR(__xludf.DUMMYFUNCTION("""COMPUTED_VALUE"""),"VIRTUAL")</f>
        <v>VIRTUAL</v>
      </c>
      <c r="D534" s="106">
        <f ca="1">IFERROR(__xludf.DUMMYFUNCTION("""COMPUTED_VALUE"""),44651)</f>
        <v>44651</v>
      </c>
      <c r="E534" s="20" t="str">
        <f ca="1">IFERROR(__xludf.DUMMYFUNCTION("""COMPUTED_VALUE"""),"NO")</f>
        <v>NO</v>
      </c>
      <c r="F534" s="20" t="str">
        <f ca="1">IFERROR(__xludf.DUMMYFUNCTION("""COMPUTED_VALUE"""),"EDUCACIÓN, CULTURA, CIENCIA, TECNOLOGÍA E INFORMÁTICA")</f>
        <v>EDUCACIÓN, CULTURA, CIENCIA, TECNOLOGÍA E INFORMÁTICA</v>
      </c>
      <c r="G534" s="20">
        <f ca="1">IFERROR(__xludf.DUMMYFUNCTION("""COMPUTED_VALUE"""),1)</f>
        <v>1</v>
      </c>
      <c r="H534" s="20">
        <f ca="1">IFERROR(__xludf.DUMMYFUNCTION("""COMPUTED_VALUE"""),1)</f>
        <v>1</v>
      </c>
      <c r="I534" s="20">
        <f ca="1">IFERROR(__xludf.DUMMYFUNCTION("""COMPUTED_VALUE"""),1)</f>
        <v>1</v>
      </c>
      <c r="J534" s="20" t="str">
        <f ca="1">IFERROR(__xludf.DUMMYFUNCTION("""COMPUTED_VALUE"""),"Ley")</f>
        <v>Ley</v>
      </c>
      <c r="K534" s="20">
        <f ca="1">IFERROR(__xludf.DUMMYFUNCTION("""COMPUTED_VALUE"""),34639)</f>
        <v>34639</v>
      </c>
      <c r="L534" s="20" t="str">
        <f ca="1">IFERROR(__xludf.DUMMYFUNCTION("""COMPUTED_VALUE"""),"Poder Ejecutivo Provincial")</f>
        <v>Poder Ejecutivo Provincial</v>
      </c>
      <c r="M534" s="20" t="str">
        <f ca="1">IFERROR(__xludf.DUMMYFUNCTION("""COMPUTED_VALUE"""),"Instituyendo el Congreso de Ciencia y Género en el ámbito de la provincia de Córdoba, y estableciendo el “Reconocimiento a mujeres de Ciencia” que se otorgará de manera bianual, en el marco del “Día Internacional de la Mujer y la Niña en la Ciencia")</f>
        <v>Instituyendo el Congreso de Ciencia y Género en el ámbito de la provincia de Córdoba, y estableciendo el “Reconocimiento a mujeres de Ciencia” que se otorgará de manera bianual, en el marco del “Día Internacional de la Mujer y la Niña en la Ciencia</v>
      </c>
      <c r="N534" s="20" t="str">
        <f ca="1">IFERROR(__xludf.DUMMYFUNCTION("""COMPUTED_VALUE"""),"NO")</f>
        <v>NO</v>
      </c>
      <c r="O534" s="20" t="str">
        <f ca="1">IFERROR(__xludf.DUMMYFUNCTION("""COMPUTED_VALUE"""),"SI")</f>
        <v>SI</v>
      </c>
      <c r="P534" s="20">
        <f ca="1">IFERROR(__xludf.DUMMYFUNCTION("""COMPUTED_VALUE"""),1)</f>
        <v>1</v>
      </c>
      <c r="Q534" s="113" t="str">
        <f ca="1">IFERROR(__xludf.DUMMYFUNCTION("""COMPUTED_VALUE"""),"https://gld.legislaturacba.gob.ar/_cdd/api/Documento/descargar?guid=f5531bc1-2cbd-4143-9e08-3bc9e9686396&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v>
      </c>
      <c r="R534" s="113" t="str">
        <f ca="1">IFERROR(__xludf.DUMMYFUNCTION("""COMPUTED_VALUE"""),"https://www.youtube.com/watch?v=L8nZ1af-9Yg")</f>
        <v>https://www.youtube.com/watch?v=L8nZ1af-9Yg</v>
      </c>
      <c r="S534" s="113" t="str">
        <f ca="1">IFERROR(__xludf.DUMMYFUNCTION("""COMPUTED_VALUE"""),"https://gld.legislaturacba.gob.ar/Publics/Actas.aspx?id=HD57EZmR3w4=")</f>
        <v>https://gld.legislaturacba.gob.ar/Publics/Actas.aspx?id=HD57EZmR3w4=</v>
      </c>
      <c r="T534" s="99">
        <f t="shared" ca="1" si="0"/>
        <v>0</v>
      </c>
    </row>
    <row r="535" spans="1:20">
      <c r="A535" s="20">
        <f ca="1">IFERROR(__xludf.DUMMYFUNCTION("""COMPUTED_VALUE"""),39)</f>
        <v>39</v>
      </c>
      <c r="B535" s="20">
        <f ca="1">IFERROR(__xludf.DUMMYFUNCTION("""COMPUTED_VALUE"""),2022)</f>
        <v>2022</v>
      </c>
      <c r="C535" s="20" t="str">
        <f ca="1">IFERROR(__xludf.DUMMYFUNCTION("""COMPUTED_VALUE"""),"VIRTUAL")</f>
        <v>VIRTUAL</v>
      </c>
      <c r="D535" s="106">
        <f ca="1">IFERROR(__xludf.DUMMYFUNCTION("""COMPUTED_VALUE"""),44656)</f>
        <v>44656</v>
      </c>
      <c r="E535" s="20" t="str">
        <f ca="1">IFERROR(__xludf.DUMMYFUNCTION("""COMPUTED_VALUE"""),"SI")</f>
        <v>SI</v>
      </c>
      <c r="F535" s="20" t="str">
        <f ca="1">IFERROR(__xludf.DUMMYFUNCTION("""COMPUTED_VALUE"""),"AMBIENTE;SERVICIOS PÚBLICOS;AGRICULTURA, GANADERÍA Y RECURSOS RENOVABLES;PROMOCIÓN Y DESARROLLO DE LAS COMUNIDADES REGIONALES")</f>
        <v>AMBIENTE;SERVICIOS PÚBLICOS;AGRICULTURA, GANADERÍA Y RECURSOS RENOVABLES;PROMOCIÓN Y DESARROLLO DE LAS COMUNIDADES REGIONALES</v>
      </c>
      <c r="G535" s="20">
        <f ca="1">IFERROR(__xludf.DUMMYFUNCTION("""COMPUTED_VALUE"""),4)</f>
        <v>4</v>
      </c>
      <c r="H535" s="20">
        <f ca="1">IFERROR(__xludf.DUMMYFUNCTION("""COMPUTED_VALUE"""),1)</f>
        <v>1</v>
      </c>
      <c r="I535" s="20">
        <f ca="1">IFERROR(__xludf.DUMMYFUNCTION("""COMPUTED_VALUE"""),1)</f>
        <v>1</v>
      </c>
      <c r="J535" s="20" t="str">
        <f ca="1">IFERROR(__xludf.DUMMYFUNCTION("""COMPUTED_VALUE"""),"NA")</f>
        <v>NA</v>
      </c>
      <c r="K535" s="20" t="str">
        <f ca="1">IFERROR(__xludf.DUMMYFUNCTION("""COMPUTED_VALUE"""),"NA")</f>
        <v>NA</v>
      </c>
      <c r="L535" s="20" t="str">
        <f ca="1">IFERROR(__xludf.DUMMYFUNCTION("""COMPUTED_VALUE"""),"NA")</f>
        <v>NA</v>
      </c>
      <c r="M535" s="20" t="str">
        <f ca="1">IFERROR(__xludf.DUMMYFUNCTION("""COMPUTED_VALUE"""),"Anteproyecto de Resolución sobre Biocombustibles.")</f>
        <v>Anteproyecto de Resolución sobre Biocombustibles.</v>
      </c>
      <c r="N535" s="20" t="str">
        <f ca="1">IFERROR(__xludf.DUMMYFUNCTION("""COMPUTED_VALUE"""),"NA")</f>
        <v>NA</v>
      </c>
      <c r="O535" s="20" t="str">
        <f ca="1">IFERROR(__xludf.DUMMYFUNCTION("""COMPUTED_VALUE"""),"NO")</f>
        <v>NO</v>
      </c>
      <c r="P535" s="20">
        <f ca="1">IFERROR(__xludf.DUMMYFUNCTION("""COMPUTED_VALUE"""),0)</f>
        <v>0</v>
      </c>
      <c r="Q535" s="113" t="str">
        <f ca="1">IFERROR(__xludf.DUMMYFUNCTION("""COMPUTED_VALUE"""),"https://gld.legislaturacba.gob.ar/_cdd/api/Documento/descargar?guid=c9a6fac9-21a4-4d12-a001-cd397e136362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v>
      </c>
      <c r="R535" s="113" t="str">
        <f ca="1">IFERROR(__xludf.DUMMYFUNCTION("""COMPUTED_VALUE"""),"https://www.youtube.com/watch?v=CSR7U2YljCk")</f>
        <v>https://www.youtube.com/watch?v=CSR7U2YljCk</v>
      </c>
      <c r="S535" s="113" t="str">
        <f ca="1">IFERROR(__xludf.DUMMYFUNCTION("""COMPUTED_VALUE"""),"https://gld.legislaturacba.gob.ar/Publics/Actas.aspx?id=0N7IUoc5pOQ=;https://gld.legislaturacba.gob.ar/Publics/Actas.aspx?id=hx2jFjD5HJs=;https://gld.legislaturacba.gob.ar/Publics/Actas.aspx?id=YALKj-svRLw=;https://gld.legislaturacba.gob.ar/Publics/Actas."&amp;"aspx?id=HTASXCcsfhM=")</f>
        <v>https://gld.legislaturacba.gob.ar/Publics/Actas.aspx?id=0N7IUoc5pOQ=;https://gld.legislaturacba.gob.ar/Publics/Actas.aspx?id=hx2jFjD5HJs=;https://gld.legislaturacba.gob.ar/Publics/Actas.aspx?id=YALKj-svRLw=;https://gld.legislaturacba.gob.ar/Publics/Actas.aspx?id=HTASXCcsfhM=</v>
      </c>
      <c r="T535" s="99">
        <f t="shared" ca="1" si="0"/>
        <v>0</v>
      </c>
    </row>
    <row r="536" spans="1:20">
      <c r="A536" s="20">
        <f ca="1">IFERROR(__xludf.DUMMYFUNCTION("""COMPUTED_VALUE"""),40)</f>
        <v>40</v>
      </c>
      <c r="B536" s="20">
        <f ca="1">IFERROR(__xludf.DUMMYFUNCTION("""COMPUTED_VALUE"""),2022)</f>
        <v>2022</v>
      </c>
      <c r="C536" s="20" t="str">
        <f ca="1">IFERROR(__xludf.DUMMYFUNCTION("""COMPUTED_VALUE"""),"VIRTUAL")</f>
        <v>VIRTUAL</v>
      </c>
      <c r="D536" s="106">
        <f ca="1">IFERROR(__xludf.DUMMYFUNCTION("""COMPUTED_VALUE"""),44656)</f>
        <v>44656</v>
      </c>
      <c r="E536" s="20" t="str">
        <f ca="1">IFERROR(__xludf.DUMMYFUNCTION("""COMPUTED_VALUE"""),"NO")</f>
        <v>NO</v>
      </c>
      <c r="F536" s="20" t="str">
        <f ca="1">IFERROR(__xludf.DUMMYFUNCTION("""COMPUTED_VALUE"""),"SALUD HUMANA")</f>
        <v>SALUD HUMANA</v>
      </c>
      <c r="G536" s="20">
        <f ca="1">IFERROR(__xludf.DUMMYFUNCTION("""COMPUTED_VALUE"""),1)</f>
        <v>1</v>
      </c>
      <c r="H536" s="20">
        <f ca="1">IFERROR(__xludf.DUMMYFUNCTION("""COMPUTED_VALUE"""),3)</f>
        <v>3</v>
      </c>
      <c r="I536" s="20">
        <f ca="1">IFERROR(__xludf.DUMMYFUNCTION("""COMPUTED_VALUE"""),1)</f>
        <v>1</v>
      </c>
      <c r="J536" s="20" t="str">
        <f ca="1">IFERROR(__xludf.DUMMYFUNCTION("""COMPUTED_VALUE"""),"NA")</f>
        <v>NA</v>
      </c>
      <c r="K536" s="20" t="str">
        <f ca="1">IFERROR(__xludf.DUMMYFUNCTION("""COMPUTED_VALUE"""),"NA")</f>
        <v>NA</v>
      </c>
      <c r="L536" s="20" t="str">
        <f ca="1">IFERROR(__xludf.DUMMYFUNCTION("""COMPUTED_VALUE"""),"NA")</f>
        <v>NA</v>
      </c>
      <c r="M536" s="20" t="str">
        <f ca="1">IFERROR(__xludf.DUMMYFUNCTION("""COMPUTED_VALUE"""),"Informe de gestión de la Administración Provincial del Seguro de Salud (Apross).")</f>
        <v>Informe de gestión de la Administración Provincial del Seguro de Salud (Apross).</v>
      </c>
      <c r="N536" s="20" t="str">
        <f ca="1">IFERROR(__xludf.DUMMYFUNCTION("""COMPUTED_VALUE"""),"NA")</f>
        <v>NA</v>
      </c>
      <c r="O536" s="20" t="str">
        <f ca="1">IFERROR(__xludf.DUMMYFUNCTION("""COMPUTED_VALUE"""),"SI")</f>
        <v>SI</v>
      </c>
      <c r="P536" s="20">
        <f ca="1">IFERROR(__xludf.DUMMYFUNCTION("""COMPUTED_VALUE"""),5)</f>
        <v>5</v>
      </c>
      <c r="Q536" s="113" t="str">
        <f ca="1">IFERROR(__xludf.DUMMYFUNCTION("""COMPUTED_VALUE"""),"https://gld.legislaturacba.gob.ar/_cdd/api/Documento/descargar?guid=b94a6536-187b-42f8-8947-8300087afe0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v>
      </c>
      <c r="R536" s="113" t="str">
        <f ca="1">IFERROR(__xludf.DUMMYFUNCTION("""COMPUTED_VALUE"""),"https://www.youtube.com/watch?v=U1QToX9sSfM")</f>
        <v>https://www.youtube.com/watch?v=U1QToX9sSfM</v>
      </c>
      <c r="S536" s="113" t="str">
        <f ca="1">IFERROR(__xludf.DUMMYFUNCTION("""COMPUTED_VALUE"""),"https://gld.legislaturacba.gob.ar/Publics/Actas.aspx?id=ZFk3Z66iA0g=")</f>
        <v>https://gld.legislaturacba.gob.ar/Publics/Actas.aspx?id=ZFk3Z66iA0g=</v>
      </c>
      <c r="T536" s="99">
        <f t="shared" ca="1" si="0"/>
        <v>0</v>
      </c>
    </row>
    <row r="537" spans="1:20">
      <c r="A537" s="20">
        <f ca="1">IFERROR(__xludf.DUMMYFUNCTION("""COMPUTED_VALUE"""),41)</f>
        <v>41</v>
      </c>
      <c r="B537" s="20">
        <f ca="1">IFERROR(__xludf.DUMMYFUNCTION("""COMPUTED_VALUE"""),2022)</f>
        <v>2022</v>
      </c>
      <c r="C537" s="20" t="str">
        <f ca="1">IFERROR(__xludf.DUMMYFUNCTION("""COMPUTED_VALUE"""),"VIRTUAL")</f>
        <v>VIRTUAL</v>
      </c>
      <c r="D537" s="106">
        <f ca="1">IFERROR(__xludf.DUMMYFUNCTION("""COMPUTED_VALUE"""),44656)</f>
        <v>44656</v>
      </c>
      <c r="E537" s="20" t="str">
        <f ca="1">IFERROR(__xludf.DUMMYFUNCTION("""COMPUTED_VALUE"""),"SI")</f>
        <v>SI</v>
      </c>
      <c r="F537" s="20" t="str">
        <f ca="1">IFERROR(__xludf.DUMMYFUNCTION("""COMPUTED_VALUE"""),"ECONOMÍA, PRESUPUESTO, GESTIÓN PÚBLICA E INNOVACIÓN;DERECHOS HUMANOS Y DESARROLLO SOCIAL")</f>
        <v>ECONOMÍA, PRESUPUESTO, GESTIÓN PÚBLICA E INNOVACIÓN;DERECHOS HUMANOS Y DESARROLLO SOCIAL</v>
      </c>
      <c r="G537" s="20">
        <f ca="1">IFERROR(__xludf.DUMMYFUNCTION("""COMPUTED_VALUE"""),2)</f>
        <v>2</v>
      </c>
      <c r="H537" s="20">
        <f ca="1">IFERROR(__xludf.DUMMYFUNCTION("""COMPUTED_VALUE"""),2)</f>
        <v>2</v>
      </c>
      <c r="I537" s="20">
        <f ca="1">IFERROR(__xludf.DUMMYFUNCTION("""COMPUTED_VALUE"""),1)</f>
        <v>1</v>
      </c>
      <c r="J537" s="20" t="str">
        <f ca="1">IFERROR(__xludf.DUMMYFUNCTION("""COMPUTED_VALUE"""),"Ley")</f>
        <v>Ley</v>
      </c>
      <c r="K537" s="20">
        <f ca="1">IFERROR(__xludf.DUMMYFUNCTION("""COMPUTED_VALUE"""),34553)</f>
        <v>34553</v>
      </c>
      <c r="L537" s="20" t="str">
        <f ca="1">IFERROR(__xludf.DUMMYFUNCTION("""COMPUTED_VALUE"""),"Poder Ejecutivo Provincial")</f>
        <v>Poder Ejecutivo Provincial</v>
      </c>
      <c r="M537" s="20" t="str">
        <f ca="1">IFERROR(__xludf.DUMMYFUNCTION("""COMPUTED_VALUE"""),"Declarando de utilidad pública y sujetos a expropiación, para la regularización dominial y el saneamiento de títulos, los inmuebles ubicados en el denominado asentamiento ""El Pueblito 2"" de la ciudad de Córdoba, Dpto. Capital")</f>
        <v>Declarando de utilidad pública y sujetos a expropiación, para la regularización dominial y el saneamiento de títulos, los inmuebles ubicados en el denominado asentamiento "El Pueblito 2" de la ciudad de Córdoba, Dpto. Capital</v>
      </c>
      <c r="N537" s="20" t="str">
        <f ca="1">IFERROR(__xludf.DUMMYFUNCTION("""COMPUTED_VALUE"""),"SI")</f>
        <v>SI</v>
      </c>
      <c r="O537" s="20" t="str">
        <f ca="1">IFERROR(__xludf.DUMMYFUNCTION("""COMPUTED_VALUE"""),"NO")</f>
        <v>NO</v>
      </c>
      <c r="P537" s="20">
        <f ca="1">IFERROR(__xludf.DUMMYFUNCTION("""COMPUTED_VALUE"""),0)</f>
        <v>0</v>
      </c>
      <c r="Q537" s="113" t="str">
        <f ca="1">IFERROR(__xludf.DUMMYFUNCTION("""COMPUTED_VALUE"""),"https://gld.legislaturacba.gob.ar/_cdd/api/Documento/descargar?guid=3cafa43c-e0ae-4697-bfd8-e578936145e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v>
      </c>
      <c r="R537" s="20" t="str">
        <f ca="1">IFERROR(__xludf.DUMMYFUNCTION("""COMPUTED_VALUE"""),"NA")</f>
        <v>NA</v>
      </c>
      <c r="S537" s="113" t="str">
        <f ca="1">IFERROR(__xludf.DUMMYFUNCTION("""COMPUTED_VALUE"""),"https://gld.legislaturacba.gob.ar/Publics/Actas.aspx?id=bHnaVJ0Do14=;https://gld.legislaturacba.gob.ar/Publics/Actas.aspx?id=wk2jj1DxDcE=")</f>
        <v>https://gld.legislaturacba.gob.ar/Publics/Actas.aspx?id=bHnaVJ0Do14=;https://gld.legislaturacba.gob.ar/Publics/Actas.aspx?id=wk2jj1DxDcE=</v>
      </c>
      <c r="T537" s="99">
        <f t="shared" ca="1" si="0"/>
        <v>0</v>
      </c>
    </row>
    <row r="538" spans="1:20">
      <c r="A538" s="20">
        <f ca="1">IFERROR(__xludf.DUMMYFUNCTION("""COMPUTED_VALUE"""),42)</f>
        <v>42</v>
      </c>
      <c r="B538" s="20">
        <f ca="1">IFERROR(__xludf.DUMMYFUNCTION("""COMPUTED_VALUE"""),2022)</f>
        <v>2022</v>
      </c>
      <c r="C538" s="20" t="str">
        <f ca="1">IFERROR(__xludf.DUMMYFUNCTION("""COMPUTED_VALUE"""),"PRESENCIAL")</f>
        <v>PRESENCIAL</v>
      </c>
      <c r="D538" s="106">
        <f ca="1">IFERROR(__xludf.DUMMYFUNCTION("""COMPUTED_VALUE"""),44658)</f>
        <v>44658</v>
      </c>
      <c r="E538" s="20" t="str">
        <f ca="1">IFERROR(__xludf.DUMMYFUNCTION("""COMPUTED_VALUE"""),"SI")</f>
        <v>SI</v>
      </c>
      <c r="F538" s="20" t="str">
        <f ca="1">IFERROR(__xludf.DUMMYFUNCTION("""COMPUTED_VALUE"""),"INDUSTRIA Y MINERÍA;PROMOCIÓN Y DESARROLLO DE ECONOMÍAS REGIONALES Y PYMES")</f>
        <v>INDUSTRIA Y MINERÍA;PROMOCIÓN Y DESARROLLO DE ECONOMÍAS REGIONALES Y PYMES</v>
      </c>
      <c r="G538" s="20">
        <f ca="1">IFERROR(__xludf.DUMMYFUNCTION("""COMPUTED_VALUE"""),2)</f>
        <v>2</v>
      </c>
      <c r="H538" s="20">
        <f ca="1">IFERROR(__xludf.DUMMYFUNCTION("""COMPUTED_VALUE"""),1)</f>
        <v>1</v>
      </c>
      <c r="I538" s="20">
        <f ca="1">IFERROR(__xludf.DUMMYFUNCTION("""COMPUTED_VALUE"""),1)</f>
        <v>1</v>
      </c>
      <c r="J538" s="20" t="str">
        <f ca="1">IFERROR(__xludf.DUMMYFUNCTION("""COMPUTED_VALUE"""),"NA")</f>
        <v>NA</v>
      </c>
      <c r="K538" s="20" t="str">
        <f ca="1">IFERROR(__xludf.DUMMYFUNCTION("""COMPUTED_VALUE"""),"NA")</f>
        <v>NA</v>
      </c>
      <c r="L538" s="20" t="str">
        <f ca="1">IFERROR(__xludf.DUMMYFUNCTION("""COMPUTED_VALUE"""),"NA")</f>
        <v>NA</v>
      </c>
      <c r="M538" s="20" t="str">
        <f ca="1">IFERROR(__xludf.DUMMYFUNCTION("""COMPUTED_VALUE"""),"Visita a la Planta Fiat")</f>
        <v>Visita a la Planta Fiat</v>
      </c>
      <c r="N538" s="20" t="str">
        <f ca="1">IFERROR(__xludf.DUMMYFUNCTION("""COMPUTED_VALUE"""),"NA")</f>
        <v>NA</v>
      </c>
      <c r="O538" s="20" t="str">
        <f ca="1">IFERROR(__xludf.DUMMYFUNCTION("""COMPUTED_VALUE"""),"NO")</f>
        <v>NO</v>
      </c>
      <c r="P538" s="20">
        <f ca="1">IFERROR(__xludf.DUMMYFUNCTION("""COMPUTED_VALUE"""),0)</f>
        <v>0</v>
      </c>
      <c r="Q538" s="20" t="str">
        <f ca="1">IFERROR(__xludf.DUMMYFUNCTION("""COMPUTED_VALUE"""),"NA")</f>
        <v>NA</v>
      </c>
      <c r="R538" s="20" t="str">
        <f ca="1">IFERROR(__xludf.DUMMYFUNCTION("""COMPUTED_VALUE"""),"NA")</f>
        <v>NA</v>
      </c>
      <c r="S538" s="113" t="str">
        <f ca="1">IFERROR(__xludf.DUMMYFUNCTION("""COMPUTED_VALUE"""),"https://gld.legislaturacba.gob.ar/Publics/Actas.aspx?id=WRx8XypJhuY=;https://gld.legislaturacba.gob.ar/Publics/Actas.aspx?id=BRQ3pxgfcqo=")</f>
        <v>https://gld.legislaturacba.gob.ar/Publics/Actas.aspx?id=WRx8XypJhuY=;https://gld.legislaturacba.gob.ar/Publics/Actas.aspx?id=BRQ3pxgfcqo=</v>
      </c>
      <c r="T538" s="99">
        <f t="shared" ca="1" si="0"/>
        <v>0</v>
      </c>
    </row>
    <row r="539" spans="1:20">
      <c r="A539" s="20">
        <f ca="1">IFERROR(__xludf.DUMMYFUNCTION("""COMPUTED_VALUE"""),43)</f>
        <v>43</v>
      </c>
      <c r="B539" s="20">
        <f ca="1">IFERROR(__xludf.DUMMYFUNCTION("""COMPUTED_VALUE"""),2022)</f>
        <v>2022</v>
      </c>
      <c r="C539" s="20" t="str">
        <f ca="1">IFERROR(__xludf.DUMMYFUNCTION("""COMPUTED_VALUE"""),"SEMIPRESENCIAL")</f>
        <v>SEMIPRESENCIAL</v>
      </c>
      <c r="D539" s="106">
        <f ca="1">IFERROR(__xludf.DUMMYFUNCTION("""COMPUTED_VALUE"""),44658)</f>
        <v>44658</v>
      </c>
      <c r="E539" s="20" t="str">
        <f ca="1">IFERROR(__xludf.DUMMYFUNCTION("""COMPUTED_VALUE"""),"NO")</f>
        <v>NO</v>
      </c>
      <c r="F539" s="20" t="str">
        <f ca="1">IFERROR(__xludf.DUMMYFUNCTION("""COMPUTED_VALUE"""),"AMBIENTE")</f>
        <v>AMBIENTE</v>
      </c>
      <c r="G539" s="20">
        <f ca="1">IFERROR(__xludf.DUMMYFUNCTION("""COMPUTED_VALUE"""),1)</f>
        <v>1</v>
      </c>
      <c r="H539" s="20">
        <f ca="1">IFERROR(__xludf.DUMMYFUNCTION("""COMPUTED_VALUE"""),1)</f>
        <v>1</v>
      </c>
      <c r="I539" s="20">
        <f ca="1">IFERROR(__xludf.DUMMYFUNCTION("""COMPUTED_VALUE"""),1)</f>
        <v>1</v>
      </c>
      <c r="J539" s="20" t="str">
        <f ca="1">IFERROR(__xludf.DUMMYFUNCTION("""COMPUTED_VALUE"""),"NA")</f>
        <v>NA</v>
      </c>
      <c r="K539" s="20" t="str">
        <f ca="1">IFERROR(__xludf.DUMMYFUNCTION("""COMPUTED_VALUE"""),"NA")</f>
        <v>NA</v>
      </c>
      <c r="L539" s="20" t="str">
        <f ca="1">IFERROR(__xludf.DUMMYFUNCTION("""COMPUTED_VALUE"""),"NA")</f>
        <v>NA</v>
      </c>
      <c r="M539" s="20" t="str">
        <f ca="1">IFERROR(__xludf.DUMMYFUNCTION("""COMPUTED_VALUE"""),"Presentación de Informe y Diagnostico Ambietal")</f>
        <v>Presentación de Informe y Diagnostico Ambietal</v>
      </c>
      <c r="N539" s="20" t="str">
        <f ca="1">IFERROR(__xludf.DUMMYFUNCTION("""COMPUTED_VALUE"""),"NA")</f>
        <v>NA</v>
      </c>
      <c r="O539" s="20" t="str">
        <f ca="1">IFERROR(__xludf.DUMMYFUNCTION("""COMPUTED_VALUE"""),"SI")</f>
        <v>SI</v>
      </c>
      <c r="P539" s="20">
        <f ca="1">IFERROR(__xludf.DUMMYFUNCTION("""COMPUTED_VALUE"""),5)</f>
        <v>5</v>
      </c>
      <c r="Q539" s="113" t="str">
        <f ca="1">IFERROR(__xludf.DUMMYFUNCTION("""COMPUTED_VALUE"""),"https://gld.legislaturacba.gob.ar/_cdd/api/Documento/descargar?guid=d1fe50c7-1d44-458f-b852-c1648a957b84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v>
      </c>
      <c r="R539" s="113" t="str">
        <f ca="1">IFERROR(__xludf.DUMMYFUNCTION("""COMPUTED_VALUE"""),"https://www.youtube.com/watch?v=Or4RWCZcT48")</f>
        <v>https://www.youtube.com/watch?v=Or4RWCZcT48</v>
      </c>
      <c r="S539" s="113" t="str">
        <f ca="1">IFERROR(__xludf.DUMMYFUNCTION("""COMPUTED_VALUE"""),"https://gld.legislaturacba.gob.ar/Publics/Actas.aspx?id=38PDFgd7u20=")</f>
        <v>https://gld.legislaturacba.gob.ar/Publics/Actas.aspx?id=38PDFgd7u20=</v>
      </c>
      <c r="T539" s="99">
        <f t="shared" ca="1" si="0"/>
        <v>0</v>
      </c>
    </row>
    <row r="540" spans="1:20">
      <c r="A540" s="20">
        <f ca="1">IFERROR(__xludf.DUMMYFUNCTION("""COMPUTED_VALUE"""),44)</f>
        <v>44</v>
      </c>
      <c r="B540" s="20">
        <f ca="1">IFERROR(__xludf.DUMMYFUNCTION("""COMPUTED_VALUE"""),2022)</f>
        <v>2022</v>
      </c>
      <c r="C540" s="20" t="str">
        <f ca="1">IFERROR(__xludf.DUMMYFUNCTION("""COMPUTED_VALUE"""),"VIRTUAL")</f>
        <v>VIRTUAL</v>
      </c>
      <c r="D540" s="106">
        <f ca="1">IFERROR(__xludf.DUMMYFUNCTION("""COMPUTED_VALUE"""),44663)</f>
        <v>44663</v>
      </c>
      <c r="E540" s="20" t="str">
        <f ca="1">IFERROR(__xludf.DUMMYFUNCTION("""COMPUTED_VALUE"""),"SI")</f>
        <v>SI</v>
      </c>
      <c r="F540" s="20" t="str">
        <f ca="1">IFERROR(__xludf.DUMMYFUNCTION("""COMPUTED_VALUE"""),"LEGISLACIÓN DEL TRABAJO, PREVISIÓN Y SEGURIDAD SOCIAL;SALUD HUMANA")</f>
        <v>LEGISLACIÓN DEL TRABAJO, PREVISIÓN Y SEGURIDAD SOCIAL;SALUD HUMANA</v>
      </c>
      <c r="G540" s="20">
        <f ca="1">IFERROR(__xludf.DUMMYFUNCTION("""COMPUTED_VALUE"""),2)</f>
        <v>2</v>
      </c>
      <c r="H540" s="20">
        <f ca="1">IFERROR(__xludf.DUMMYFUNCTION("""COMPUTED_VALUE"""),1)</f>
        <v>1</v>
      </c>
      <c r="I540" s="20">
        <f ca="1">IFERROR(__xludf.DUMMYFUNCTION("""COMPUTED_VALUE"""),1)</f>
        <v>1</v>
      </c>
      <c r="J540" s="20" t="str">
        <f ca="1">IFERROR(__xludf.DUMMYFUNCTION("""COMPUTED_VALUE"""),"NA")</f>
        <v>NA</v>
      </c>
      <c r="K540" s="20">
        <f ca="1">IFERROR(__xludf.DUMMYFUNCTION("""COMPUTED_VALUE"""),31520)</f>
        <v>31520</v>
      </c>
      <c r="L540" s="20" t="str">
        <f ca="1">IFERROR(__xludf.DUMMYFUNCTION("""COMPUTED_VALUE"""),"Poder Legislativo Provincial")</f>
        <v>Poder Legislativo Provincial</v>
      </c>
      <c r="M540"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40" s="20" t="str">
        <f ca="1">IFERROR(__xludf.DUMMYFUNCTION("""COMPUTED_VALUE"""),"NO")</f>
        <v>NO</v>
      </c>
      <c r="O540" s="20" t="str">
        <f ca="1">IFERROR(__xludf.DUMMYFUNCTION("""COMPUTED_VALUE"""),"NO")</f>
        <v>NO</v>
      </c>
      <c r="P540" s="20">
        <f ca="1">IFERROR(__xludf.DUMMYFUNCTION("""COMPUTED_VALUE"""),0)</f>
        <v>0</v>
      </c>
      <c r="Q540" s="113" t="str">
        <f ca="1">IFERROR(__xludf.DUMMYFUNCTION("""COMPUTED_VALUE"""),"https://gld.legislaturacba.gob.ar/_cdd/api/Documento/descargar?guid=d2b2cfa9-ca1a-44e9-9fcb-587cc15b57d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v>
      </c>
      <c r="R540" s="113" t="str">
        <f ca="1">IFERROR(__xludf.DUMMYFUNCTION("""COMPUTED_VALUE"""),"https://www.youtube.com/watch?v=uJAPbUxD654")</f>
        <v>https://www.youtube.com/watch?v=uJAPbUxD654</v>
      </c>
      <c r="S540" s="113" t="str">
        <f ca="1">IFERROR(__xludf.DUMMYFUNCTION("""COMPUTED_VALUE"""),"https://gld.legislaturacba.gob.ar/Publics/Actas.aspx?id=n4zw-3NLzn8=;https://gld.legislaturacba.gob.ar/Publics/Actas.aspx?id=6Zo7IqTRqZQ=")</f>
        <v>https://gld.legislaturacba.gob.ar/Publics/Actas.aspx?id=n4zw-3NLzn8=;https://gld.legislaturacba.gob.ar/Publics/Actas.aspx?id=6Zo7IqTRqZQ=</v>
      </c>
      <c r="T540" s="99">
        <f t="shared" ca="1" si="0"/>
        <v>0</v>
      </c>
    </row>
    <row r="541" spans="1:20">
      <c r="A541" s="20">
        <f ca="1">IFERROR(__xludf.DUMMYFUNCTION("""COMPUTED_VALUE"""),45)</f>
        <v>45</v>
      </c>
      <c r="B541" s="20">
        <f ca="1">IFERROR(__xludf.DUMMYFUNCTION("""COMPUTED_VALUE"""),2022)</f>
        <v>2022</v>
      </c>
      <c r="C541" s="20" t="str">
        <f ca="1">IFERROR(__xludf.DUMMYFUNCTION("""COMPUTED_VALUE"""),"VIRTUAL")</f>
        <v>VIRTUAL</v>
      </c>
      <c r="D541" s="106">
        <f ca="1">IFERROR(__xludf.DUMMYFUNCTION("""COMPUTED_VALUE"""),44663)</f>
        <v>44663</v>
      </c>
      <c r="E541" s="20" t="str">
        <f ca="1">IFERROR(__xludf.DUMMYFUNCTION("""COMPUTED_VALUE"""),"NO")</f>
        <v>NO</v>
      </c>
      <c r="F541" s="20" t="str">
        <f ca="1">IFERROR(__xludf.DUMMYFUNCTION("""COMPUTED_VALUE"""),"ASUNTOS CONSTITUCIONALES, JUSTICIA Y ACUERDOS")</f>
        <v>ASUNTOS CONSTITUCIONALES, JUSTICIA Y ACUERDOS</v>
      </c>
      <c r="G541" s="20">
        <f ca="1">IFERROR(__xludf.DUMMYFUNCTION("""COMPUTED_VALUE"""),1)</f>
        <v>1</v>
      </c>
      <c r="H541" s="20">
        <f ca="1">IFERROR(__xludf.DUMMYFUNCTION("""COMPUTED_VALUE"""),6)</f>
        <v>6</v>
      </c>
      <c r="I541" s="20">
        <f ca="1">IFERROR(__xludf.DUMMYFUNCTION("""COMPUTED_VALUE"""),1)</f>
        <v>1</v>
      </c>
      <c r="J541" s="20" t="str">
        <f ca="1">IFERROR(__xludf.DUMMYFUNCTION("""COMPUTED_VALUE"""),"Pliego")</f>
        <v>Pliego</v>
      </c>
      <c r="K541" s="20">
        <f ca="1">IFERROR(__xludf.DUMMYFUNCTION("""COMPUTED_VALUE"""),34749)</f>
        <v>34749</v>
      </c>
      <c r="L541" s="20" t="str">
        <f ca="1">IFERROR(__xludf.DUMMYFUNCTION("""COMPUTED_VALUE"""),"Poder Ejecutivo Provincial")</f>
        <v>Poder Ejecutivo Provincial</v>
      </c>
      <c r="M541" s="20" t="str">
        <f ca="1">IFERROR(__xludf.DUMMYFUNCTION("""COMPUTED_VALUE"""),"Solicitando la incorporación del Abogado Marcelo Daniel Sicardi al Padrón de Magistrados y Funcionarios reemplazantes, aprobado por R-3700/22.")</f>
        <v>Solicitando la incorporación del Abogado Marcelo Daniel Sicardi al Padrón de Magistrados y Funcionarios reemplazantes, aprobado por R-3700/22.</v>
      </c>
      <c r="N541" s="20" t="str">
        <f ca="1">IFERROR(__xludf.DUMMYFUNCTION("""COMPUTED_VALUE"""),"SI")</f>
        <v>SI</v>
      </c>
      <c r="O541" s="20" t="str">
        <f ca="1">IFERROR(__xludf.DUMMYFUNCTION("""COMPUTED_VALUE"""),"NO")</f>
        <v>NO</v>
      </c>
      <c r="P541" s="20">
        <f ca="1">IFERROR(__xludf.DUMMYFUNCTION("""COMPUTED_VALUE"""),0)</f>
        <v>0</v>
      </c>
      <c r="Q541" s="113" t="str">
        <f ca="1">IFERROR(__xludf.DUMMYFUNCTION("""COMPUTED_VALUE"""),"https://gld.legislaturacba.gob.ar/_cdd/api/Documento/descargar?guid=4d1a58b3-0d0d-49a6-85aa-c00fca79e128&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v>
      </c>
      <c r="R541" s="113" t="str">
        <f ca="1">IFERROR(__xludf.DUMMYFUNCTION("""COMPUTED_VALUE"""),"https://www.youtube.com/watch?v=n_hTzU-lDf4")</f>
        <v>https://www.youtube.com/watch?v=n_hTzU-lDf4</v>
      </c>
      <c r="S541" s="113" t="str">
        <f ca="1">IFERROR(__xludf.DUMMYFUNCTION("""COMPUTED_VALUE"""),"https://gld.legislaturacba.gob.ar/Publics/Actas.aspx?id=gPvuS2r-QWA=")</f>
        <v>https://gld.legislaturacba.gob.ar/Publics/Actas.aspx?id=gPvuS2r-QWA=</v>
      </c>
      <c r="T541" s="99">
        <f t="shared" ca="1" si="0"/>
        <v>0</v>
      </c>
    </row>
    <row r="542" spans="1:20">
      <c r="A542" s="20">
        <f ca="1">IFERROR(__xludf.DUMMYFUNCTION("""COMPUTED_VALUE"""),46)</f>
        <v>46</v>
      </c>
      <c r="B542" s="20">
        <f ca="1">IFERROR(__xludf.DUMMYFUNCTION("""COMPUTED_VALUE"""),2022)</f>
        <v>2022</v>
      </c>
      <c r="C542" s="20" t="str">
        <f ca="1">IFERROR(__xludf.DUMMYFUNCTION("""COMPUTED_VALUE"""),"VIRTUAL")</f>
        <v>VIRTUAL</v>
      </c>
      <c r="D542" s="106">
        <f ca="1">IFERROR(__xludf.DUMMYFUNCTION("""COMPUTED_VALUE"""),44663)</f>
        <v>44663</v>
      </c>
      <c r="E542" s="20" t="str">
        <f ca="1">IFERROR(__xludf.DUMMYFUNCTION("""COMPUTED_VALUE"""),"NO")</f>
        <v>NO</v>
      </c>
      <c r="F542" s="20" t="str">
        <f ca="1">IFERROR(__xludf.DUMMYFUNCTION("""COMPUTED_VALUE"""),"EDUCACIÓN, CULTURA, CIENCIA, TECNOLOGÍA E INFORMÁTICA")</f>
        <v>EDUCACIÓN, CULTURA, CIENCIA, TECNOLOGÍA E INFORMÁTICA</v>
      </c>
      <c r="G542" s="20">
        <f ca="1">IFERROR(__xludf.DUMMYFUNCTION("""COMPUTED_VALUE"""),1)</f>
        <v>1</v>
      </c>
      <c r="H542" s="20">
        <f ca="1">IFERROR(__xludf.DUMMYFUNCTION("""COMPUTED_VALUE"""),2)</f>
        <v>2</v>
      </c>
      <c r="I542" s="20">
        <f ca="1">IFERROR(__xludf.DUMMYFUNCTION("""COMPUTED_VALUE"""),1)</f>
        <v>1</v>
      </c>
      <c r="J542" s="20" t="str">
        <f ca="1">IFERROR(__xludf.DUMMYFUNCTION("""COMPUTED_VALUE"""),"Resolución")</f>
        <v>Resolución</v>
      </c>
      <c r="K542" s="20">
        <f ca="1">IFERROR(__xludf.DUMMYFUNCTION("""COMPUTED_VALUE"""),34760)</f>
        <v>34760</v>
      </c>
      <c r="L542" s="20" t="str">
        <f ca="1">IFERROR(__xludf.DUMMYFUNCTION("""COMPUTED_VALUE"""),"Poder Legislativo Provincial")</f>
        <v>Poder Legislativo Provincial</v>
      </c>
      <c r="M542" s="20" t="str">
        <f ca="1">IFERROR(__xludf.DUMMYFUNCTION("""COMPUTED_VALUE"""),"Solicitando al Poder Ejecutivo informe (Art. 102 C.P.) sobre diversos aspectos relacionados a los CENMA y CENPA que funcionan en toda la provincia")</f>
        <v>Solicitando al Poder Ejecutivo informe (Art. 102 C.P.) sobre diversos aspectos relacionados a los CENMA y CENPA que funcionan en toda la provincia</v>
      </c>
      <c r="N542" s="20" t="str">
        <f ca="1">IFERROR(__xludf.DUMMYFUNCTION("""COMPUTED_VALUE"""),"NO")</f>
        <v>NO</v>
      </c>
      <c r="O542" s="20" t="str">
        <f ca="1">IFERROR(__xludf.DUMMYFUNCTION("""COMPUTED_VALUE"""),"SI")</f>
        <v>SI</v>
      </c>
      <c r="P542" s="20">
        <f ca="1">IFERROR(__xludf.DUMMYFUNCTION("""COMPUTED_VALUE"""),1)</f>
        <v>1</v>
      </c>
      <c r="Q542" s="113" t="str">
        <f ca="1">IFERROR(__xludf.DUMMYFUNCTION("""COMPUTED_VALUE"""),"https://gld.legislaturacba.gob.ar/_cdd/api/Documento/descargar?guid=daa6f934-e6dd-4d29-9413-3b0b5612a7e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v>
      </c>
      <c r="R542" s="113" t="str">
        <f ca="1">IFERROR(__xludf.DUMMYFUNCTION("""COMPUTED_VALUE"""),"https://www.youtube.com/watch?v=DeilSavCTyU")</f>
        <v>https://www.youtube.com/watch?v=DeilSavCTyU</v>
      </c>
      <c r="S542" s="113" t="str">
        <f ca="1">IFERROR(__xludf.DUMMYFUNCTION("""COMPUTED_VALUE"""),"https://gld.legislaturacba.gob.ar/Publics/Actas.aspx?id=R8FQkW7sD94=")</f>
        <v>https://gld.legislaturacba.gob.ar/Publics/Actas.aspx?id=R8FQkW7sD94=</v>
      </c>
      <c r="T542" s="99">
        <f t="shared" ca="1" si="0"/>
        <v>0</v>
      </c>
    </row>
    <row r="543" spans="1:20">
      <c r="A543" s="20">
        <f ca="1">IFERROR(__xludf.DUMMYFUNCTION("""COMPUTED_VALUE"""),47)</f>
        <v>47</v>
      </c>
      <c r="B543" s="20">
        <f ca="1">IFERROR(__xludf.DUMMYFUNCTION("""COMPUTED_VALUE"""),2022)</f>
        <v>2022</v>
      </c>
      <c r="C543" s="20" t="str">
        <f ca="1">IFERROR(__xludf.DUMMYFUNCTION("""COMPUTED_VALUE"""),"VIRTUAL")</f>
        <v>VIRTUAL</v>
      </c>
      <c r="D543" s="106">
        <f ca="1">IFERROR(__xludf.DUMMYFUNCTION("""COMPUTED_VALUE"""),44663)</f>
        <v>44663</v>
      </c>
      <c r="E543" s="20" t="str">
        <f ca="1">IFERROR(__xludf.DUMMYFUNCTION("""COMPUTED_VALUE"""),"NO")</f>
        <v>NO</v>
      </c>
      <c r="F543" s="20" t="str">
        <f ca="1">IFERROR(__xludf.DUMMYFUNCTION("""COMPUTED_VALUE"""),"PROMOCIÓN Y DEFENSA DE LOS DERECHOS DE LA NIÑEZ, ADOLESCENCIA Y FAMILIA")</f>
        <v>PROMOCIÓN Y DEFENSA DE LOS DERECHOS DE LA NIÑEZ, ADOLESCENCIA Y FAMILIA</v>
      </c>
      <c r="G543" s="20">
        <f ca="1">IFERROR(__xludf.DUMMYFUNCTION("""COMPUTED_VALUE"""),1)</f>
        <v>1</v>
      </c>
      <c r="H543" s="20">
        <f ca="1">IFERROR(__xludf.DUMMYFUNCTION("""COMPUTED_VALUE"""),2)</f>
        <v>2</v>
      </c>
      <c r="I543" s="20">
        <f ca="1">IFERROR(__xludf.DUMMYFUNCTION("""COMPUTED_VALUE"""),1)</f>
        <v>1</v>
      </c>
      <c r="J543" s="20" t="str">
        <f ca="1">IFERROR(__xludf.DUMMYFUNCTION("""COMPUTED_VALUE"""),"Resolución")</f>
        <v>Resolución</v>
      </c>
      <c r="K543" s="20">
        <f ca="1">IFERROR(__xludf.DUMMYFUNCTION("""COMPUTED_VALUE"""),34490)</f>
        <v>34490</v>
      </c>
      <c r="L543" s="20" t="str">
        <f ca="1">IFERROR(__xludf.DUMMYFUNCTION("""COMPUTED_VALUE"""),"Poder Legislativo Provincial")</f>
        <v>Poder Legislativo Provincial</v>
      </c>
      <c r="M543" s="20" t="str">
        <f ca="1">IFERROR(__xludf.DUMMYFUNCTION("""COMPUTED_VALUE"""),"Solicitando al Poder Ejecutivo informe (Art. 102 C.P.) detalladamente sobre cuestiones referidas al funcionamiento de las subsedes de la Defensoría de Niñas, Niños y Adolescentes.")</f>
        <v>Solicitando al Poder Ejecutivo informe (Art. 102 C.P.) detalladamente sobre cuestiones referidas al funcionamiento de las subsedes de la Defensoría de Niñas, Niños y Adolescentes.</v>
      </c>
      <c r="N543" s="20" t="str">
        <f ca="1">IFERROR(__xludf.DUMMYFUNCTION("""COMPUTED_VALUE"""),"NO")</f>
        <v>NO</v>
      </c>
      <c r="O543" s="20" t="str">
        <f ca="1">IFERROR(__xludf.DUMMYFUNCTION("""COMPUTED_VALUE"""),"NO")</f>
        <v>NO</v>
      </c>
      <c r="P543" s="20">
        <f ca="1">IFERROR(__xludf.DUMMYFUNCTION("""COMPUTED_VALUE"""),0)</f>
        <v>0</v>
      </c>
      <c r="Q543" s="113" t="str">
        <f ca="1">IFERROR(__xludf.DUMMYFUNCTION("""COMPUTED_VALUE"""),"https://gld.legislaturacba.gob.ar/_cdd/api/Documento/descargar?guid=34b8d356-7673-4a3a-ab4b-142f36369220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v>
      </c>
      <c r="R543" s="113" t="str">
        <f ca="1">IFERROR(__xludf.DUMMYFUNCTION("""COMPUTED_VALUE"""),"https://www.youtube.com/watch?v=jCtEPBbEfOs")</f>
        <v>https://www.youtube.com/watch?v=jCtEPBbEfOs</v>
      </c>
      <c r="S543" s="113" t="str">
        <f ca="1">IFERROR(__xludf.DUMMYFUNCTION("""COMPUTED_VALUE"""),"https://gld.legislaturacba.gob.ar/Publics/Actas.aspx?id=4Mtau8GC5iA=")</f>
        <v>https://gld.legislaturacba.gob.ar/Publics/Actas.aspx?id=4Mtau8GC5iA=</v>
      </c>
      <c r="T543" s="99">
        <f t="shared" ca="1" si="0"/>
        <v>0</v>
      </c>
    </row>
    <row r="544" spans="1:20">
      <c r="A544" s="20">
        <f ca="1">IFERROR(__xludf.DUMMYFUNCTION("""COMPUTED_VALUE"""),48)</f>
        <v>48</v>
      </c>
      <c r="B544" s="20">
        <f ca="1">IFERROR(__xludf.DUMMYFUNCTION("""COMPUTED_VALUE"""),2022)</f>
        <v>2022</v>
      </c>
      <c r="C544" s="20" t="str">
        <f ca="1">IFERROR(__xludf.DUMMYFUNCTION("""COMPUTED_VALUE"""),"VIRTUAL")</f>
        <v>VIRTUAL</v>
      </c>
      <c r="D544" s="106">
        <f ca="1">IFERROR(__xludf.DUMMYFUNCTION("""COMPUTED_VALUE"""),44670)</f>
        <v>44670</v>
      </c>
      <c r="E544" s="20" t="str">
        <f ca="1">IFERROR(__xludf.DUMMYFUNCTION("""COMPUTED_VALUE"""),"SI")</f>
        <v>SI</v>
      </c>
      <c r="F544" s="20" t="str">
        <f ca="1">IFERROR(__xludf.DUMMYFUNCTION("""COMPUTED_VALUE"""),"LEGISLACIÓN DEL TRABAJO, PREVISIÓN Y SEGURIDAD SOCIAL;SALUD HUMANA")</f>
        <v>LEGISLACIÓN DEL TRABAJO, PREVISIÓN Y SEGURIDAD SOCIAL;SALUD HUMANA</v>
      </c>
      <c r="G544" s="20">
        <f ca="1">IFERROR(__xludf.DUMMYFUNCTION("""COMPUTED_VALUE"""),2)</f>
        <v>2</v>
      </c>
      <c r="H544" s="20">
        <f ca="1">IFERROR(__xludf.DUMMYFUNCTION("""COMPUTED_VALUE"""),1)</f>
        <v>1</v>
      </c>
      <c r="I544" s="20">
        <f ca="1">IFERROR(__xludf.DUMMYFUNCTION("""COMPUTED_VALUE"""),1)</f>
        <v>1</v>
      </c>
      <c r="J544" s="20" t="str">
        <f ca="1">IFERROR(__xludf.DUMMYFUNCTION("""COMPUTED_VALUE"""),"Ley")</f>
        <v>Ley</v>
      </c>
      <c r="K544" s="20">
        <f ca="1">IFERROR(__xludf.DUMMYFUNCTION("""COMPUTED_VALUE"""),31520)</f>
        <v>31520</v>
      </c>
      <c r="L544" s="20" t="str">
        <f ca="1">IFERROR(__xludf.DUMMYFUNCTION("""COMPUTED_VALUE"""),"Poder Legislativo Provincial")</f>
        <v>Poder Legislativo Provincial</v>
      </c>
      <c r="M544"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44" s="20" t="str">
        <f ca="1">IFERROR(__xludf.DUMMYFUNCTION("""COMPUTED_VALUE"""),"NO")</f>
        <v>NO</v>
      </c>
      <c r="O544" s="20" t="str">
        <f ca="1">IFERROR(__xludf.DUMMYFUNCTION("""COMPUTED_VALUE"""),"SI")</f>
        <v>SI</v>
      </c>
      <c r="P544" s="20">
        <f ca="1">IFERROR(__xludf.DUMMYFUNCTION("""COMPUTED_VALUE"""),3)</f>
        <v>3</v>
      </c>
      <c r="Q544" s="113" t="str">
        <f ca="1">IFERROR(__xludf.DUMMYFUNCTION("""COMPUTED_VALUE"""),"https://gld.legislaturacba.gob.ar/_cdd/api/Documento/descargar?guid=d7d68876-556c-4517-8621-f11c2d3fb10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v>
      </c>
      <c r="R544" s="113" t="str">
        <f ca="1">IFERROR(__xludf.DUMMYFUNCTION("""COMPUTED_VALUE"""),"https://www.youtube.com/watch?v=Rg2sqFr4MC0")</f>
        <v>https://www.youtube.com/watch?v=Rg2sqFr4MC0</v>
      </c>
      <c r="S544" s="113" t="str">
        <f ca="1">IFERROR(__xludf.DUMMYFUNCTION("""COMPUTED_VALUE"""),"https://gld.legislaturacba.gob.ar/Publics/Actas.aspx?id=OReozX5VDRQ=;https://gld.legislaturacba.gob.ar/Publics/Actas.aspx?id=ln2LoS3POeA=")</f>
        <v>https://gld.legislaturacba.gob.ar/Publics/Actas.aspx?id=OReozX5VDRQ=;https://gld.legislaturacba.gob.ar/Publics/Actas.aspx?id=ln2LoS3POeA=</v>
      </c>
      <c r="T544" s="99">
        <f t="shared" ca="1" si="0"/>
        <v>0</v>
      </c>
    </row>
    <row r="545" spans="1:20">
      <c r="A545" s="20">
        <f ca="1">IFERROR(__xludf.DUMMYFUNCTION("""COMPUTED_VALUE"""),49)</f>
        <v>49</v>
      </c>
      <c r="B545" s="20">
        <f ca="1">IFERROR(__xludf.DUMMYFUNCTION("""COMPUTED_VALUE"""),2022)</f>
        <v>2022</v>
      </c>
      <c r="C545" s="20" t="str">
        <f ca="1">IFERROR(__xludf.DUMMYFUNCTION("""COMPUTED_VALUE"""),"VIRTUAL")</f>
        <v>VIRTUAL</v>
      </c>
      <c r="D545" s="106">
        <f ca="1">IFERROR(__xludf.DUMMYFUNCTION("""COMPUTED_VALUE"""),44670)</f>
        <v>44670</v>
      </c>
      <c r="E545" s="20" t="str">
        <f ca="1">IFERROR(__xludf.DUMMYFUNCTION("""COMPUTED_VALUE"""),"NO")</f>
        <v>NO</v>
      </c>
      <c r="F545" s="20" t="str">
        <f ca="1">IFERROR(__xludf.DUMMYFUNCTION("""COMPUTED_VALUE"""),"ASUNTOS INSTITUCIONALES, MUNICIPALES Y COMUNALES")</f>
        <v>ASUNTOS INSTITUCIONALES, MUNICIPALES Y COMUNALES</v>
      </c>
      <c r="G545" s="20">
        <f ca="1">IFERROR(__xludf.DUMMYFUNCTION("""COMPUTED_VALUE"""),1)</f>
        <v>1</v>
      </c>
      <c r="H545" s="20">
        <f ca="1">IFERROR(__xludf.DUMMYFUNCTION("""COMPUTED_VALUE"""),1)</f>
        <v>1</v>
      </c>
      <c r="I545" s="20">
        <f ca="1">IFERROR(__xludf.DUMMYFUNCTION("""COMPUTED_VALUE"""),1)</f>
        <v>1</v>
      </c>
      <c r="J545" s="20" t="str">
        <f ca="1">IFERROR(__xludf.DUMMYFUNCTION("""COMPUTED_VALUE"""),"Ley")</f>
        <v>Ley</v>
      </c>
      <c r="K545" s="20">
        <f ca="1">IFERROR(__xludf.DUMMYFUNCTION("""COMPUTED_VALUE"""),34795)</f>
        <v>34795</v>
      </c>
      <c r="L545" s="20" t="str">
        <f ca="1">IFERROR(__xludf.DUMMYFUNCTION("""COMPUTED_VALUE"""),"Poder Ejecutivo Provincial")</f>
        <v>Poder Ejecutivo Provincial</v>
      </c>
      <c r="M545" s="20" t="str">
        <f ca="1">IFERROR(__xludf.DUMMYFUNCTION("""COMPUTED_VALUE"""),"Modificando el radio municipal de la localidad de Salsipuedes")</f>
        <v>Modificando el radio municipal de la localidad de Salsipuedes</v>
      </c>
      <c r="N545" s="20" t="str">
        <f ca="1">IFERROR(__xludf.DUMMYFUNCTION("""COMPUTED_VALUE"""),"SI")</f>
        <v>SI</v>
      </c>
      <c r="O545" s="20" t="str">
        <f ca="1">IFERROR(__xludf.DUMMYFUNCTION("""COMPUTED_VALUE"""),"NO")</f>
        <v>NO</v>
      </c>
      <c r="P545" s="20">
        <f ca="1">IFERROR(__xludf.DUMMYFUNCTION("""COMPUTED_VALUE"""),0)</f>
        <v>0</v>
      </c>
      <c r="Q545" s="113" t="str">
        <f ca="1">IFERROR(__xludf.DUMMYFUNCTION("""COMPUTED_VALUE"""),"https://gld.legislaturacba.gob.ar/_cdd/api/Documento/descargar?guid=3d8e30d7-fac4-45bc-9ae6-31adfe964e33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v>
      </c>
      <c r="R545" s="113" t="str">
        <f ca="1">IFERROR(__xludf.DUMMYFUNCTION("""COMPUTED_VALUE"""),"https://www.youtube.com/watch?v=yxI3iy28lFw")</f>
        <v>https://www.youtube.com/watch?v=yxI3iy28lFw</v>
      </c>
      <c r="S545" s="113" t="str">
        <f ca="1">IFERROR(__xludf.DUMMYFUNCTION("""COMPUTED_VALUE"""),"https://gld.legislaturacba.gob.ar/Publics/Actas.aspx?id=dcFNoW-kFBM=")</f>
        <v>https://gld.legislaturacba.gob.ar/Publics/Actas.aspx?id=dcFNoW-kFBM=</v>
      </c>
      <c r="T545" s="99">
        <f t="shared" ca="1" si="0"/>
        <v>0</v>
      </c>
    </row>
    <row r="546" spans="1:20">
      <c r="A546" s="20">
        <f ca="1">IFERROR(__xludf.DUMMYFUNCTION("""COMPUTED_VALUE"""),50)</f>
        <v>50</v>
      </c>
      <c r="B546" s="20">
        <f ca="1">IFERROR(__xludf.DUMMYFUNCTION("""COMPUTED_VALUE"""),2022)</f>
        <v>2022</v>
      </c>
      <c r="C546" s="20" t="str">
        <f ca="1">IFERROR(__xludf.DUMMYFUNCTION("""COMPUTED_VALUE"""),"VIRTUAL")</f>
        <v>VIRTUAL</v>
      </c>
      <c r="D546" s="106">
        <f ca="1">IFERROR(__xludf.DUMMYFUNCTION("""COMPUTED_VALUE"""),44671)</f>
        <v>44671</v>
      </c>
      <c r="E546" s="20" t="str">
        <f ca="1">IFERROR(__xludf.DUMMYFUNCTION("""COMPUTED_VALUE"""),"SI")</f>
        <v>SI</v>
      </c>
      <c r="F546" s="20" t="str">
        <f ca="1">IFERROR(__xludf.DUMMYFUNCTION("""COMPUTED_VALUE"""),"DERECHOS HUMANOS Y DESARROLLO SOCIAL;DEPORTES Y RECREACIÓN")</f>
        <v>DERECHOS HUMANOS Y DESARROLLO SOCIAL;DEPORTES Y RECREACIÓN</v>
      </c>
      <c r="G546" s="20">
        <f ca="1">IFERROR(__xludf.DUMMYFUNCTION("""COMPUTED_VALUE"""),2)</f>
        <v>2</v>
      </c>
      <c r="H546" s="20">
        <f ca="1">IFERROR(__xludf.DUMMYFUNCTION("""COMPUTED_VALUE"""),1)</f>
        <v>1</v>
      </c>
      <c r="I546" s="20">
        <f ca="1">IFERROR(__xludf.DUMMYFUNCTION("""COMPUTED_VALUE"""),1)</f>
        <v>1</v>
      </c>
      <c r="J546" s="20" t="str">
        <f ca="1">IFERROR(__xludf.DUMMYFUNCTION("""COMPUTED_VALUE"""),"NA")</f>
        <v>NA</v>
      </c>
      <c r="K546" s="20" t="str">
        <f ca="1">IFERROR(__xludf.DUMMYFUNCTION("""COMPUTED_VALUE"""),"NA")</f>
        <v>NA</v>
      </c>
      <c r="L546" s="20" t="str">
        <f ca="1">IFERROR(__xludf.DUMMYFUNCTION("""COMPUTED_VALUE"""),"NA")</f>
        <v>NA</v>
      </c>
      <c r="M546" s="20" t="str">
        <f ca="1">IFERROR(__xludf.DUMMYFUNCTION("""COMPUTED_VALUE"""),"Reconocimiento al deportista Javier Fernandez")</f>
        <v>Reconocimiento al deportista Javier Fernandez</v>
      </c>
      <c r="N546" s="20" t="str">
        <f ca="1">IFERROR(__xludf.DUMMYFUNCTION("""COMPUTED_VALUE"""),"NA")</f>
        <v>NA</v>
      </c>
      <c r="O546" s="20" t="str">
        <f ca="1">IFERROR(__xludf.DUMMYFUNCTION("""COMPUTED_VALUE"""),"SI")</f>
        <v>SI</v>
      </c>
      <c r="P546" s="20">
        <f ca="1">IFERROR(__xludf.DUMMYFUNCTION("""COMPUTED_VALUE"""),2)</f>
        <v>2</v>
      </c>
      <c r="Q546" s="113" t="str">
        <f ca="1">IFERROR(__xludf.DUMMYFUNCTION("""COMPUTED_VALUE"""),"https://gld.legislaturacba.gob.ar/_cdd/api/Documento/descargar?guid=7a43f0f1-bf94-494e-a780-c23ebb457d7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v>
      </c>
      <c r="R546" s="113" t="str">
        <f ca="1">IFERROR(__xludf.DUMMYFUNCTION("""COMPUTED_VALUE"""),"https://www.youtube.com/watch?v=hv18gtREfnY")</f>
        <v>https://www.youtube.com/watch?v=hv18gtREfnY</v>
      </c>
      <c r="S546" s="113" t="str">
        <f ca="1">IFERROR(__xludf.DUMMYFUNCTION("""COMPUTED_VALUE"""),"https://gld.legislaturacba.gob.ar/Publics/Actas.aspx?id=XTznM6KEZPo=;https://gld.legislaturacba.gob.ar/Publics/Actas.aspx?id=LiBpMfRQnZA=")</f>
        <v>https://gld.legislaturacba.gob.ar/Publics/Actas.aspx?id=XTznM6KEZPo=;https://gld.legislaturacba.gob.ar/Publics/Actas.aspx?id=LiBpMfRQnZA=</v>
      </c>
      <c r="T546" s="99">
        <f t="shared" ca="1" si="0"/>
        <v>0</v>
      </c>
    </row>
    <row r="547" spans="1:20">
      <c r="A547" s="20">
        <f ca="1">IFERROR(__xludf.DUMMYFUNCTION("""COMPUTED_VALUE"""),51)</f>
        <v>51</v>
      </c>
      <c r="B547" s="20">
        <f ca="1">IFERROR(__xludf.DUMMYFUNCTION("""COMPUTED_VALUE"""),2022)</f>
        <v>2022</v>
      </c>
      <c r="C547" s="20" t="str">
        <f ca="1">IFERROR(__xludf.DUMMYFUNCTION("""COMPUTED_VALUE"""),"VIRTUAL")</f>
        <v>VIRTUAL</v>
      </c>
      <c r="D547" s="106">
        <f ca="1">IFERROR(__xludf.DUMMYFUNCTION("""COMPUTED_VALUE"""),44672)</f>
        <v>44672</v>
      </c>
      <c r="E547" s="20" t="str">
        <f ca="1">IFERROR(__xludf.DUMMYFUNCTION("""COMPUTED_VALUE"""),"SI")</f>
        <v>SI</v>
      </c>
      <c r="F547" s="20" t="str">
        <f ca="1">IFERROR(__xludf.DUMMYFUNCTION("""COMPUTED_VALUE"""),"ECONOMÍA, PRESUPUESTO, GESTIÓN PÚBLICA E INNOVACIÓN;DERECHOS HUMANOS Y DESARROLLO SOCIAL")</f>
        <v>ECONOMÍA, PRESUPUESTO, GESTIÓN PÚBLICA E INNOVACIÓN;DERECHOS HUMANOS Y DESARROLLO SOCIAL</v>
      </c>
      <c r="G547" s="20">
        <f ca="1">IFERROR(__xludf.DUMMYFUNCTION("""COMPUTED_VALUE"""),2)</f>
        <v>2</v>
      </c>
      <c r="H547" s="20">
        <f ca="1">IFERROR(__xludf.DUMMYFUNCTION("""COMPUTED_VALUE"""),2)</f>
        <v>2</v>
      </c>
      <c r="I547" s="20">
        <f ca="1">IFERROR(__xludf.DUMMYFUNCTION("""COMPUTED_VALUE"""),1)</f>
        <v>1</v>
      </c>
      <c r="J547" s="20" t="str">
        <f ca="1">IFERROR(__xludf.DUMMYFUNCTION("""COMPUTED_VALUE"""),"Ley")</f>
        <v>Ley</v>
      </c>
      <c r="K547" s="20">
        <f ca="1">IFERROR(__xludf.DUMMYFUNCTION("""COMPUTED_VALUE"""),34638)</f>
        <v>34638</v>
      </c>
      <c r="L547" s="20" t="str">
        <f ca="1">IFERROR(__xludf.DUMMYFUNCTION("""COMPUTED_VALUE"""),"Poder Ejecutivo Provincial")</f>
        <v>Poder Ejecutivo Provincial</v>
      </c>
      <c r="M547" s="20" t="str">
        <f ca="1">IFERROR(__xludf.DUMMYFUNCTION("""COMPUTED_VALUE"""),"Declarando de utilidad pública y sujetos a expropiación, para la regularización dominial y el saneamiento de títulos, distintos inmuebles situados en el asentamiento denominado ""Los Cuarenta Guasos - El Trencito"", en el Barrio Ferreyra de la ciudad de C"&amp;"órdoba.")</f>
        <v>Declarando de utilidad pública y sujetos a expropiación, para la regularización dominial y el saneamiento de títulos, distintos inmuebles situados en el asentamiento denominado "Los Cuarenta Guasos - El Trencito", en el Barrio Ferreyra de la ciudad de Córdoba.</v>
      </c>
      <c r="N547" s="20" t="str">
        <f ca="1">IFERROR(__xludf.DUMMYFUNCTION("""COMPUTED_VALUE"""),"NO")</f>
        <v>NO</v>
      </c>
      <c r="O547" s="20" t="str">
        <f ca="1">IFERROR(__xludf.DUMMYFUNCTION("""COMPUTED_VALUE"""),"SI")</f>
        <v>SI</v>
      </c>
      <c r="P547" s="20">
        <f ca="1">IFERROR(__xludf.DUMMYFUNCTION("""COMPUTED_VALUE"""),2)</f>
        <v>2</v>
      </c>
      <c r="Q547" s="113" t="str">
        <f ca="1">IFERROR(__xludf.DUMMYFUNCTION("""COMPUTED_VALUE"""),"https://gld.legislaturacba.gob.ar/_cdd/api/Documento/descargar?guid=fea6c034-c856-48a7-978f-106c5d8cd9b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v>
      </c>
      <c r="R547" s="113" t="str">
        <f ca="1">IFERROR(__xludf.DUMMYFUNCTION("""COMPUTED_VALUE"""),"https://www.youtube.com/watch?v=Wc0ksXJqCNg")</f>
        <v>https://www.youtube.com/watch?v=Wc0ksXJqCNg</v>
      </c>
      <c r="S547" s="113" t="str">
        <f ca="1">IFERROR(__xludf.DUMMYFUNCTION("""COMPUTED_VALUE"""),"https://gld.legislaturacba.gob.ar/Publics/Actas.aspx?id=k7ITqyj3I8M=;https://gld.legislaturacba.gob.ar/Publics/Actas.aspx?id=oEsgkXVvSYg=")</f>
        <v>https://gld.legislaturacba.gob.ar/Publics/Actas.aspx?id=k7ITqyj3I8M=;https://gld.legislaturacba.gob.ar/Publics/Actas.aspx?id=oEsgkXVvSYg=</v>
      </c>
      <c r="T547" s="99">
        <f t="shared" ca="1" si="0"/>
        <v>0</v>
      </c>
    </row>
    <row r="548" spans="1:20">
      <c r="A548" s="20">
        <f ca="1">IFERROR(__xludf.DUMMYFUNCTION("""COMPUTED_VALUE"""),52)</f>
        <v>52</v>
      </c>
      <c r="B548" s="20">
        <f ca="1">IFERROR(__xludf.DUMMYFUNCTION("""COMPUTED_VALUE"""),2022)</f>
        <v>2022</v>
      </c>
      <c r="C548" s="20" t="str">
        <f ca="1">IFERROR(__xludf.DUMMYFUNCTION("""COMPUTED_VALUE"""),"VIRTUAL")</f>
        <v>VIRTUAL</v>
      </c>
      <c r="D548" s="106">
        <f ca="1">IFERROR(__xludf.DUMMYFUNCTION("""COMPUTED_VALUE"""),44677)</f>
        <v>44677</v>
      </c>
      <c r="E548" s="20" t="str">
        <f ca="1">IFERROR(__xludf.DUMMYFUNCTION("""COMPUTED_VALUE"""),"SI")</f>
        <v>SI</v>
      </c>
      <c r="F548" s="20" t="str">
        <f ca="1">IFERROR(__xludf.DUMMYFUNCTION("""COMPUTED_VALUE"""),"LEGISLACIÓN DEL TRABAJO, PREVISIÓN Y SEGURIDAD SOCIAL;SALUD HUMANA")</f>
        <v>LEGISLACIÓN DEL TRABAJO, PREVISIÓN Y SEGURIDAD SOCIAL;SALUD HUMANA</v>
      </c>
      <c r="G548" s="20">
        <f ca="1">IFERROR(__xludf.DUMMYFUNCTION("""COMPUTED_VALUE"""),2)</f>
        <v>2</v>
      </c>
      <c r="H548" s="20">
        <f ca="1">IFERROR(__xludf.DUMMYFUNCTION("""COMPUTED_VALUE"""),1)</f>
        <v>1</v>
      </c>
      <c r="I548" s="20">
        <f ca="1">IFERROR(__xludf.DUMMYFUNCTION("""COMPUTED_VALUE"""),1)</f>
        <v>1</v>
      </c>
      <c r="J548" s="20" t="str">
        <f ca="1">IFERROR(__xludf.DUMMYFUNCTION("""COMPUTED_VALUE"""),"Ley")</f>
        <v>Ley</v>
      </c>
      <c r="K548" s="20">
        <f ca="1">IFERROR(__xludf.DUMMYFUNCTION("""COMPUTED_VALUE"""),31520)</f>
        <v>31520</v>
      </c>
      <c r="L548" s="20" t="str">
        <f ca="1">IFERROR(__xludf.DUMMYFUNCTION("""COMPUTED_VALUE"""),"Poder Legislativo Provincial")</f>
        <v>Poder Legislativo Provincial</v>
      </c>
      <c r="M548"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48" s="20" t="str">
        <f ca="1">IFERROR(__xludf.DUMMYFUNCTION("""COMPUTED_VALUE"""),"NO")</f>
        <v>NO</v>
      </c>
      <c r="O548" s="20" t="str">
        <f ca="1">IFERROR(__xludf.DUMMYFUNCTION("""COMPUTED_VALUE"""),"SI")</f>
        <v>SI</v>
      </c>
      <c r="P548" s="20">
        <f ca="1">IFERROR(__xludf.DUMMYFUNCTION("""COMPUTED_VALUE"""),2)</f>
        <v>2</v>
      </c>
      <c r="Q548" s="113" t="str">
        <f ca="1">IFERROR(__xludf.DUMMYFUNCTION("""COMPUTED_VALUE"""),"https://gld.legislaturacba.gob.ar/_cdd/api/Documento/descargar?guid=47baac4d-5fa7-49f4-8fa7-65f526233c11&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v>
      </c>
      <c r="R548" s="113" t="str">
        <f ca="1">IFERROR(__xludf.DUMMYFUNCTION("""COMPUTED_VALUE"""),"https://www.youtube.com/watch?v=HRXsVaI01v8")</f>
        <v>https://www.youtube.com/watch?v=HRXsVaI01v8</v>
      </c>
      <c r="S548" s="113" t="str">
        <f ca="1">IFERROR(__xludf.DUMMYFUNCTION("""COMPUTED_VALUE"""),"https://gld.legislaturacba.gob.ar/Publics/Actas.aspx?id=wSKt53gs87g=;https://gld.legislaturacba.gob.ar/Publics/Actas.aspx?id=rWp8Gnx-aaE=")</f>
        <v>https://gld.legislaturacba.gob.ar/Publics/Actas.aspx?id=wSKt53gs87g=;https://gld.legislaturacba.gob.ar/Publics/Actas.aspx?id=rWp8Gnx-aaE=</v>
      </c>
      <c r="T548" s="99">
        <f t="shared" ca="1" si="0"/>
        <v>0</v>
      </c>
    </row>
    <row r="549" spans="1:20">
      <c r="A549" s="20">
        <f ca="1">IFERROR(__xludf.DUMMYFUNCTION("""COMPUTED_VALUE"""),53)</f>
        <v>53</v>
      </c>
      <c r="B549" s="20">
        <f ca="1">IFERROR(__xludf.DUMMYFUNCTION("""COMPUTED_VALUE"""),2022)</f>
        <v>2022</v>
      </c>
      <c r="C549" s="20" t="str">
        <f ca="1">IFERROR(__xludf.DUMMYFUNCTION("""COMPUTED_VALUE"""),"VIRTUAL")</f>
        <v>VIRTUAL</v>
      </c>
      <c r="D549" s="106">
        <f ca="1">IFERROR(__xludf.DUMMYFUNCTION("""COMPUTED_VALUE"""),44677)</f>
        <v>44677</v>
      </c>
      <c r="E549" s="20" t="str">
        <f ca="1">IFERROR(__xludf.DUMMYFUNCTION("""COMPUTED_VALUE"""),"NO")</f>
        <v>NO</v>
      </c>
      <c r="F549" s="20" t="str">
        <f ca="1">IFERROR(__xludf.DUMMYFUNCTION("""COMPUTED_VALUE"""),"SALUD HUMANA")</f>
        <v>SALUD HUMANA</v>
      </c>
      <c r="G549" s="20">
        <f ca="1">IFERROR(__xludf.DUMMYFUNCTION("""COMPUTED_VALUE"""),1)</f>
        <v>1</v>
      </c>
      <c r="H549" s="20">
        <f ca="1">IFERROR(__xludf.DUMMYFUNCTION("""COMPUTED_VALUE"""),3)</f>
        <v>3</v>
      </c>
      <c r="I549" s="20">
        <f ca="1">IFERROR(__xludf.DUMMYFUNCTION("""COMPUTED_VALUE"""),1)</f>
        <v>1</v>
      </c>
      <c r="J549" s="20" t="str">
        <f ca="1">IFERROR(__xludf.DUMMYFUNCTION("""COMPUTED_VALUE"""),"Resolución")</f>
        <v>Resolución</v>
      </c>
      <c r="K549" s="20">
        <f ca="1">IFERROR(__xludf.DUMMYFUNCTION("""COMPUTED_VALUE"""),34524)</f>
        <v>34524</v>
      </c>
      <c r="L549" s="20" t="str">
        <f ca="1">IFERROR(__xludf.DUMMYFUNCTION("""COMPUTED_VALUE"""),"Poder Legislativo Provincial")</f>
        <v>Poder Legislativo Provincial</v>
      </c>
      <c r="M549" s="20" t="str">
        <f ca="1">IFERROR(__xludf.DUMMYFUNCTION("""COMPUTED_VALUE"""),"Solicitando al Poder Ejecutivo informe (Art. 102 C.P.) sobre distintas cuestiones referidas al Programa 457-004 - Hospital de Niños Santísima Trinidad.")</f>
        <v>Solicitando al Poder Ejecutivo informe (Art. 102 C.P.) sobre distintas cuestiones referidas al Programa 457-004 - Hospital de Niños Santísima Trinidad.</v>
      </c>
      <c r="N549" s="20" t="str">
        <f ca="1">IFERROR(__xludf.DUMMYFUNCTION("""COMPUTED_VALUE"""),"SI")</f>
        <v>SI</v>
      </c>
      <c r="O549" s="20" t="str">
        <f ca="1">IFERROR(__xludf.DUMMYFUNCTION("""COMPUTED_VALUE"""),"SI")</f>
        <v>SI</v>
      </c>
      <c r="P549" s="20">
        <f ca="1">IFERROR(__xludf.DUMMYFUNCTION("""COMPUTED_VALUE"""),3)</f>
        <v>3</v>
      </c>
      <c r="Q549" s="113" t="str">
        <f ca="1">IFERROR(__xludf.DUMMYFUNCTION("""COMPUTED_VALUE"""),"https://gld.legislaturacba.gob.ar/_cdd/api/Documento/descargar?guid=2f6f98df-5276-4355-8f6f-03b9356699c8&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v>
      </c>
      <c r="R549" s="113" t="str">
        <f ca="1">IFERROR(__xludf.DUMMYFUNCTION("""COMPUTED_VALUE"""),"https://www.youtube.com/watch?v=Ny6-1TDk3cs")</f>
        <v>https://www.youtube.com/watch?v=Ny6-1TDk3cs</v>
      </c>
      <c r="S549" s="113" t="str">
        <f ca="1">IFERROR(__xludf.DUMMYFUNCTION("""COMPUTED_VALUE"""),"https://gld.legislaturacba.gob.ar/Publics/Actas.aspx?id=wBRZF0SMmeg=")</f>
        <v>https://gld.legislaturacba.gob.ar/Publics/Actas.aspx?id=wBRZF0SMmeg=</v>
      </c>
      <c r="T549" s="99">
        <f t="shared" ca="1" si="0"/>
        <v>0</v>
      </c>
    </row>
    <row r="550" spans="1:20">
      <c r="A550" s="20">
        <f ca="1">IFERROR(__xludf.DUMMYFUNCTION("""COMPUTED_VALUE"""),54)</f>
        <v>54</v>
      </c>
      <c r="B550" s="20">
        <f ca="1">IFERROR(__xludf.DUMMYFUNCTION("""COMPUTED_VALUE"""),2022)</f>
        <v>2022</v>
      </c>
      <c r="C550" s="20" t="str">
        <f ca="1">IFERROR(__xludf.DUMMYFUNCTION("""COMPUTED_VALUE"""),"VIRTUAL")</f>
        <v>VIRTUAL</v>
      </c>
      <c r="D550" s="106">
        <f ca="1">IFERROR(__xludf.DUMMYFUNCTION("""COMPUTED_VALUE"""),44677)</f>
        <v>44677</v>
      </c>
      <c r="E550" s="20" t="str">
        <f ca="1">IFERROR(__xludf.DUMMYFUNCTION("""COMPUTED_VALUE"""),"SI")</f>
        <v>SI</v>
      </c>
      <c r="F550" s="20" t="str">
        <f ca="1">IFERROR(__xludf.DUMMYFUNCTION("""COMPUTED_VALUE"""),"ECONOMÍA, PRESUPUESTO, GESTIÓN PÚBLICA E INNOVACIÓN;DERECHOS HUMANOS Y DESARROLLO SOCIAL")</f>
        <v>ECONOMÍA, PRESUPUESTO, GESTIÓN PÚBLICA E INNOVACIÓN;DERECHOS HUMANOS Y DESARROLLO SOCIAL</v>
      </c>
      <c r="G550" s="20">
        <f ca="1">IFERROR(__xludf.DUMMYFUNCTION("""COMPUTED_VALUE"""),2)</f>
        <v>2</v>
      </c>
      <c r="H550" s="20">
        <f ca="1">IFERROR(__xludf.DUMMYFUNCTION("""COMPUTED_VALUE"""),2)</f>
        <v>2</v>
      </c>
      <c r="I550" s="20">
        <f ca="1">IFERROR(__xludf.DUMMYFUNCTION("""COMPUTED_VALUE"""),1)</f>
        <v>1</v>
      </c>
      <c r="J550" s="20" t="str">
        <f ca="1">IFERROR(__xludf.DUMMYFUNCTION("""COMPUTED_VALUE"""),"Ley")</f>
        <v>Ley</v>
      </c>
      <c r="K550" s="20">
        <f ca="1">IFERROR(__xludf.DUMMYFUNCTION("""COMPUTED_VALUE"""),34638)</f>
        <v>34638</v>
      </c>
      <c r="L550" s="20" t="str">
        <f ca="1">IFERROR(__xludf.DUMMYFUNCTION("""COMPUTED_VALUE"""),"Poder Ejecutivo Provincial")</f>
        <v>Poder Ejecutivo Provincial</v>
      </c>
      <c r="M550" s="20" t="str">
        <f ca="1">IFERROR(__xludf.DUMMYFUNCTION("""COMPUTED_VALUE"""),"Declarando de utilidad pública y sujetos a expropiación, para la regularización dominial y el saneamiento de títulos, distintos inmuebles situados en el asentamiento denominado ""Los Cuarenta Guasos - El Trencito"", en el Barrio Ferreyra de la ciudad de C"&amp;"órdoba.")</f>
        <v>Declarando de utilidad pública y sujetos a expropiación, para la regularización dominial y el saneamiento de títulos, distintos inmuebles situados en el asentamiento denominado "Los Cuarenta Guasos - El Trencito", en el Barrio Ferreyra de la ciudad de Córdoba.</v>
      </c>
      <c r="N550" s="20" t="str">
        <f ca="1">IFERROR(__xludf.DUMMYFUNCTION("""COMPUTED_VALUE"""),"SI")</f>
        <v>SI</v>
      </c>
      <c r="O550" s="20" t="str">
        <f ca="1">IFERROR(__xludf.DUMMYFUNCTION("""COMPUTED_VALUE"""),"NO")</f>
        <v>NO</v>
      </c>
      <c r="P550" s="20">
        <f ca="1">IFERROR(__xludf.DUMMYFUNCTION("""COMPUTED_VALUE"""),0)</f>
        <v>0</v>
      </c>
      <c r="Q550" s="113" t="str">
        <f ca="1">IFERROR(__xludf.DUMMYFUNCTION("""COMPUTED_VALUE"""),"https://gld.legislaturacba.gob.ar/_cdd/api/Documento/descargar?guid=a37dd2bf-4c24-421c-9f50-d8dc36f86b9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v>
      </c>
      <c r="R550" s="113" t="str">
        <f ca="1">IFERROR(__xludf.DUMMYFUNCTION("""COMPUTED_VALUE"""),"https://www.youtube.com/watch?v=C7vcXIyv6jg")</f>
        <v>https://www.youtube.com/watch?v=C7vcXIyv6jg</v>
      </c>
      <c r="S550" s="113" t="str">
        <f ca="1">IFERROR(__xludf.DUMMYFUNCTION("""COMPUTED_VALUE"""),"https://gld.legislaturacba.gob.ar/Publics/Actas.aspx?id=74Y3G9JmV_o=;https://gld.legislaturacba.gob.ar/Publics/Actas.aspx?id=2_nl6EHFnQw=")</f>
        <v>https://gld.legislaturacba.gob.ar/Publics/Actas.aspx?id=74Y3G9JmV_o=;https://gld.legislaturacba.gob.ar/Publics/Actas.aspx?id=2_nl6EHFnQw=</v>
      </c>
      <c r="T550" s="99">
        <f t="shared" ca="1" si="0"/>
        <v>0</v>
      </c>
    </row>
    <row r="551" spans="1:20">
      <c r="A551" s="20">
        <f ca="1">IFERROR(__xludf.DUMMYFUNCTION("""COMPUTED_VALUE"""),55)</f>
        <v>55</v>
      </c>
      <c r="B551" s="20">
        <f ca="1">IFERROR(__xludf.DUMMYFUNCTION("""COMPUTED_VALUE"""),2022)</f>
        <v>2022</v>
      </c>
      <c r="C551" s="20" t="str">
        <f ca="1">IFERROR(__xludf.DUMMYFUNCTION("""COMPUTED_VALUE"""),"VIRTUAL")</f>
        <v>VIRTUAL</v>
      </c>
      <c r="D551" s="106">
        <f ca="1">IFERROR(__xludf.DUMMYFUNCTION("""COMPUTED_VALUE"""),44678)</f>
        <v>44678</v>
      </c>
      <c r="E551" s="20" t="str">
        <f ca="1">IFERROR(__xludf.DUMMYFUNCTION("""COMPUTED_VALUE"""),"NO")</f>
        <v>NO</v>
      </c>
      <c r="F551" s="20" t="str">
        <f ca="1">IFERROR(__xludf.DUMMYFUNCTION("""COMPUTED_VALUE"""),"LEGISLACIÓN GENERAL")</f>
        <v>LEGISLACIÓN GENERAL</v>
      </c>
      <c r="G551" s="20">
        <f ca="1">IFERROR(__xludf.DUMMYFUNCTION("""COMPUTED_VALUE"""),1)</f>
        <v>1</v>
      </c>
      <c r="H551" s="20">
        <f ca="1">IFERROR(__xludf.DUMMYFUNCTION("""COMPUTED_VALUE"""),1)</f>
        <v>1</v>
      </c>
      <c r="I551" s="20">
        <f ca="1">IFERROR(__xludf.DUMMYFUNCTION("""COMPUTED_VALUE"""),1)</f>
        <v>1</v>
      </c>
      <c r="J551" s="20" t="str">
        <f ca="1">IFERROR(__xludf.DUMMYFUNCTION("""COMPUTED_VALUE"""),"Ley")</f>
        <v>Ley</v>
      </c>
      <c r="K551" s="20">
        <f ca="1">IFERROR(__xludf.DUMMYFUNCTION("""COMPUTED_VALUE"""),34795)</f>
        <v>34795</v>
      </c>
      <c r="L551" s="20" t="str">
        <f ca="1">IFERROR(__xludf.DUMMYFUNCTION("""COMPUTED_VALUE"""),"Poder Ejecutivo Provincial")</f>
        <v>Poder Ejecutivo Provincial</v>
      </c>
      <c r="M551" s="20" t="str">
        <f ca="1">IFERROR(__xludf.DUMMYFUNCTION("""COMPUTED_VALUE"""),"Modificando el radio municipal de la localidad de Salsipuedes, Dpto. Colón.")</f>
        <v>Modificando el radio municipal de la localidad de Salsipuedes, Dpto. Colón.</v>
      </c>
      <c r="N551" s="20" t="str">
        <f ca="1">IFERROR(__xludf.DUMMYFUNCTION("""COMPUTED_VALUE"""),"SI")</f>
        <v>SI</v>
      </c>
      <c r="O551" s="20" t="str">
        <f ca="1">IFERROR(__xludf.DUMMYFUNCTION("""COMPUTED_VALUE"""),"NO")</f>
        <v>NO</v>
      </c>
      <c r="P551" s="20">
        <f ca="1">IFERROR(__xludf.DUMMYFUNCTION("""COMPUTED_VALUE"""),0)</f>
        <v>0</v>
      </c>
      <c r="Q551" s="113" t="str">
        <f ca="1">IFERROR(__xludf.DUMMYFUNCTION("""COMPUTED_VALUE"""),"https://gld.legislaturacba.gob.ar/_cdd/api/Documento/descargar?guid=48048b31-9c2a-40ca-b02d-c259110336d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v>
      </c>
      <c r="R551" s="20" t="str">
        <f ca="1">IFERROR(__xludf.DUMMYFUNCTION("""COMPUTED_VALUE"""),"NA")</f>
        <v>NA</v>
      </c>
      <c r="S551" s="113" t="str">
        <f ca="1">IFERROR(__xludf.DUMMYFUNCTION("""COMPUTED_VALUE"""),"https://gld.legislaturacba.gob.ar/Publics/Actas.aspx?id=QIo0FygDkaU=")</f>
        <v>https://gld.legislaturacba.gob.ar/Publics/Actas.aspx?id=QIo0FygDkaU=</v>
      </c>
      <c r="T551" s="99">
        <f t="shared" ca="1" si="0"/>
        <v>0</v>
      </c>
    </row>
    <row r="552" spans="1:20">
      <c r="A552" s="20">
        <f ca="1">IFERROR(__xludf.DUMMYFUNCTION("""COMPUTED_VALUE"""),56)</f>
        <v>56</v>
      </c>
      <c r="B552" s="20">
        <f ca="1">IFERROR(__xludf.DUMMYFUNCTION("""COMPUTED_VALUE"""),2022)</f>
        <v>2022</v>
      </c>
      <c r="C552" s="20" t="str">
        <f ca="1">IFERROR(__xludf.DUMMYFUNCTION("""COMPUTED_VALUE"""),"VIRTUAL")</f>
        <v>VIRTUAL</v>
      </c>
      <c r="D552" s="106">
        <f ca="1">IFERROR(__xludf.DUMMYFUNCTION("""COMPUTED_VALUE"""),44679)</f>
        <v>44679</v>
      </c>
      <c r="E552" s="20" t="str">
        <f ca="1">IFERROR(__xludf.DUMMYFUNCTION("""COMPUTED_VALUE"""),"NO")</f>
        <v>NO</v>
      </c>
      <c r="F552" s="20" t="str">
        <f ca="1">IFERROR(__xludf.DUMMYFUNCTION("""COMPUTED_VALUE"""),"ASUNTOS INSTITUCIONALES, MUNICIPALES Y COMUNALES")</f>
        <v>ASUNTOS INSTITUCIONALES, MUNICIPALES Y COMUNALES</v>
      </c>
      <c r="G552" s="20">
        <f ca="1">IFERROR(__xludf.DUMMYFUNCTION("""COMPUTED_VALUE"""),1)</f>
        <v>1</v>
      </c>
      <c r="H552" s="20">
        <f ca="1">IFERROR(__xludf.DUMMYFUNCTION("""COMPUTED_VALUE"""),1)</f>
        <v>1</v>
      </c>
      <c r="I552" s="20">
        <f ca="1">IFERROR(__xludf.DUMMYFUNCTION("""COMPUTED_VALUE"""),1)</f>
        <v>1</v>
      </c>
      <c r="J552" s="20" t="str">
        <f ca="1">IFERROR(__xludf.DUMMYFUNCTION("""COMPUTED_VALUE"""),"Ley")</f>
        <v>Ley</v>
      </c>
      <c r="K552" s="20">
        <f ca="1">IFERROR(__xludf.DUMMYFUNCTION("""COMPUTED_VALUE"""),34275)</f>
        <v>34275</v>
      </c>
      <c r="L552" s="20" t="str">
        <f ca="1">IFERROR(__xludf.DUMMYFUNCTION("""COMPUTED_VALUE"""),"Poder Legislativo Provincial")</f>
        <v>Poder Legislativo Provincial</v>
      </c>
      <c r="M552" s="20" t="str">
        <f ca="1">IFERROR(__xludf.DUMMYFUNCTION("""COMPUTED_VALUE"""),"Designando Intendente Miguel Ángel Abella al puente que conecta las calles Rubén Darío y la rotonda que une las calles Illia, Avellaneda y Chacabuco en la ciudad de Río Cuarto.")</f>
        <v>Designando Intendente Miguel Ángel Abella al puente que conecta las calles Rubén Darío y la rotonda que une las calles Illia, Avellaneda y Chacabuco en la ciudad de Río Cuarto.</v>
      </c>
      <c r="N552" s="20" t="str">
        <f ca="1">IFERROR(__xludf.DUMMYFUNCTION("""COMPUTED_VALUE"""),"SI")</f>
        <v>SI</v>
      </c>
      <c r="O552" s="20" t="str">
        <f ca="1">IFERROR(__xludf.DUMMYFUNCTION("""COMPUTED_VALUE"""),"SI")</f>
        <v>SI</v>
      </c>
      <c r="P552" s="20">
        <f ca="1">IFERROR(__xludf.DUMMYFUNCTION("""COMPUTED_VALUE"""),2)</f>
        <v>2</v>
      </c>
      <c r="Q552" s="113" t="str">
        <f ca="1">IFERROR(__xludf.DUMMYFUNCTION("""COMPUTED_VALUE"""),"https://gld.legislaturacba.gob.ar/_cdd/api/Documento/descargar?guid=d0b0b6ed-c641-461f-8a9e-4f2cb7cfe92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v>
      </c>
      <c r="R552" s="113" t="str">
        <f ca="1">IFERROR(__xludf.DUMMYFUNCTION("""COMPUTED_VALUE"""),"https://www.youtube.com/watch?v=r5KlRlb-39k")</f>
        <v>https://www.youtube.com/watch?v=r5KlRlb-39k</v>
      </c>
      <c r="S552" s="113" t="str">
        <f ca="1">IFERROR(__xludf.DUMMYFUNCTION("""COMPUTED_VALUE"""),"https://gld.legislaturacba.gob.ar/Publics/Actas.aspx?id=eafqGQ8SC9k=")</f>
        <v>https://gld.legislaturacba.gob.ar/Publics/Actas.aspx?id=eafqGQ8SC9k=</v>
      </c>
      <c r="T552" s="99">
        <f t="shared" ca="1" si="0"/>
        <v>0</v>
      </c>
    </row>
    <row r="553" spans="1:20">
      <c r="A553" s="20">
        <f ca="1">IFERROR(__xludf.DUMMYFUNCTION("""COMPUTED_VALUE"""),57)</f>
        <v>57</v>
      </c>
      <c r="B553" s="20">
        <f ca="1">IFERROR(__xludf.DUMMYFUNCTION("""COMPUTED_VALUE"""),2022)</f>
        <v>2022</v>
      </c>
      <c r="C553" s="20" t="str">
        <f ca="1">IFERROR(__xludf.DUMMYFUNCTION("""COMPUTED_VALUE"""),"VIRTUAL")</f>
        <v>VIRTUAL</v>
      </c>
      <c r="D553" s="106">
        <f ca="1">IFERROR(__xludf.DUMMYFUNCTION("""COMPUTED_VALUE"""),44679)</f>
        <v>44679</v>
      </c>
      <c r="E553" s="20" t="str">
        <f ca="1">IFERROR(__xludf.DUMMYFUNCTION("""COMPUTED_VALUE"""),"NO")</f>
        <v>NO</v>
      </c>
      <c r="F553" s="20" t="str">
        <f ca="1">IFERROR(__xludf.DUMMYFUNCTION("""COMPUTED_VALUE"""),"EDUCACIÓN, CULTURA, CIENCIA, TECNOLOGÍA E INFORMÁTICA")</f>
        <v>EDUCACIÓN, CULTURA, CIENCIA, TECNOLOGÍA E INFORMÁTICA</v>
      </c>
      <c r="G553" s="20">
        <f ca="1">IFERROR(__xludf.DUMMYFUNCTION("""COMPUTED_VALUE"""),1)</f>
        <v>1</v>
      </c>
      <c r="H553" s="20">
        <f ca="1">IFERROR(__xludf.DUMMYFUNCTION("""COMPUTED_VALUE"""),4)</f>
        <v>4</v>
      </c>
      <c r="I553" s="20">
        <f ca="1">IFERROR(__xludf.DUMMYFUNCTION("""COMPUTED_VALUE"""),1)</f>
        <v>1</v>
      </c>
      <c r="J553" s="20" t="str">
        <f ca="1">IFERROR(__xludf.DUMMYFUNCTION("""COMPUTED_VALUE"""),"Resolución")</f>
        <v>Resolución</v>
      </c>
      <c r="K553" s="20">
        <f ca="1">IFERROR(__xludf.DUMMYFUNCTION("""COMPUTED_VALUE"""),33606)</f>
        <v>33606</v>
      </c>
      <c r="L553" s="20" t="str">
        <f ca="1">IFERROR(__xludf.DUMMYFUNCTION("""COMPUTED_VALUE"""),"Poder Legislativo Provincial")</f>
        <v>Poder Legislativo Provincial</v>
      </c>
      <c r="M553" s="20" t="str">
        <f ca="1">IFERROR(__xludf.DUMMYFUNCTION("""COMPUTED_VALUE"""),"Solicitando al Poder Ejecutivo informe (Art. 102 C.P.) sobre diversos puntos relacionados a la prolongación de la jornada presencial en el Nivel Inicial.")</f>
        <v>Solicitando al Poder Ejecutivo informe (Art. 102 C.P.) sobre diversos puntos relacionados a la prolongación de la jornada presencial en el Nivel Inicial.</v>
      </c>
      <c r="N553" s="20" t="str">
        <f ca="1">IFERROR(__xludf.DUMMYFUNCTION("""COMPUTED_VALUE"""),"SI")</f>
        <v>SI</v>
      </c>
      <c r="O553" s="20" t="str">
        <f ca="1">IFERROR(__xludf.DUMMYFUNCTION("""COMPUTED_VALUE"""),"NO")</f>
        <v>NO</v>
      </c>
      <c r="P553" s="20">
        <f ca="1">IFERROR(__xludf.DUMMYFUNCTION("""COMPUTED_VALUE"""),0)</f>
        <v>0</v>
      </c>
      <c r="Q553" s="113" t="str">
        <f ca="1">IFERROR(__xludf.DUMMYFUNCTION("""COMPUTED_VALUE"""),"https://gld.legislaturacba.gob.ar/_cdd/api/Documento/descargar?guid=0bfdc5dd-5dd5-4b95-b69d-eb1d801e7b3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v>
      </c>
      <c r="R553" s="113" t="str">
        <f ca="1">IFERROR(__xludf.DUMMYFUNCTION("""COMPUTED_VALUE"""),"https://www.youtube.com/watch?v=HxeCwO4ph_A")</f>
        <v>https://www.youtube.com/watch?v=HxeCwO4ph_A</v>
      </c>
      <c r="S553" s="113" t="str">
        <f ca="1">IFERROR(__xludf.DUMMYFUNCTION("""COMPUTED_VALUE"""),"https://gld.legislaturacba.gob.ar/Publics/Actas.aspx?id=Z8EmV0MubKA=")</f>
        <v>https://gld.legislaturacba.gob.ar/Publics/Actas.aspx?id=Z8EmV0MubKA=</v>
      </c>
      <c r="T553" s="99">
        <f t="shared" ca="1" si="0"/>
        <v>0</v>
      </c>
    </row>
    <row r="554" spans="1:20">
      <c r="A554" s="20">
        <f ca="1">IFERROR(__xludf.DUMMYFUNCTION("""COMPUTED_VALUE"""),58)</f>
        <v>58</v>
      </c>
      <c r="B554" s="20">
        <f ca="1">IFERROR(__xludf.DUMMYFUNCTION("""COMPUTED_VALUE"""),2022)</f>
        <v>2022</v>
      </c>
      <c r="C554" s="20" t="str">
        <f ca="1">IFERROR(__xludf.DUMMYFUNCTION("""COMPUTED_VALUE"""),"VIRTUAL")</f>
        <v>VIRTUAL</v>
      </c>
      <c r="D554" s="106">
        <f ca="1">IFERROR(__xludf.DUMMYFUNCTION("""COMPUTED_VALUE"""),44684)</f>
        <v>44684</v>
      </c>
      <c r="E554" s="20" t="str">
        <f ca="1">IFERROR(__xludf.DUMMYFUNCTION("""COMPUTED_VALUE"""),"SI")</f>
        <v>SI</v>
      </c>
      <c r="F554" s="20" t="str">
        <f ca="1">IFERROR(__xludf.DUMMYFUNCTION("""COMPUTED_VALUE"""),"LEGISLACIÓN DEL TRABAJO, PREVISIÓN Y SEGURIDAD SOCIAL;SALUD HUMANA")</f>
        <v>LEGISLACIÓN DEL TRABAJO, PREVISIÓN Y SEGURIDAD SOCIAL;SALUD HUMANA</v>
      </c>
      <c r="G554" s="20">
        <f ca="1">IFERROR(__xludf.DUMMYFUNCTION("""COMPUTED_VALUE"""),2)</f>
        <v>2</v>
      </c>
      <c r="H554" s="20">
        <f ca="1">IFERROR(__xludf.DUMMYFUNCTION("""COMPUTED_VALUE"""),1)</f>
        <v>1</v>
      </c>
      <c r="I554" s="20">
        <f ca="1">IFERROR(__xludf.DUMMYFUNCTION("""COMPUTED_VALUE"""),1)</f>
        <v>1</v>
      </c>
      <c r="J554" s="20" t="str">
        <f ca="1">IFERROR(__xludf.DUMMYFUNCTION("""COMPUTED_VALUE"""),"Ley")</f>
        <v>Ley</v>
      </c>
      <c r="K554" s="20">
        <f ca="1">IFERROR(__xludf.DUMMYFUNCTION("""COMPUTED_VALUE"""),31520)</f>
        <v>31520</v>
      </c>
      <c r="L554" s="20" t="str">
        <f ca="1">IFERROR(__xludf.DUMMYFUNCTION("""COMPUTED_VALUE"""),"Poder Legislativo Provincial")</f>
        <v>Poder Legislativo Provincial</v>
      </c>
      <c r="M554"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54" s="20" t="str">
        <f ca="1">IFERROR(__xludf.DUMMYFUNCTION("""COMPUTED_VALUE"""),"NO")</f>
        <v>NO</v>
      </c>
      <c r="O554" s="20" t="str">
        <f ca="1">IFERROR(__xludf.DUMMYFUNCTION("""COMPUTED_VALUE"""),"SI")</f>
        <v>SI</v>
      </c>
      <c r="P554" s="20">
        <f ca="1">IFERROR(__xludf.DUMMYFUNCTION("""COMPUTED_VALUE"""),3)</f>
        <v>3</v>
      </c>
      <c r="Q554" s="113" t="str">
        <f ca="1">IFERROR(__xludf.DUMMYFUNCTION("""COMPUTED_VALUE"""),"https://gld.legislaturacba.gob.ar/_cdd/api/Documento/descargar?guid=ed30007c-3a8f-4fb0-b930-eb42e1762b70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v>
      </c>
      <c r="R554" s="113" t="str">
        <f ca="1">IFERROR(__xludf.DUMMYFUNCTION("""COMPUTED_VALUE"""),"https://www.youtube.com/watch?v=BVvs9yi6I5A")</f>
        <v>https://www.youtube.com/watch?v=BVvs9yi6I5A</v>
      </c>
      <c r="S554" s="113" t="str">
        <f ca="1">IFERROR(__xludf.DUMMYFUNCTION("""COMPUTED_VALUE"""),"https://gld.legislaturacba.gob.ar/Publics/Actas.aspx?id=2sJjM1BF8B8=;https://gld.legislaturacba.gob.ar/Publics/Actas.aspx?id=pwdRpUax_SU=")</f>
        <v>https://gld.legislaturacba.gob.ar/Publics/Actas.aspx?id=2sJjM1BF8B8=;https://gld.legislaturacba.gob.ar/Publics/Actas.aspx?id=pwdRpUax_SU=</v>
      </c>
      <c r="T554" s="99">
        <f t="shared" ca="1" si="0"/>
        <v>0</v>
      </c>
    </row>
    <row r="555" spans="1:20">
      <c r="A555" s="20">
        <f ca="1">IFERROR(__xludf.DUMMYFUNCTION("""COMPUTED_VALUE"""),59)</f>
        <v>59</v>
      </c>
      <c r="B555" s="20">
        <f ca="1">IFERROR(__xludf.DUMMYFUNCTION("""COMPUTED_VALUE"""),2022)</f>
        <v>2022</v>
      </c>
      <c r="C555" s="20" t="str">
        <f ca="1">IFERROR(__xludf.DUMMYFUNCTION("""COMPUTED_VALUE"""),"SEMIPRESENCIAL")</f>
        <v>SEMIPRESENCIAL</v>
      </c>
      <c r="D555" s="106">
        <f ca="1">IFERROR(__xludf.DUMMYFUNCTION("""COMPUTED_VALUE"""),44684)</f>
        <v>44684</v>
      </c>
      <c r="E555" s="20" t="str">
        <f ca="1">IFERROR(__xludf.DUMMYFUNCTION("""COMPUTED_VALUE"""),"NO")</f>
        <v>NO</v>
      </c>
      <c r="F555" s="20" t="str">
        <f ca="1">IFERROR(__xludf.DUMMYFUNCTION("""COMPUTED_VALUE"""),"PROMOCIÓN Y DEFENSA DE LOS DERECHOS DE LA NIÑEZ, ADOLESCENCIA Y FAMILIA")</f>
        <v>PROMOCIÓN Y DEFENSA DE LOS DERECHOS DE LA NIÑEZ, ADOLESCENCIA Y FAMILIA</v>
      </c>
      <c r="G555" s="20">
        <f ca="1">IFERROR(__xludf.DUMMYFUNCTION("""COMPUTED_VALUE"""),1)</f>
        <v>1</v>
      </c>
      <c r="H555" s="20">
        <f ca="1">IFERROR(__xludf.DUMMYFUNCTION("""COMPUTED_VALUE"""),1)</f>
        <v>1</v>
      </c>
      <c r="I555" s="20">
        <f ca="1">IFERROR(__xludf.DUMMYFUNCTION("""COMPUTED_VALUE"""),1)</f>
        <v>1</v>
      </c>
      <c r="J555" s="20" t="str">
        <f ca="1">IFERROR(__xludf.DUMMYFUNCTION("""COMPUTED_VALUE"""),"NA")</f>
        <v>NA</v>
      </c>
      <c r="K555" s="20" t="str">
        <f ca="1">IFERROR(__xludf.DUMMYFUNCTION("""COMPUTED_VALUE"""),"NA")</f>
        <v>NA</v>
      </c>
      <c r="L555" s="20" t="str">
        <f ca="1">IFERROR(__xludf.DUMMYFUNCTION("""COMPUTED_VALUE"""),"NA")</f>
        <v>NA</v>
      </c>
      <c r="M555" s="20" t="str">
        <f ca="1">IFERROR(__xludf.DUMMYFUNCTION("""COMPUTED_VALUE"""),"Nota de la Defensoría de los Derechos de las Niñas, Niños y Adolescentes, remitiendo el informe que dispone el artículo 12 de la Ley N° 9396")</f>
        <v>Nota de la Defensoría de los Derechos de las Niñas, Niños y Adolescentes, remitiendo el informe que dispone el artículo 12 de la Ley N° 9396</v>
      </c>
      <c r="N555" s="20" t="str">
        <f ca="1">IFERROR(__xludf.DUMMYFUNCTION("""COMPUTED_VALUE"""),"NA")</f>
        <v>NA</v>
      </c>
      <c r="O555" s="20" t="str">
        <f ca="1">IFERROR(__xludf.DUMMYFUNCTION("""COMPUTED_VALUE"""),"SI")</f>
        <v>SI</v>
      </c>
      <c r="P555" s="20">
        <f ca="1">IFERROR(__xludf.DUMMYFUNCTION("""COMPUTED_VALUE"""),1)</f>
        <v>1</v>
      </c>
      <c r="Q555" s="113" t="str">
        <f ca="1">IFERROR(__xludf.DUMMYFUNCTION("""COMPUTED_VALUE"""),"https://gld.legislaturacba.gob.ar/_cdd/api/Documento/descargar?guid=eaba2201-580d-4a13-86fc-b6c8f7577e20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v>
      </c>
      <c r="R555" s="113" t="str">
        <f ca="1">IFERROR(__xludf.DUMMYFUNCTION("""COMPUTED_VALUE"""),"https://www.youtube.com/watch?v=Ygnt-ym8vAM")</f>
        <v>https://www.youtube.com/watch?v=Ygnt-ym8vAM</v>
      </c>
      <c r="S555" s="113" t="str">
        <f ca="1">IFERROR(__xludf.DUMMYFUNCTION("""COMPUTED_VALUE"""),"https://gld.legislaturacba.gob.ar/Publics/Actas.aspx?id=18VJg0RTLZg=")</f>
        <v>https://gld.legislaturacba.gob.ar/Publics/Actas.aspx?id=18VJg0RTLZg=</v>
      </c>
      <c r="T555" s="99">
        <f t="shared" ca="1" si="0"/>
        <v>0</v>
      </c>
    </row>
    <row r="556" spans="1:20">
      <c r="A556" s="20">
        <f ca="1">IFERROR(__xludf.DUMMYFUNCTION("""COMPUTED_VALUE"""),60)</f>
        <v>60</v>
      </c>
      <c r="B556" s="20">
        <f ca="1">IFERROR(__xludf.DUMMYFUNCTION("""COMPUTED_VALUE"""),2022)</f>
        <v>2022</v>
      </c>
      <c r="C556" s="20" t="str">
        <f ca="1">IFERROR(__xludf.DUMMYFUNCTION("""COMPUTED_VALUE"""),"VIRTUAL")</f>
        <v>VIRTUAL</v>
      </c>
      <c r="D556" s="106">
        <f ca="1">IFERROR(__xludf.DUMMYFUNCTION("""COMPUTED_VALUE"""),44684)</f>
        <v>44684</v>
      </c>
      <c r="E556" s="20" t="str">
        <f ca="1">IFERROR(__xludf.DUMMYFUNCTION("""COMPUTED_VALUE"""),"SI")</f>
        <v>SI</v>
      </c>
      <c r="F556" s="20" t="str">
        <f ca="1">IFERROR(__xludf.DUMMYFUNCTION("""COMPUTED_VALUE"""),"SALUD HUMANA;AMBIENTE")</f>
        <v>SALUD HUMANA;AMBIENTE</v>
      </c>
      <c r="G556" s="20">
        <f ca="1">IFERROR(__xludf.DUMMYFUNCTION("""COMPUTED_VALUE"""),2)</f>
        <v>2</v>
      </c>
      <c r="H556" s="20">
        <f ca="1">IFERROR(__xludf.DUMMYFUNCTION("""COMPUTED_VALUE"""),8)</f>
        <v>8</v>
      </c>
      <c r="I556" s="20">
        <f ca="1">IFERROR(__xludf.DUMMYFUNCTION("""COMPUTED_VALUE"""),1)</f>
        <v>1</v>
      </c>
      <c r="J556" s="20" t="str">
        <f ca="1">IFERROR(__xludf.DUMMYFUNCTION("""COMPUTED_VALUE"""),"Resolución")</f>
        <v>Resolución</v>
      </c>
      <c r="K556" s="20">
        <f ca="1">IFERROR(__xludf.DUMMYFUNCTION("""COMPUTED_VALUE"""),33111)</f>
        <v>33111</v>
      </c>
      <c r="L556" s="20" t="str">
        <f ca="1">IFERROR(__xludf.DUMMYFUNCTION("""COMPUTED_VALUE"""),"Poder Legislativo Provincial")</f>
        <v>Poder Legislativo Provincial</v>
      </c>
      <c r="M556" s="20" t="str">
        <f ca="1">IFERROR(__xludf.DUMMYFUNCTION("""COMPUTED_VALUE"""),"Solicitando al Poder Ejecutivo informe (Art. 102 C.P) respecto al personal, estadísticas, cronograma de muestreo sobre aspectos sanitarios de la presencia de cianobacterias en el agua por parte del Departamento de Salud Ambiental.")</f>
        <v>Solicitando al Poder Ejecutivo informe (Art. 102 C.P) respecto al personal, estadísticas, cronograma de muestreo sobre aspectos sanitarios de la presencia de cianobacterias en el agua por parte del Departamento de Salud Ambiental.</v>
      </c>
      <c r="N556" s="20" t="str">
        <f ca="1">IFERROR(__xludf.DUMMYFUNCTION("""COMPUTED_VALUE"""),"NO")</f>
        <v>NO</v>
      </c>
      <c r="O556" s="20" t="str">
        <f ca="1">IFERROR(__xludf.DUMMYFUNCTION("""COMPUTED_VALUE"""),"SI")</f>
        <v>SI</v>
      </c>
      <c r="P556" s="20">
        <f ca="1">IFERROR(__xludf.DUMMYFUNCTION("""COMPUTED_VALUE"""),2)</f>
        <v>2</v>
      </c>
      <c r="Q556" s="113" t="str">
        <f ca="1">IFERROR(__xludf.DUMMYFUNCTION("""COMPUTED_VALUE"""),"https://gld.legislaturacba.gob.ar/_cdd/api/Documento/descargar?guid=ce2c4b76-0fc0-488d-8570-7373756e1cc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v>
      </c>
      <c r="R556" s="113" t="str">
        <f ca="1">IFERROR(__xludf.DUMMYFUNCTION("""COMPUTED_VALUE"""),"https://www.youtube.com/watch?v=JEsmkGBnn9I")</f>
        <v>https://www.youtube.com/watch?v=JEsmkGBnn9I</v>
      </c>
      <c r="S556" s="113" t="str">
        <f ca="1">IFERROR(__xludf.DUMMYFUNCTION("""COMPUTED_VALUE"""),"https://gld.legislaturacba.gob.ar/Publics/Actas.aspx?id=QgfIgsvT50I=;https://gld.legislaturacba.gob.ar/Publics/Actas.aspx?id=AWIeX2MQvNE=")</f>
        <v>https://gld.legislaturacba.gob.ar/Publics/Actas.aspx?id=QgfIgsvT50I=;https://gld.legislaturacba.gob.ar/Publics/Actas.aspx?id=AWIeX2MQvNE=</v>
      </c>
      <c r="T556" s="99">
        <f t="shared" ca="1" si="0"/>
        <v>0</v>
      </c>
    </row>
    <row r="557" spans="1:20">
      <c r="A557" s="20">
        <f ca="1">IFERROR(__xludf.DUMMYFUNCTION("""COMPUTED_VALUE"""),61)</f>
        <v>61</v>
      </c>
      <c r="B557" s="20">
        <f ca="1">IFERROR(__xludf.DUMMYFUNCTION("""COMPUTED_VALUE"""),2022)</f>
        <v>2022</v>
      </c>
      <c r="C557" s="20" t="str">
        <f ca="1">IFERROR(__xludf.DUMMYFUNCTION("""COMPUTED_VALUE"""),"VIRTUAL")</f>
        <v>VIRTUAL</v>
      </c>
      <c r="D557" s="106">
        <f ca="1">IFERROR(__xludf.DUMMYFUNCTION("""COMPUTED_VALUE"""),44686)</f>
        <v>44686</v>
      </c>
      <c r="E557" s="20" t="str">
        <f ca="1">IFERROR(__xludf.DUMMYFUNCTION("""COMPUTED_VALUE"""),"NO")</f>
        <v>NO</v>
      </c>
      <c r="F557" s="20" t="str">
        <f ca="1">IFERROR(__xludf.DUMMYFUNCTION("""COMPUTED_VALUE"""),"ASUNTOS INSTITUCIONALES, MUNICIPALES Y COMUNALES")</f>
        <v>ASUNTOS INSTITUCIONALES, MUNICIPALES Y COMUNALES</v>
      </c>
      <c r="G557" s="20">
        <f ca="1">IFERROR(__xludf.DUMMYFUNCTION("""COMPUTED_VALUE"""),1)</f>
        <v>1</v>
      </c>
      <c r="H557" s="20">
        <f ca="1">IFERROR(__xludf.DUMMYFUNCTION("""COMPUTED_VALUE"""),1)</f>
        <v>1</v>
      </c>
      <c r="I557" s="20">
        <f ca="1">IFERROR(__xludf.DUMMYFUNCTION("""COMPUTED_VALUE"""),1)</f>
        <v>1</v>
      </c>
      <c r="J557" s="20" t="str">
        <f ca="1">IFERROR(__xludf.DUMMYFUNCTION("""COMPUTED_VALUE"""),"Ley")</f>
        <v>Ley</v>
      </c>
      <c r="K557" s="20">
        <f ca="1">IFERROR(__xludf.DUMMYFUNCTION("""COMPUTED_VALUE"""),34929)</f>
        <v>34929</v>
      </c>
      <c r="L557" s="20" t="str">
        <f ca="1">IFERROR(__xludf.DUMMYFUNCTION("""COMPUTED_VALUE"""),"Poder Ejecutivo Provincial")</f>
        <v>Poder Ejecutivo Provincial</v>
      </c>
      <c r="M557" s="20" t="str">
        <f ca="1">IFERROR(__xludf.DUMMYFUNCTION("""COMPUTED_VALUE"""),"Modificando el radio municipal de la localidad de Marull. Dpto. San Justo")</f>
        <v>Modificando el radio municipal de la localidad de Marull. Dpto. San Justo</v>
      </c>
      <c r="N557" s="20" t="str">
        <f ca="1">IFERROR(__xludf.DUMMYFUNCTION("""COMPUTED_VALUE"""),"SI")</f>
        <v>SI</v>
      </c>
      <c r="O557" s="20" t="str">
        <f ca="1">IFERROR(__xludf.DUMMYFUNCTION("""COMPUTED_VALUE"""),"NO")</f>
        <v>NO</v>
      </c>
      <c r="P557" s="20">
        <f ca="1">IFERROR(__xludf.DUMMYFUNCTION("""COMPUTED_VALUE"""),0)</f>
        <v>0</v>
      </c>
      <c r="Q557" s="113" t="str">
        <f ca="1">IFERROR(__xludf.DUMMYFUNCTION("""COMPUTED_VALUE"""),"https://gld.legislaturacba.gob.ar/_cdd/api/Documento/descargar?guid=2efc08ad-32d2-4eb9-a429-fdb81c3109d9&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v>
      </c>
      <c r="R557" s="113" t="str">
        <f ca="1">IFERROR(__xludf.DUMMYFUNCTION("""COMPUTED_VALUE"""),"https://www.youtube.com/watch?v=xOCeLVUSkLE")</f>
        <v>https://www.youtube.com/watch?v=xOCeLVUSkLE</v>
      </c>
      <c r="S557" s="113" t="str">
        <f ca="1">IFERROR(__xludf.DUMMYFUNCTION("""COMPUTED_VALUE"""),"https://gld.legislaturacba.gob.ar/Publics/Actas.aspx?id=N6DwRsXfFEw=")</f>
        <v>https://gld.legislaturacba.gob.ar/Publics/Actas.aspx?id=N6DwRsXfFEw=</v>
      </c>
      <c r="T557" s="99">
        <f t="shared" ca="1" si="0"/>
        <v>0</v>
      </c>
    </row>
    <row r="558" spans="1:20">
      <c r="A558" s="20">
        <f ca="1">IFERROR(__xludf.DUMMYFUNCTION("""COMPUTED_VALUE"""),62)</f>
        <v>62</v>
      </c>
      <c r="B558" s="20">
        <f ca="1">IFERROR(__xludf.DUMMYFUNCTION("""COMPUTED_VALUE"""),2022)</f>
        <v>2022</v>
      </c>
      <c r="C558" s="20" t="str">
        <f ca="1">IFERROR(__xludf.DUMMYFUNCTION("""COMPUTED_VALUE"""),"VIRTUAL")</f>
        <v>VIRTUAL</v>
      </c>
      <c r="D558" s="106">
        <f ca="1">IFERROR(__xludf.DUMMYFUNCTION("""COMPUTED_VALUE"""),44686)</f>
        <v>44686</v>
      </c>
      <c r="E558" s="20" t="str">
        <f ca="1">IFERROR(__xludf.DUMMYFUNCTION("""COMPUTED_VALUE"""),"NO")</f>
        <v>NO</v>
      </c>
      <c r="F558" s="20" t="str">
        <f ca="1">IFERROR(__xludf.DUMMYFUNCTION("""COMPUTED_VALUE"""),"DERECHOS HUMANOS Y DESARROLLO SOCIAL")</f>
        <v>DERECHOS HUMANOS Y DESARROLLO SOCIAL</v>
      </c>
      <c r="G558" s="20">
        <f ca="1">IFERROR(__xludf.DUMMYFUNCTION("""COMPUTED_VALUE"""),1)</f>
        <v>1</v>
      </c>
      <c r="H558" s="20">
        <f ca="1">IFERROR(__xludf.DUMMYFUNCTION("""COMPUTED_VALUE"""),4)</f>
        <v>4</v>
      </c>
      <c r="I558" s="20">
        <f ca="1">IFERROR(__xludf.DUMMYFUNCTION("""COMPUTED_VALUE"""),1)</f>
        <v>1</v>
      </c>
      <c r="J558" s="20" t="str">
        <f ca="1">IFERROR(__xludf.DUMMYFUNCTION("""COMPUTED_VALUE"""),"Resolución")</f>
        <v>Resolución</v>
      </c>
      <c r="K558" s="20">
        <f ca="1">IFERROR(__xludf.DUMMYFUNCTION("""COMPUTED_VALUE"""),32837)</f>
        <v>32837</v>
      </c>
      <c r="L558" s="20" t="str">
        <f ca="1">IFERROR(__xludf.DUMMYFUNCTION("""COMPUTED_VALUE"""),"Poder Legislativo Provincial")</f>
        <v>Poder Legislativo Provincial</v>
      </c>
      <c r="M558" s="20" t="str">
        <f ca="1">IFERROR(__xludf.DUMMYFUNCTION("""COMPUTED_VALUE"""),"Solicitando al Poder Ejecutivo informe (Art. 102 CP) sobre la conformación de los módulos alimentarios del Programa P.A.I.Cor en algunas escuelas, y sobre la denuncia por presunta estafa efectuada contra el responsable regional del distrito Bialet Massé.")</f>
        <v>Solicitando al Poder Ejecutivo informe (Art. 102 CP) sobre la conformación de los módulos alimentarios del Programa P.A.I.Cor en algunas escuelas, y sobre la denuncia por presunta estafa efectuada contra el responsable regional del distrito Bialet Massé.</v>
      </c>
      <c r="N558" s="20" t="str">
        <f ca="1">IFERROR(__xludf.DUMMYFUNCTION("""COMPUTED_VALUE"""),"NO")</f>
        <v>NO</v>
      </c>
      <c r="O558" s="20" t="str">
        <f ca="1">IFERROR(__xludf.DUMMYFUNCTION("""COMPUTED_VALUE"""),"SI")</f>
        <v>SI</v>
      </c>
      <c r="P558" s="20">
        <f ca="1">IFERROR(__xludf.DUMMYFUNCTION("""COMPUTED_VALUE"""),1)</f>
        <v>1</v>
      </c>
      <c r="Q558" s="113" t="str">
        <f ca="1">IFERROR(__xludf.DUMMYFUNCTION("""COMPUTED_VALUE"""),"https://gld.legislaturacba.gob.ar/_cdd/api/Documento/descargar?guid=c28fd860-430a-4f48-9a94-6dd3ac0e2794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v>
      </c>
      <c r="R558" s="113" t="str">
        <f ca="1">IFERROR(__xludf.DUMMYFUNCTION("""COMPUTED_VALUE"""),"https://www.youtube.com/watch?v=D8ArjO5Ks5E")</f>
        <v>https://www.youtube.com/watch?v=D8ArjO5Ks5E</v>
      </c>
      <c r="S558" s="113" t="str">
        <f ca="1">IFERROR(__xludf.DUMMYFUNCTION("""COMPUTED_VALUE"""),"https://gld.legislaturacba.gob.ar/Publics/Actas.aspx?id=yL_YoMoSBk0=")</f>
        <v>https://gld.legislaturacba.gob.ar/Publics/Actas.aspx?id=yL_YoMoSBk0=</v>
      </c>
      <c r="T558" s="99">
        <f t="shared" ca="1" si="0"/>
        <v>0</v>
      </c>
    </row>
    <row r="559" spans="1:20">
      <c r="A559" s="20">
        <f ca="1">IFERROR(__xludf.DUMMYFUNCTION("""COMPUTED_VALUE"""),63)</f>
        <v>63</v>
      </c>
      <c r="B559" s="20">
        <f ca="1">IFERROR(__xludf.DUMMYFUNCTION("""COMPUTED_VALUE"""),2022)</f>
        <v>2022</v>
      </c>
      <c r="C559" s="20" t="str">
        <f ca="1">IFERROR(__xludf.DUMMYFUNCTION("""COMPUTED_VALUE"""),"SEMIPRESENCIAL")</f>
        <v>SEMIPRESENCIAL</v>
      </c>
      <c r="D559" s="106">
        <f ca="1">IFERROR(__xludf.DUMMYFUNCTION("""COMPUTED_VALUE"""),44691)</f>
        <v>44691</v>
      </c>
      <c r="E559" s="20" t="str">
        <f ca="1">IFERROR(__xludf.DUMMYFUNCTION("""COMPUTED_VALUE"""),"NO")</f>
        <v>NO</v>
      </c>
      <c r="F559" s="20" t="str">
        <f ca="1">IFERROR(__xludf.DUMMYFUNCTION("""COMPUTED_VALUE"""),"ASUNTOS CONSTITUCIONALES, JUSTICIA Y ACUERDOS")</f>
        <v>ASUNTOS CONSTITUCIONALES, JUSTICIA Y ACUERDOS</v>
      </c>
      <c r="G559" s="20">
        <f ca="1">IFERROR(__xludf.DUMMYFUNCTION("""COMPUTED_VALUE"""),1)</f>
        <v>1</v>
      </c>
      <c r="H559" s="20">
        <f ca="1">IFERROR(__xludf.DUMMYFUNCTION("""COMPUTED_VALUE"""),1)</f>
        <v>1</v>
      </c>
      <c r="I559" s="20">
        <f ca="1">IFERROR(__xludf.DUMMYFUNCTION("""COMPUTED_VALUE"""),1)</f>
        <v>1</v>
      </c>
      <c r="J559" s="20" t="str">
        <f ca="1">IFERROR(__xludf.DUMMYFUNCTION("""COMPUTED_VALUE"""),"Pliego")</f>
        <v>Pliego</v>
      </c>
      <c r="K559" s="20">
        <f ca="1">IFERROR(__xludf.DUMMYFUNCTION("""COMPUTED_VALUE"""),34774)</f>
        <v>34774</v>
      </c>
      <c r="L559" s="20" t="str">
        <f ca="1">IFERROR(__xludf.DUMMYFUNCTION("""COMPUTED_VALUE"""),"Poder Ejecutivo Provincial")</f>
        <v>Poder Ejecutivo Provincial</v>
      </c>
      <c r="M559" s="20" t="str">
        <f ca="1">IFERROR(__xludf.DUMMYFUNCTION("""COMPUTED_VALUE"""),"Solicitando acuerdo para designar a la abogada Bettina Graciela Croppi como Fiscal Adjunta de la Fiscalía General de la Provincia")</f>
        <v>Solicitando acuerdo para designar a la abogada Bettina Graciela Croppi como Fiscal Adjunta de la Fiscalía General de la Provincia</v>
      </c>
      <c r="N559" s="20" t="str">
        <f ca="1">IFERROR(__xludf.DUMMYFUNCTION("""COMPUTED_VALUE"""),"SI")</f>
        <v>SI</v>
      </c>
      <c r="O559" s="20" t="str">
        <f ca="1">IFERROR(__xludf.DUMMYFUNCTION("""COMPUTED_VALUE"""),"NO")</f>
        <v>NO</v>
      </c>
      <c r="P559" s="20">
        <f ca="1">IFERROR(__xludf.DUMMYFUNCTION("""COMPUTED_VALUE"""),0)</f>
        <v>0</v>
      </c>
      <c r="Q559" s="113" t="str">
        <f ca="1">IFERROR(__xludf.DUMMYFUNCTION("""COMPUTED_VALUE"""),"https://gld.legislaturacba.gob.ar/_cdd/api/Documento/descargar?guid=fd664392-b1b6-41d0-a53d-27e7053b30e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v>
      </c>
      <c r="R559" s="113" t="str">
        <f ca="1">IFERROR(__xludf.DUMMYFUNCTION("""COMPUTED_VALUE"""),"https://www.youtube.com/watch?v=ngOAiA0WSFE")</f>
        <v>https://www.youtube.com/watch?v=ngOAiA0WSFE</v>
      </c>
      <c r="S559" s="113" t="str">
        <f ca="1">IFERROR(__xludf.DUMMYFUNCTION("""COMPUTED_VALUE"""),"https://gld.legislaturacba.gob.ar/Publics/Actas.aspx?id=kjw-B0MuMR0=")</f>
        <v>https://gld.legislaturacba.gob.ar/Publics/Actas.aspx?id=kjw-B0MuMR0=</v>
      </c>
      <c r="T559" s="99">
        <f t="shared" ca="1" si="0"/>
        <v>0</v>
      </c>
    </row>
    <row r="560" spans="1:20">
      <c r="A560" s="20">
        <f ca="1">IFERROR(__xludf.DUMMYFUNCTION("""COMPUTED_VALUE"""),64)</f>
        <v>64</v>
      </c>
      <c r="B560" s="20">
        <f ca="1">IFERROR(__xludf.DUMMYFUNCTION("""COMPUTED_VALUE"""),2022)</f>
        <v>2022</v>
      </c>
      <c r="C560" s="20" t="str">
        <f ca="1">IFERROR(__xludf.DUMMYFUNCTION("""COMPUTED_VALUE"""),"PRESENCIAL")</f>
        <v>PRESENCIAL</v>
      </c>
      <c r="D560" s="106">
        <f ca="1">IFERROR(__xludf.DUMMYFUNCTION("""COMPUTED_VALUE"""),44691)</f>
        <v>44691</v>
      </c>
      <c r="E560" s="20" t="str">
        <f ca="1">IFERROR(__xludf.DUMMYFUNCTION("""COMPUTED_VALUE"""),"NO")</f>
        <v>NO</v>
      </c>
      <c r="F560" s="20" t="str">
        <f ca="1">IFERROR(__xludf.DUMMYFUNCTION("""COMPUTED_VALUE"""),"AGRICULTURA, GANADERÍA Y RECURSOS RENOVABLES")</f>
        <v>AGRICULTURA, GANADERÍA Y RECURSOS RENOVABLES</v>
      </c>
      <c r="G560" s="20">
        <f ca="1">IFERROR(__xludf.DUMMYFUNCTION("""COMPUTED_VALUE"""),1)</f>
        <v>1</v>
      </c>
      <c r="H560" s="20">
        <f ca="1">IFERROR(__xludf.DUMMYFUNCTION("""COMPUTED_VALUE"""),2)</f>
        <v>2</v>
      </c>
      <c r="I560" s="20">
        <f ca="1">IFERROR(__xludf.DUMMYFUNCTION("""COMPUTED_VALUE"""),1)</f>
        <v>1</v>
      </c>
      <c r="J560" s="20" t="str">
        <f ca="1">IFERROR(__xludf.DUMMYFUNCTION("""COMPUTED_VALUE"""),"Resolución")</f>
        <v>Resolución</v>
      </c>
      <c r="K560" s="20">
        <f ca="1">IFERROR(__xludf.DUMMYFUNCTION("""COMPUTED_VALUE"""),33617)</f>
        <v>33617</v>
      </c>
      <c r="L560" s="20" t="str">
        <f ca="1">IFERROR(__xludf.DUMMYFUNCTION("""COMPUTED_VALUE"""),"Poder Legislativo Provincial")</f>
        <v>Poder Legislativo Provincial</v>
      </c>
      <c r="M560" s="20" t="str">
        <f ca="1">IFERROR(__xludf.DUMMYFUNCTION("""COMPUTED_VALUE"""),"Solicitando al Poder Ejecutivo informe (Art. 102 C.P.) respecto de la compra de vehículos para combatir delitos en zonas rurales.")</f>
        <v>Solicitando al Poder Ejecutivo informe (Art. 102 C.P.) respecto de la compra de vehículos para combatir delitos en zonas rurales.</v>
      </c>
      <c r="N560" s="20" t="str">
        <f ca="1">IFERROR(__xludf.DUMMYFUNCTION("""COMPUTED_VALUE"""),"NO")</f>
        <v>NO</v>
      </c>
      <c r="O560" s="20" t="str">
        <f ca="1">IFERROR(__xludf.DUMMYFUNCTION("""COMPUTED_VALUE"""),"SI")</f>
        <v>SI</v>
      </c>
      <c r="P560" s="20">
        <f ca="1">IFERROR(__xludf.DUMMYFUNCTION("""COMPUTED_VALUE"""),1)</f>
        <v>1</v>
      </c>
      <c r="Q560" s="20" t="str">
        <f ca="1">IFERROR(__xludf.DUMMYFUNCTION("""COMPUTED_VALUE"""),"NA")</f>
        <v>NA</v>
      </c>
      <c r="R560" s="20" t="str">
        <f ca="1">IFERROR(__xludf.DUMMYFUNCTION("""COMPUTED_VALUE"""),"NA")</f>
        <v>NA</v>
      </c>
      <c r="S560" s="113" t="str">
        <f ca="1">IFERROR(__xludf.DUMMYFUNCTION("""COMPUTED_VALUE"""),"https://gld.legislaturacba.gob.ar/Publics/Actas.aspx?id=bDvG1uLvP5s=")</f>
        <v>https://gld.legislaturacba.gob.ar/Publics/Actas.aspx?id=bDvG1uLvP5s=</v>
      </c>
      <c r="T560" s="99">
        <f t="shared" ca="1" si="0"/>
        <v>0</v>
      </c>
    </row>
    <row r="561" spans="1:20">
      <c r="A561" s="20">
        <f ca="1">IFERROR(__xludf.DUMMYFUNCTION("""COMPUTED_VALUE"""),65)</f>
        <v>65</v>
      </c>
      <c r="B561" s="20">
        <f ca="1">IFERROR(__xludf.DUMMYFUNCTION("""COMPUTED_VALUE"""),2022)</f>
        <v>2022</v>
      </c>
      <c r="C561" s="20" t="str">
        <f ca="1">IFERROR(__xludf.DUMMYFUNCTION("""COMPUTED_VALUE"""),"VIRTUAL")</f>
        <v>VIRTUAL</v>
      </c>
      <c r="D561" s="106">
        <f ca="1">IFERROR(__xludf.DUMMYFUNCTION("""COMPUTED_VALUE"""),44691)</f>
        <v>44691</v>
      </c>
      <c r="E561" s="20" t="str">
        <f ca="1">IFERROR(__xludf.DUMMYFUNCTION("""COMPUTED_VALUE"""),"NO")</f>
        <v>NO</v>
      </c>
      <c r="F561" s="20" t="str">
        <f ca="1">IFERROR(__xludf.DUMMYFUNCTION("""COMPUTED_VALUE"""),"ECONOMÍA, PRESUPUESTO, GESTIÓN PÚBLICA E INNOVACIÓN")</f>
        <v>ECONOMÍA, PRESUPUESTO, GESTIÓN PÚBLICA E INNOVACIÓN</v>
      </c>
      <c r="G561" s="20">
        <f ca="1">IFERROR(__xludf.DUMMYFUNCTION("""COMPUTED_VALUE"""),1)</f>
        <v>1</v>
      </c>
      <c r="H561" s="20">
        <f ca="1">IFERROR(__xludf.DUMMYFUNCTION("""COMPUTED_VALUE"""),7)</f>
        <v>7</v>
      </c>
      <c r="I561" s="20">
        <f ca="1">IFERROR(__xludf.DUMMYFUNCTION("""COMPUTED_VALUE"""),1)</f>
        <v>1</v>
      </c>
      <c r="J561" s="20" t="str">
        <f ca="1">IFERROR(__xludf.DUMMYFUNCTION("""COMPUTED_VALUE"""),"Resolución")</f>
        <v>Resolución</v>
      </c>
      <c r="K561" s="20">
        <f ca="1">IFERROR(__xludf.DUMMYFUNCTION("""COMPUTED_VALUE"""),33530)</f>
        <v>33530</v>
      </c>
      <c r="L561" s="20" t="str">
        <f ca="1">IFERROR(__xludf.DUMMYFUNCTION("""COMPUTED_VALUE"""),"Poder Legislativo Provincial")</f>
        <v>Poder Legislativo Provincial</v>
      </c>
      <c r="M561" s="20" t="str">
        <f ca="1">IFERROR(__xludf.DUMMYFUNCTION("""COMPUTED_VALUE"""),"Solicitando al Poder Ejecutivo informe (Art. 102 C.P.) en detalle sobre lo recaudado por multas de tránsito durante el año 2020, discriminando aquellas correspondientes a los Arts. 7 y 8 de la Ley Nº 8560 y las establecidas en la Ley Nº 8169, respectivame"&amp;"nte.")</f>
        <v>Solicitando al Poder Ejecutivo informe (Art. 102 C.P.) en detalle sobre lo recaudado por multas de tránsito durante el año 2020, discriminando aquellas correspondientes a los Arts. 7 y 8 de la Ley Nº 8560 y las establecidas en la Ley Nº 8169, respectivamente.</v>
      </c>
      <c r="N561" s="20" t="str">
        <f ca="1">IFERROR(__xludf.DUMMYFUNCTION("""COMPUTED_VALUE"""),"NO")</f>
        <v>NO</v>
      </c>
      <c r="O561" s="20" t="str">
        <f ca="1">IFERROR(__xludf.DUMMYFUNCTION("""COMPUTED_VALUE"""),"NO")</f>
        <v>NO</v>
      </c>
      <c r="P561" s="20">
        <f ca="1">IFERROR(__xludf.DUMMYFUNCTION("""COMPUTED_VALUE"""),0)</f>
        <v>0</v>
      </c>
      <c r="Q561" s="113" t="str">
        <f ca="1">IFERROR(__xludf.DUMMYFUNCTION("""COMPUTED_VALUE"""),"https://gld.legislaturacba.gob.ar/_cdd/api/Documento/descargar?guid=6c276c47-ff95-4f97-9256-18a13e20b690&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v>
      </c>
      <c r="R561" s="113" t="str">
        <f ca="1">IFERROR(__xludf.DUMMYFUNCTION("""COMPUTED_VALUE"""),"https://www.youtube.com/watch?v=sz0vehC_52s")</f>
        <v>https://www.youtube.com/watch?v=sz0vehC_52s</v>
      </c>
      <c r="S561" s="113" t="str">
        <f ca="1">IFERROR(__xludf.DUMMYFUNCTION("""COMPUTED_VALUE"""),"https://gld.legislaturacba.gob.ar/Publics/Actas.aspx?id=NPJJje7QdRk=")</f>
        <v>https://gld.legislaturacba.gob.ar/Publics/Actas.aspx?id=NPJJje7QdRk=</v>
      </c>
      <c r="T561" s="99">
        <f t="shared" ca="1" si="0"/>
        <v>0</v>
      </c>
    </row>
    <row r="562" spans="1:20">
      <c r="A562" s="20">
        <f ca="1">IFERROR(__xludf.DUMMYFUNCTION("""COMPUTED_VALUE"""),66)</f>
        <v>66</v>
      </c>
      <c r="B562" s="20">
        <f ca="1">IFERROR(__xludf.DUMMYFUNCTION("""COMPUTED_VALUE"""),2022)</f>
        <v>2022</v>
      </c>
      <c r="C562" s="20" t="str">
        <f ca="1">IFERROR(__xludf.DUMMYFUNCTION("""COMPUTED_VALUE"""),"VIRTUAL")</f>
        <v>VIRTUAL</v>
      </c>
      <c r="D562" s="106">
        <f ca="1">IFERROR(__xludf.DUMMYFUNCTION("""COMPUTED_VALUE"""),44692)</f>
        <v>44692</v>
      </c>
      <c r="E562" s="20" t="str">
        <f ca="1">IFERROR(__xludf.DUMMYFUNCTION("""COMPUTED_VALUE"""),"NO")</f>
        <v>NO</v>
      </c>
      <c r="F562" s="20" t="str">
        <f ca="1">IFERROR(__xludf.DUMMYFUNCTION("""COMPUTED_VALUE"""),"LEGISLACIÓN GENERAL")</f>
        <v>LEGISLACIÓN GENERAL</v>
      </c>
      <c r="G562" s="20">
        <f ca="1">IFERROR(__xludf.DUMMYFUNCTION("""COMPUTED_VALUE"""),1)</f>
        <v>1</v>
      </c>
      <c r="H562" s="20">
        <f ca="1">IFERROR(__xludf.DUMMYFUNCTION("""COMPUTED_VALUE"""),1)</f>
        <v>1</v>
      </c>
      <c r="I562" s="20">
        <f ca="1">IFERROR(__xludf.DUMMYFUNCTION("""COMPUTED_VALUE"""),1)</f>
        <v>1</v>
      </c>
      <c r="J562" s="20" t="str">
        <f ca="1">IFERROR(__xludf.DUMMYFUNCTION("""COMPUTED_VALUE"""),"Ley")</f>
        <v>Ley</v>
      </c>
      <c r="K562" s="20">
        <f ca="1">IFERROR(__xludf.DUMMYFUNCTION("""COMPUTED_VALUE"""),34929)</f>
        <v>34929</v>
      </c>
      <c r="L562" s="20" t="str">
        <f ca="1">IFERROR(__xludf.DUMMYFUNCTION("""COMPUTED_VALUE"""),"Poder Ejecutivo Provincial")</f>
        <v>Poder Ejecutivo Provincial</v>
      </c>
      <c r="M562" s="20" t="str">
        <f ca="1">IFERROR(__xludf.DUMMYFUNCTION("""COMPUTED_VALUE"""),"Modificando el radio municipal de la localidad de Marull. Dpto. San Justo")</f>
        <v>Modificando el radio municipal de la localidad de Marull. Dpto. San Justo</v>
      </c>
      <c r="N562" s="20" t="str">
        <f ca="1">IFERROR(__xludf.DUMMYFUNCTION("""COMPUTED_VALUE"""),"NO")</f>
        <v>NO</v>
      </c>
      <c r="O562" s="20" t="str">
        <f ca="1">IFERROR(__xludf.DUMMYFUNCTION("""COMPUTED_VALUE"""),"NO")</f>
        <v>NO</v>
      </c>
      <c r="P562" s="20">
        <f ca="1">IFERROR(__xludf.DUMMYFUNCTION("""COMPUTED_VALUE"""),0)</f>
        <v>0</v>
      </c>
      <c r="Q562" s="113" t="str">
        <f ca="1">IFERROR(__xludf.DUMMYFUNCTION("""COMPUTED_VALUE"""),"https://gld.legislaturacba.gob.ar/_cdd/api/Documento/descargar?guid=9df8ce10-d9c8-4108-a61c-b694797380a4&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v>
      </c>
      <c r="R562" s="113" t="str">
        <f ca="1">IFERROR(__xludf.DUMMYFUNCTION("""COMPUTED_VALUE"""),"https://www.youtube.com/watch?v=EqpjedezNlk")</f>
        <v>https://www.youtube.com/watch?v=EqpjedezNlk</v>
      </c>
      <c r="S562" s="113" t="str">
        <f ca="1">IFERROR(__xludf.DUMMYFUNCTION("""COMPUTED_VALUE"""),"https://gld.legislaturacba.gob.ar/Publics/Actas.aspx?id=4EW_rBWIutU=")</f>
        <v>https://gld.legislaturacba.gob.ar/Publics/Actas.aspx?id=4EW_rBWIutU=</v>
      </c>
      <c r="T562" s="99">
        <f t="shared" ca="1" si="0"/>
        <v>0</v>
      </c>
    </row>
    <row r="563" spans="1:20">
      <c r="A563" s="20">
        <f ca="1">IFERROR(__xludf.DUMMYFUNCTION("""COMPUTED_VALUE"""),67)</f>
        <v>67</v>
      </c>
      <c r="B563" s="20">
        <f ca="1">IFERROR(__xludf.DUMMYFUNCTION("""COMPUTED_VALUE"""),2022)</f>
        <v>2022</v>
      </c>
      <c r="C563" s="20" t="str">
        <f ca="1">IFERROR(__xludf.DUMMYFUNCTION("""COMPUTED_VALUE"""),"VIRTUAL")</f>
        <v>VIRTUAL</v>
      </c>
      <c r="D563" s="106">
        <f ca="1">IFERROR(__xludf.DUMMYFUNCTION("""COMPUTED_VALUE"""),44693)</f>
        <v>44693</v>
      </c>
      <c r="E563" s="20" t="str">
        <f ca="1">IFERROR(__xludf.DUMMYFUNCTION("""COMPUTED_VALUE"""),"NO")</f>
        <v>NO</v>
      </c>
      <c r="F563" s="20" t="str">
        <f ca="1">IFERROR(__xludf.DUMMYFUNCTION("""COMPUTED_VALUE"""),"SALUD HUMANA")</f>
        <v>SALUD HUMANA</v>
      </c>
      <c r="G563" s="20">
        <f ca="1">IFERROR(__xludf.DUMMYFUNCTION("""COMPUTED_VALUE"""),1)</f>
        <v>1</v>
      </c>
      <c r="H563" s="20">
        <f ca="1">IFERROR(__xludf.DUMMYFUNCTION("""COMPUTED_VALUE"""),2)</f>
        <v>2</v>
      </c>
      <c r="I563" s="20">
        <f ca="1">IFERROR(__xludf.DUMMYFUNCTION("""COMPUTED_VALUE"""),1)</f>
        <v>1</v>
      </c>
      <c r="J563" s="20" t="str">
        <f ca="1">IFERROR(__xludf.DUMMYFUNCTION("""COMPUTED_VALUE"""),"Resolución")</f>
        <v>Resolución</v>
      </c>
      <c r="K563" s="20">
        <f ca="1">IFERROR(__xludf.DUMMYFUNCTION("""COMPUTED_VALUE"""),34311)</f>
        <v>34311</v>
      </c>
      <c r="L563" s="20" t="str">
        <f ca="1">IFERROR(__xludf.DUMMYFUNCTION("""COMPUTED_VALUE"""),"Poder Legislativo Provincial")</f>
        <v>Poder Legislativo Provincial</v>
      </c>
      <c r="M563" s="20" t="str">
        <f ca="1">IFERROR(__xludf.DUMMYFUNCTION("""COMPUTED_VALUE"""),"Solicitando al Poder Ejecutivo informe (Art. 102 C.P.) detalladamente sobre diversos aspectos relacionados con el programa 455 de Lucha contra el VIH/SIDA e ITS, Ley N° 9161.")</f>
        <v>Solicitando al Poder Ejecutivo informe (Art. 102 C.P.) detalladamente sobre diversos aspectos relacionados con el programa 455 de Lucha contra el VIH/SIDA e ITS, Ley N° 9161.</v>
      </c>
      <c r="N563" s="20" t="str">
        <f ca="1">IFERROR(__xludf.DUMMYFUNCTION("""COMPUTED_VALUE"""),"NO")</f>
        <v>NO</v>
      </c>
      <c r="O563" s="20" t="str">
        <f ca="1">IFERROR(__xludf.DUMMYFUNCTION("""COMPUTED_VALUE"""),"SI")</f>
        <v>SI</v>
      </c>
      <c r="P563" s="20">
        <f ca="1">IFERROR(__xludf.DUMMYFUNCTION("""COMPUTED_VALUE"""),2)</f>
        <v>2</v>
      </c>
      <c r="Q563" s="113" t="str">
        <f ca="1">IFERROR(__xludf.DUMMYFUNCTION("""COMPUTED_VALUE"""),"https://gld.legislaturacba.gob.ar/_cdd/api/Documento/descargar?guid=3597f3fd-4989-40b7-a53e-271e1df2770f&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v>
      </c>
      <c r="R563" s="113" t="str">
        <f ca="1">IFERROR(__xludf.DUMMYFUNCTION("""COMPUTED_VALUE"""),"https://www.youtube.com/watch?v=Azb8I0LSAeQ")</f>
        <v>https://www.youtube.com/watch?v=Azb8I0LSAeQ</v>
      </c>
      <c r="S563" s="113" t="str">
        <f ca="1">IFERROR(__xludf.DUMMYFUNCTION("""COMPUTED_VALUE"""),"https://gld.legislaturacba.gob.ar/Publics/Actas.aspx?id=VkoOSqr3HQY=")</f>
        <v>https://gld.legislaturacba.gob.ar/Publics/Actas.aspx?id=VkoOSqr3HQY=</v>
      </c>
      <c r="T563" s="99">
        <f t="shared" ca="1" si="0"/>
        <v>0</v>
      </c>
    </row>
    <row r="564" spans="1:20">
      <c r="A564" s="20">
        <f ca="1">IFERROR(__xludf.DUMMYFUNCTION("""COMPUTED_VALUE"""),68)</f>
        <v>68</v>
      </c>
      <c r="B564" s="20">
        <f ca="1">IFERROR(__xludf.DUMMYFUNCTION("""COMPUTED_VALUE"""),2022)</f>
        <v>2022</v>
      </c>
      <c r="C564" s="20" t="str">
        <f ca="1">IFERROR(__xludf.DUMMYFUNCTION("""COMPUTED_VALUE"""),"VIRTUAL")</f>
        <v>VIRTUAL</v>
      </c>
      <c r="D564" s="106">
        <f ca="1">IFERROR(__xludf.DUMMYFUNCTION("""COMPUTED_VALUE"""),44693)</f>
        <v>44693</v>
      </c>
      <c r="E564" s="20" t="str">
        <f ca="1">IFERROR(__xludf.DUMMYFUNCTION("""COMPUTED_VALUE"""),"NO")</f>
        <v>NO</v>
      </c>
      <c r="F564" s="20" t="str">
        <f ca="1">IFERROR(__xludf.DUMMYFUNCTION("""COMPUTED_VALUE"""),"RELACIONES INTERNACIONALES, MERCOSUR Y COMERCIO EXTERIOR")</f>
        <v>RELACIONES INTERNACIONALES, MERCOSUR Y COMERCIO EXTERIOR</v>
      </c>
      <c r="G564" s="20">
        <f ca="1">IFERROR(__xludf.DUMMYFUNCTION("""COMPUTED_VALUE"""),1)</f>
        <v>1</v>
      </c>
      <c r="H564" s="20">
        <f ca="1">IFERROR(__xludf.DUMMYFUNCTION("""COMPUTED_VALUE"""),1)</f>
        <v>1</v>
      </c>
      <c r="I564" s="20">
        <f ca="1">IFERROR(__xludf.DUMMYFUNCTION("""COMPUTED_VALUE"""),1)</f>
        <v>1</v>
      </c>
      <c r="J564" s="20" t="str">
        <f ca="1">IFERROR(__xludf.DUMMYFUNCTION("""COMPUTED_VALUE"""),"NA")</f>
        <v>NA</v>
      </c>
      <c r="K564" s="20" t="str">
        <f ca="1">IFERROR(__xludf.DUMMYFUNCTION("""COMPUTED_VALUE"""),"NA")</f>
        <v>NA</v>
      </c>
      <c r="L564" s="20" t="str">
        <f ca="1">IFERROR(__xludf.DUMMYFUNCTION("""COMPUTED_VALUE"""),"NA")</f>
        <v>NA</v>
      </c>
      <c r="M564" s="20" t="str">
        <f ca="1">IFERROR(__xludf.DUMMYFUNCTION("""COMPUTED_VALUE"""),"Principales logros en la relación económica bilateral (Brasil-Córdoba) y oportunidades para Córdoba")</f>
        <v>Principales logros en la relación económica bilateral (Brasil-Córdoba) y oportunidades para Córdoba</v>
      </c>
      <c r="N564" s="20" t="str">
        <f ca="1">IFERROR(__xludf.DUMMYFUNCTION("""COMPUTED_VALUE"""),"NA")</f>
        <v>NA</v>
      </c>
      <c r="O564" s="20" t="str">
        <f ca="1">IFERROR(__xludf.DUMMYFUNCTION("""COMPUTED_VALUE"""),"SI")</f>
        <v>SI</v>
      </c>
      <c r="P564" s="20">
        <f ca="1">IFERROR(__xludf.DUMMYFUNCTION("""COMPUTED_VALUE"""),1)</f>
        <v>1</v>
      </c>
      <c r="Q564" s="113" t="str">
        <f ca="1">IFERROR(__xludf.DUMMYFUNCTION("""COMPUTED_VALUE"""),"https://gld.legislaturacba.gob.ar/_cdd/api/Documento/descargar?guid=b02a33cb-23ac-47b8-908c-1f0d6c1407f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v>
      </c>
      <c r="R564" s="113" t="str">
        <f ca="1">IFERROR(__xludf.DUMMYFUNCTION("""COMPUTED_VALUE"""),"https://www.youtube.com/watch?v=nbVm0cC2fj0")</f>
        <v>https://www.youtube.com/watch?v=nbVm0cC2fj0</v>
      </c>
      <c r="S564" s="113" t="str">
        <f ca="1">IFERROR(__xludf.DUMMYFUNCTION("""COMPUTED_VALUE"""),"https://gld.legislaturacba.gob.ar/Publics/Actas.aspx?id=BsVomgZyZPQ=")</f>
        <v>https://gld.legislaturacba.gob.ar/Publics/Actas.aspx?id=BsVomgZyZPQ=</v>
      </c>
      <c r="T564" s="99">
        <f t="shared" ca="1" si="0"/>
        <v>0</v>
      </c>
    </row>
    <row r="565" spans="1:20">
      <c r="A565" s="20">
        <f ca="1">IFERROR(__xludf.DUMMYFUNCTION("""COMPUTED_VALUE"""),69)</f>
        <v>69</v>
      </c>
      <c r="B565" s="20">
        <f ca="1">IFERROR(__xludf.DUMMYFUNCTION("""COMPUTED_VALUE"""),2022)</f>
        <v>2022</v>
      </c>
      <c r="C565" s="20" t="str">
        <f ca="1">IFERROR(__xludf.DUMMYFUNCTION("""COMPUTED_VALUE"""),"SEMIPRESENCIAL")</f>
        <v>SEMIPRESENCIAL</v>
      </c>
      <c r="D565" s="106">
        <f ca="1">IFERROR(__xludf.DUMMYFUNCTION("""COMPUTED_VALUE"""),44698)</f>
        <v>44698</v>
      </c>
      <c r="E565" s="20" t="str">
        <f ca="1">IFERROR(__xludf.DUMMYFUNCTION("""COMPUTED_VALUE"""),"SI")</f>
        <v>SI</v>
      </c>
      <c r="F565" s="20" t="str">
        <f ca="1">IFERROR(__xludf.DUMMYFUNCTION("""COMPUTED_VALUE"""),"LEGISLACIÓN GENERAL;ASUNTOS CONSTITUCIONALES, JUSTICIA Y ACUERDOS;DERECHOS HUMANOS Y DESARROLLO SOCIAL;PROMOCIÓN Y DEFENSA DE LOS DERECHOS DE LA NIÑEZ, ADOLESCENCIA Y FAMILIA")</f>
        <v>LEGISLACIÓN GENERAL;ASUNTOS CONSTITUCIONALES, JUSTICIA Y ACUERDOS;DERECHOS HUMANOS Y DESARROLLO SOCIAL;PROMOCIÓN Y DEFENSA DE LOS DERECHOS DE LA NIÑEZ, ADOLESCENCIA Y FAMILIA</v>
      </c>
      <c r="G565" s="20">
        <f ca="1">IFERROR(__xludf.DUMMYFUNCTION("""COMPUTED_VALUE"""),4)</f>
        <v>4</v>
      </c>
      <c r="H565" s="20">
        <f ca="1">IFERROR(__xludf.DUMMYFUNCTION("""COMPUTED_VALUE"""),8)</f>
        <v>8</v>
      </c>
      <c r="I565" s="20">
        <f ca="1">IFERROR(__xludf.DUMMYFUNCTION("""COMPUTED_VALUE"""),1)</f>
        <v>1</v>
      </c>
      <c r="J565" s="20" t="str">
        <f ca="1">IFERROR(__xludf.DUMMYFUNCTION("""COMPUTED_VALUE"""),"Resolución")</f>
        <v>Resolución</v>
      </c>
      <c r="K565" s="20">
        <f ca="1">IFERROR(__xludf.DUMMYFUNCTION("""COMPUTED_VALUE"""),33443)</f>
        <v>33443</v>
      </c>
      <c r="L565" s="20" t="str">
        <f ca="1">IFERROR(__xludf.DUMMYFUNCTION("""COMPUTED_VALUE"""),"Poder Legislativo Provincial")</f>
        <v>Poder Legislativo Provincial</v>
      </c>
      <c r="M565" s="20" t="str">
        <f ca="1">IFERROR(__xludf.DUMMYFUNCTION("""COMPUTED_VALUE"""),"Solicitando al Poder Ejecutivo informe (Art. 102 C.P.) detalladamente sobre aspectos relacionados a las reiteradas estafas realizadas desde las cárceles de la provincia")</f>
        <v>Solicitando al Poder Ejecutivo informe (Art. 102 C.P.) detalladamente sobre aspectos relacionados a las reiteradas estafas realizadas desde las cárceles de la provincia</v>
      </c>
      <c r="N565" s="20" t="str">
        <f ca="1">IFERROR(__xludf.DUMMYFUNCTION("""COMPUTED_VALUE"""),"NO")</f>
        <v>NO</v>
      </c>
      <c r="O565" s="20" t="str">
        <f ca="1">IFERROR(__xludf.DUMMYFUNCTION("""COMPUTED_VALUE"""),"SI")</f>
        <v>SI</v>
      </c>
      <c r="P565" s="20">
        <f ca="1">IFERROR(__xludf.DUMMYFUNCTION("""COMPUTED_VALUE"""),4)</f>
        <v>4</v>
      </c>
      <c r="Q565" s="113" t="str">
        <f ca="1">IFERROR(__xludf.DUMMYFUNCTION("""COMPUTED_VALUE"""),"https://gld.legislaturacba.gob.ar/_cdd/api/Documento/descargar?guid=70a14f74-f5fa-4f52-8b59-ce5ad015fcf1&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v>
      </c>
      <c r="R565" s="113" t="str">
        <f ca="1">IFERROR(__xludf.DUMMYFUNCTION("""COMPUTED_VALUE"""),"https://www.youtube.com/watch?v=AoxLcz4Cbzg")</f>
        <v>https://www.youtube.com/watch?v=AoxLcz4Cbzg</v>
      </c>
      <c r="S565" s="113" t="str">
        <f ca="1">IFERROR(__xludf.DUMMYFUNCTION("""COMPUTED_VALUE"""),"https://gld.legislaturacba.gob.ar/Publics/Actas.aspx?id=adN1VgXm7Jc=;https://gld.legislaturacba.gob.ar/Publics/Actas.aspx?id=5rjiXF-CazA=;https://gld.legislaturacba.gob.ar/Publics/Actas.aspx?id=7McDwR8Bye4=;https://gld.legislaturacba.gob.ar/Publics/Actas."&amp;"aspx?id=GWGmxjdxlDo=")</f>
        <v>https://gld.legislaturacba.gob.ar/Publics/Actas.aspx?id=adN1VgXm7Jc=;https://gld.legislaturacba.gob.ar/Publics/Actas.aspx?id=5rjiXF-CazA=;https://gld.legislaturacba.gob.ar/Publics/Actas.aspx?id=7McDwR8Bye4=;https://gld.legislaturacba.gob.ar/Publics/Actas.aspx?id=GWGmxjdxlDo=</v>
      </c>
      <c r="T565" s="99">
        <f t="shared" ca="1" si="0"/>
        <v>0</v>
      </c>
    </row>
    <row r="566" spans="1:20">
      <c r="A566" s="20">
        <f ca="1">IFERROR(__xludf.DUMMYFUNCTION("""COMPUTED_VALUE"""),70)</f>
        <v>70</v>
      </c>
      <c r="B566" s="20">
        <f ca="1">IFERROR(__xludf.DUMMYFUNCTION("""COMPUTED_VALUE"""),2022)</f>
        <v>2022</v>
      </c>
      <c r="C566" s="20" t="str">
        <f ca="1">IFERROR(__xludf.DUMMYFUNCTION("""COMPUTED_VALUE"""),"VIRTUAL")</f>
        <v>VIRTUAL</v>
      </c>
      <c r="D566" s="106">
        <f ca="1">IFERROR(__xludf.DUMMYFUNCTION("""COMPUTED_VALUE"""),44700)</f>
        <v>44700</v>
      </c>
      <c r="E566" s="20" t="str">
        <f ca="1">IFERROR(__xludf.DUMMYFUNCTION("""COMPUTED_VALUE"""),"SI")</f>
        <v>SI</v>
      </c>
      <c r="F566" s="20" t="str">
        <f ca="1">IFERROR(__xludf.DUMMYFUNCTION("""COMPUTED_VALUE"""),"LEGISLACIÓN GENERAL;LEGISLACIÓN DEL TRABAJO, PREVISIÓN Y SEGURIDAD SOCIAL")</f>
        <v>LEGISLACIÓN GENERAL;LEGISLACIÓN DEL TRABAJO, PREVISIÓN Y SEGURIDAD SOCIAL</v>
      </c>
      <c r="G566" s="20">
        <f ca="1">IFERROR(__xludf.DUMMYFUNCTION("""COMPUTED_VALUE"""),2)</f>
        <v>2</v>
      </c>
      <c r="H566" s="20">
        <f ca="1">IFERROR(__xludf.DUMMYFUNCTION("""COMPUTED_VALUE"""),1)</f>
        <v>1</v>
      </c>
      <c r="I566" s="20">
        <f ca="1">IFERROR(__xludf.DUMMYFUNCTION("""COMPUTED_VALUE"""),1)</f>
        <v>1</v>
      </c>
      <c r="J566" s="20" t="str">
        <f ca="1">IFERROR(__xludf.DUMMYFUNCTION("""COMPUTED_VALUE"""),"Ley")</f>
        <v>Ley</v>
      </c>
      <c r="K566" s="20">
        <f ca="1">IFERROR(__xludf.DUMMYFUNCTION("""COMPUTED_VALUE"""),29532)</f>
        <v>29532</v>
      </c>
      <c r="L566" s="20" t="str">
        <f ca="1">IFERROR(__xludf.DUMMYFUNCTION("""COMPUTED_VALUE"""),"Poder Legislativo Provincial")</f>
        <v>Poder Legislativo Provincial</v>
      </c>
      <c r="M566" s="20" t="str">
        <f ca="1">IFERROR(__xludf.DUMMYFUNCTION("""COMPUTED_VALUE"""),"Modificando diversos artículos de la Ley N° 7674, Colegio Profesional de Ingenieros Civiles de la provincia de Córdoba")</f>
        <v>Modificando diversos artículos de la Ley N° 7674, Colegio Profesional de Ingenieros Civiles de la provincia de Córdoba</v>
      </c>
      <c r="N566" s="20" t="str">
        <f ca="1">IFERROR(__xludf.DUMMYFUNCTION("""COMPUTED_VALUE"""),"NO")</f>
        <v>NO</v>
      </c>
      <c r="O566" s="20" t="str">
        <f ca="1">IFERROR(__xludf.DUMMYFUNCTION("""COMPUTED_VALUE"""),"SI")</f>
        <v>SI</v>
      </c>
      <c r="P566" s="20">
        <f ca="1">IFERROR(__xludf.DUMMYFUNCTION("""COMPUTED_VALUE"""),1)</f>
        <v>1</v>
      </c>
      <c r="Q566" s="113" t="str">
        <f ca="1">IFERROR(__xludf.DUMMYFUNCTION("""COMPUTED_VALUE"""),"https://gld.legislaturacba.gob.ar/_cdd/api/Documento/descargar?guid=b0627c6d-4840-447d-b7e5-745f8ec4ac6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v>
      </c>
      <c r="R566" s="113" t="str">
        <f ca="1">IFERROR(__xludf.DUMMYFUNCTION("""COMPUTED_VALUE"""),"https://www.youtube.com/watch?v=KyzKgY0B5UM")</f>
        <v>https://www.youtube.com/watch?v=KyzKgY0B5UM</v>
      </c>
      <c r="S566" s="113" t="str">
        <f ca="1">IFERROR(__xludf.DUMMYFUNCTION("""COMPUTED_VALUE"""),"https://gld.legislaturacba.gob.ar/Publics/Actas.aspx?id=vZL92_UR2Y4=;https://gld.legislaturacba.gob.ar/Publics/Actas.aspx?id=dvTsVkAoi-0=")</f>
        <v>https://gld.legislaturacba.gob.ar/Publics/Actas.aspx?id=vZL92_UR2Y4=;https://gld.legislaturacba.gob.ar/Publics/Actas.aspx?id=dvTsVkAoi-0=</v>
      </c>
      <c r="T566" s="99">
        <f t="shared" ca="1" si="0"/>
        <v>0</v>
      </c>
    </row>
    <row r="567" spans="1:20">
      <c r="A567" s="20">
        <f ca="1">IFERROR(__xludf.DUMMYFUNCTION("""COMPUTED_VALUE"""),71)</f>
        <v>71</v>
      </c>
      <c r="B567" s="20">
        <f ca="1">IFERROR(__xludf.DUMMYFUNCTION("""COMPUTED_VALUE"""),2022)</f>
        <v>2022</v>
      </c>
      <c r="C567" s="20" t="str">
        <f ca="1">IFERROR(__xludf.DUMMYFUNCTION("""COMPUTED_VALUE"""),"VIRTUAL")</f>
        <v>VIRTUAL</v>
      </c>
      <c r="D567" s="106">
        <f ca="1">IFERROR(__xludf.DUMMYFUNCTION("""COMPUTED_VALUE"""),44700)</f>
        <v>44700</v>
      </c>
      <c r="E567" s="20" t="str">
        <f ca="1">IFERROR(__xludf.DUMMYFUNCTION("""COMPUTED_VALUE"""),"NO")</f>
        <v>NO</v>
      </c>
      <c r="F567" s="20" t="str">
        <f ca="1">IFERROR(__xludf.DUMMYFUNCTION("""COMPUTED_VALUE"""),"ASUNTOS INSTITUCIONALES, MUNICIPALES Y COMUNALES")</f>
        <v>ASUNTOS INSTITUCIONALES, MUNICIPALES Y COMUNALES</v>
      </c>
      <c r="G567" s="20">
        <f ca="1">IFERROR(__xludf.DUMMYFUNCTION("""COMPUTED_VALUE"""),1)</f>
        <v>1</v>
      </c>
      <c r="H567" s="20">
        <f ca="1">IFERROR(__xludf.DUMMYFUNCTION("""COMPUTED_VALUE"""),1)</f>
        <v>1</v>
      </c>
      <c r="I567" s="20">
        <f ca="1">IFERROR(__xludf.DUMMYFUNCTION("""COMPUTED_VALUE"""),1)</f>
        <v>1</v>
      </c>
      <c r="J567" s="20" t="str">
        <f ca="1">IFERROR(__xludf.DUMMYFUNCTION("""COMPUTED_VALUE"""),"Ley")</f>
        <v>Ley</v>
      </c>
      <c r="K567" s="20">
        <f ca="1">IFERROR(__xludf.DUMMYFUNCTION("""COMPUTED_VALUE"""),34930)</f>
        <v>34930</v>
      </c>
      <c r="L567" s="20" t="str">
        <f ca="1">IFERROR(__xludf.DUMMYFUNCTION("""COMPUTED_VALUE"""),"Poder Ejecutivo Provincial")</f>
        <v>Poder Ejecutivo Provincial</v>
      </c>
      <c r="M567" s="20" t="str">
        <f ca="1">IFERROR(__xludf.DUMMYFUNCTION("""COMPUTED_VALUE"""),"Modificando el radio comunal de la localidad de El Rastreador, Dpto. Juarez Celman")</f>
        <v>Modificando el radio comunal de la localidad de El Rastreador, Dpto. Juarez Celman</v>
      </c>
      <c r="N567" s="20" t="str">
        <f ca="1">IFERROR(__xludf.DUMMYFUNCTION("""COMPUTED_VALUE"""),"SI")</f>
        <v>SI</v>
      </c>
      <c r="O567" s="20" t="str">
        <f ca="1">IFERROR(__xludf.DUMMYFUNCTION("""COMPUTED_VALUE"""),"NO")</f>
        <v>NO</v>
      </c>
      <c r="P567" s="20">
        <f ca="1">IFERROR(__xludf.DUMMYFUNCTION("""COMPUTED_VALUE"""),0)</f>
        <v>0</v>
      </c>
      <c r="Q567" s="113" t="str">
        <f ca="1">IFERROR(__xludf.DUMMYFUNCTION("""COMPUTED_VALUE"""),"https://gld.legislaturacba.gob.ar/_cdd/api/Documento/descargar?guid=ec7d1595-d4f8-47af-9c84-3ee5b2fe3044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v>
      </c>
      <c r="R567" s="113" t="str">
        <f ca="1">IFERROR(__xludf.DUMMYFUNCTION("""COMPUTED_VALUE"""),"https://www.youtube.com/watch?v=uLsUzWGnqCc")</f>
        <v>https://www.youtube.com/watch?v=uLsUzWGnqCc</v>
      </c>
      <c r="S567" s="113" t="str">
        <f ca="1">IFERROR(__xludf.DUMMYFUNCTION("""COMPUTED_VALUE"""),"https://gld.legislaturacba.gob.ar/Publics/Actas.aspx?id=MHxgwUEgkts=")</f>
        <v>https://gld.legislaturacba.gob.ar/Publics/Actas.aspx?id=MHxgwUEgkts=</v>
      </c>
      <c r="T567" s="99">
        <f t="shared" ca="1" si="0"/>
        <v>0</v>
      </c>
    </row>
    <row r="568" spans="1:20">
      <c r="A568" s="20">
        <f ca="1">IFERROR(__xludf.DUMMYFUNCTION("""COMPUTED_VALUE"""),72)</f>
        <v>72</v>
      </c>
      <c r="B568" s="20">
        <f ca="1">IFERROR(__xludf.DUMMYFUNCTION("""COMPUTED_VALUE"""),2022)</f>
        <v>2022</v>
      </c>
      <c r="C568" s="20" t="str">
        <f ca="1">IFERROR(__xludf.DUMMYFUNCTION("""COMPUTED_VALUE"""),"VIRTUAL")</f>
        <v>VIRTUAL</v>
      </c>
      <c r="D568" s="106">
        <f ca="1">IFERROR(__xludf.DUMMYFUNCTION("""COMPUTED_VALUE"""),44700)</f>
        <v>44700</v>
      </c>
      <c r="E568" s="20" t="str">
        <f ca="1">IFERROR(__xludf.DUMMYFUNCTION("""COMPUTED_VALUE"""),"SI")</f>
        <v>SI</v>
      </c>
      <c r="F568" s="20" t="str">
        <f ca="1">IFERROR(__xludf.DUMMYFUNCTION("""COMPUTED_VALUE"""),"ECONOMÍA, PRESUPUESTO, GESTIÓN PÚBLICA E INNOVACIÓN;DERECHOS HUMANOS Y DESARROLLO SOCIAL")</f>
        <v>ECONOMÍA, PRESUPUESTO, GESTIÓN PÚBLICA E INNOVACIÓN;DERECHOS HUMANOS Y DESARROLLO SOCIAL</v>
      </c>
      <c r="G568" s="20">
        <f ca="1">IFERROR(__xludf.DUMMYFUNCTION("""COMPUTED_VALUE"""),2)</f>
        <v>2</v>
      </c>
      <c r="H568" s="20">
        <f ca="1">IFERROR(__xludf.DUMMYFUNCTION("""COMPUTED_VALUE"""),2)</f>
        <v>2</v>
      </c>
      <c r="I568" s="20">
        <f ca="1">IFERROR(__xludf.DUMMYFUNCTION("""COMPUTED_VALUE"""),1)</f>
        <v>1</v>
      </c>
      <c r="J568" s="20" t="str">
        <f ca="1">IFERROR(__xludf.DUMMYFUNCTION("""COMPUTED_VALUE"""),"Ley")</f>
        <v>Ley</v>
      </c>
      <c r="K568" s="20">
        <f ca="1">IFERROR(__xludf.DUMMYFUNCTION("""COMPUTED_VALUE"""),34717)</f>
        <v>34717</v>
      </c>
      <c r="L568" s="20" t="str">
        <f ca="1">IFERROR(__xludf.DUMMYFUNCTION("""COMPUTED_VALUE"""),"Poder Ejecutivo Provincial")</f>
        <v>Poder Ejecutivo Provincial</v>
      </c>
      <c r="M568" s="20" t="str">
        <f ca="1">IFERROR(__xludf.DUMMYFUNCTION("""COMPUTED_VALUE"""),"Declarando de utilidad pública y sujetos a expropiación los terrenos en los que se encuentra el asentamiento denominado “Costa Canal”, en el Barrio Flores, Dpto. Capital, para su regularización dominial y saneamiento de títulos.")</f>
        <v>Declarando de utilidad pública y sujetos a expropiación los terrenos en los que se encuentra el asentamiento denominado “Costa Canal”, en el Barrio Flores, Dpto. Capital, para su regularización dominial y saneamiento de títulos.</v>
      </c>
      <c r="N568" s="20" t="str">
        <f ca="1">IFERROR(__xludf.DUMMYFUNCTION("""COMPUTED_VALUE"""),"SI")</f>
        <v>SI</v>
      </c>
      <c r="O568" s="20" t="str">
        <f ca="1">IFERROR(__xludf.DUMMYFUNCTION("""COMPUTED_VALUE"""),"SI")</f>
        <v>SI</v>
      </c>
      <c r="P568" s="20">
        <f ca="1">IFERROR(__xludf.DUMMYFUNCTION("""COMPUTED_VALUE"""),2)</f>
        <v>2</v>
      </c>
      <c r="Q568" s="113" t="str">
        <f ca="1">IFERROR(__xludf.DUMMYFUNCTION("""COMPUTED_VALUE"""),"https://gld.legislaturacba.gob.ar/_cdd/api/Documento/descargar?guid=b824fbd8-48f8-4a20-a0b4-7e2897d7822a&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v>
      </c>
      <c r="R568" s="113" t="str">
        <f ca="1">IFERROR(__xludf.DUMMYFUNCTION("""COMPUTED_VALUE"""),"https://www.youtube.com/watch?v=8JmhJrK-rk0")</f>
        <v>https://www.youtube.com/watch?v=8JmhJrK-rk0</v>
      </c>
      <c r="S568" s="113" t="str">
        <f ca="1">IFERROR(__xludf.DUMMYFUNCTION("""COMPUTED_VALUE"""),"https://gld.legislaturacba.gob.ar/Publics/Actas.aspx?id=lWPP-rGLoEo=;https://gld.legislaturacba.gob.ar/Publics/Actas.aspx?id=nAncaHwUvLU=")</f>
        <v>https://gld.legislaturacba.gob.ar/Publics/Actas.aspx?id=lWPP-rGLoEo=;https://gld.legislaturacba.gob.ar/Publics/Actas.aspx?id=nAncaHwUvLU=</v>
      </c>
      <c r="T568" s="99">
        <f t="shared" ca="1" si="0"/>
        <v>0</v>
      </c>
    </row>
    <row r="569" spans="1:20">
      <c r="A569" s="20">
        <f ca="1">IFERROR(__xludf.DUMMYFUNCTION("""COMPUTED_VALUE"""),73)</f>
        <v>73</v>
      </c>
      <c r="B569" s="20">
        <f ca="1">IFERROR(__xludf.DUMMYFUNCTION("""COMPUTED_VALUE"""),2022)</f>
        <v>2022</v>
      </c>
      <c r="C569" s="20" t="str">
        <f ca="1">IFERROR(__xludf.DUMMYFUNCTION("""COMPUTED_VALUE"""),"VIRTUAL")</f>
        <v>VIRTUAL</v>
      </c>
      <c r="D569" s="106">
        <f ca="1">IFERROR(__xludf.DUMMYFUNCTION("""COMPUTED_VALUE"""),44705)</f>
        <v>44705</v>
      </c>
      <c r="E569" s="20" t="str">
        <f ca="1">IFERROR(__xludf.DUMMYFUNCTION("""COMPUTED_VALUE"""),"SI")</f>
        <v>SI</v>
      </c>
      <c r="F569" s="20" t="str">
        <f ca="1">IFERROR(__xludf.DUMMYFUNCTION("""COMPUTED_VALUE"""),"LEGISLACIÓN GENERAL;SALUD HUMANA;EQUIDAD Y LUCHA CONTRA LA VIOLENCIA DE GÉNERO")</f>
        <v>LEGISLACIÓN GENERAL;SALUD HUMANA;EQUIDAD Y LUCHA CONTRA LA VIOLENCIA DE GÉNERO</v>
      </c>
      <c r="G569" s="20">
        <f ca="1">IFERROR(__xludf.DUMMYFUNCTION("""COMPUTED_VALUE"""),3)</f>
        <v>3</v>
      </c>
      <c r="H569" s="20">
        <f ca="1">IFERROR(__xludf.DUMMYFUNCTION("""COMPUTED_VALUE"""),1)</f>
        <v>1</v>
      </c>
      <c r="I569" s="20">
        <f ca="1">IFERROR(__xludf.DUMMYFUNCTION("""COMPUTED_VALUE"""),1)</f>
        <v>1</v>
      </c>
      <c r="J569" s="20" t="str">
        <f ca="1">IFERROR(__xludf.DUMMYFUNCTION("""COMPUTED_VALUE"""),"Ley")</f>
        <v>Ley</v>
      </c>
      <c r="K569" s="20">
        <f ca="1">IFERROR(__xludf.DUMMYFUNCTION("""COMPUTED_VALUE"""),35051)</f>
        <v>35051</v>
      </c>
      <c r="L569" s="20" t="str">
        <f ca="1">IFERROR(__xludf.DUMMYFUNCTION("""COMPUTED_VALUE"""),"Poder Legislativo Provincial")</f>
        <v>Poder Legislativo Provincial</v>
      </c>
      <c r="M569" s="20" t="str">
        <f ca="1">IFERROR(__xludf.DUMMYFUNCTION("""COMPUTED_VALUE"""),"Instituyendo el 19 de mayo como Día Provincial de la Donación de Leche Humana")</f>
        <v>Instituyendo el 19 de mayo como Día Provincial de la Donación de Leche Humana</v>
      </c>
      <c r="N569" s="20" t="str">
        <f ca="1">IFERROR(__xludf.DUMMYFUNCTION("""COMPUTED_VALUE"""),"NO")</f>
        <v>NO</v>
      </c>
      <c r="O569" s="20" t="str">
        <f ca="1">IFERROR(__xludf.DUMMYFUNCTION("""COMPUTED_VALUE"""),"SI")</f>
        <v>SI</v>
      </c>
      <c r="P569" s="20">
        <f ca="1">IFERROR(__xludf.DUMMYFUNCTION("""COMPUTED_VALUE"""),1)</f>
        <v>1</v>
      </c>
      <c r="Q569" s="113" t="str">
        <f ca="1">IFERROR(__xludf.DUMMYFUNCTION("""COMPUTED_VALUE"""),"https://gld.legislaturacba.gob.ar/_cdd/api/Documento/descargar?guid=fe09b352-acb9-45c0-934c-1fbfa132f192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v>
      </c>
      <c r="R569" s="113" t="str">
        <f ca="1">IFERROR(__xludf.DUMMYFUNCTION("""COMPUTED_VALUE"""),"https://www.youtube.com/watch?v=ft2Pq_W4BzI")</f>
        <v>https://www.youtube.com/watch?v=ft2Pq_W4BzI</v>
      </c>
      <c r="S569" s="113" t="str">
        <f ca="1">IFERROR(__xludf.DUMMYFUNCTION("""COMPUTED_VALUE"""),"https://gld.legislaturacba.gob.ar/Publics/Actas.aspx?id=VUWHbvGbTxg=;https://gld.legislaturacba.gob.ar/Publics/Actas.aspx?id=YF8N18be7fg=;https://gld.legislaturacba.gob.ar/Publics/Actas.aspx?id=MjwbbU318MA=")</f>
        <v>https://gld.legislaturacba.gob.ar/Publics/Actas.aspx?id=VUWHbvGbTxg=;https://gld.legislaturacba.gob.ar/Publics/Actas.aspx?id=YF8N18be7fg=;https://gld.legislaturacba.gob.ar/Publics/Actas.aspx?id=MjwbbU318MA=</v>
      </c>
      <c r="T569" s="99">
        <f t="shared" ca="1" si="0"/>
        <v>0</v>
      </c>
    </row>
    <row r="570" spans="1:20">
      <c r="A570" s="20">
        <f ca="1">IFERROR(__xludf.DUMMYFUNCTION("""COMPUTED_VALUE"""),74)</f>
        <v>74</v>
      </c>
      <c r="B570" s="20">
        <f ca="1">IFERROR(__xludf.DUMMYFUNCTION("""COMPUTED_VALUE"""),2022)</f>
        <v>2022</v>
      </c>
      <c r="C570" s="20" t="str">
        <f ca="1">IFERROR(__xludf.DUMMYFUNCTION("""COMPUTED_VALUE"""),"PRESENCIAL")</f>
        <v>PRESENCIAL</v>
      </c>
      <c r="D570" s="106">
        <f ca="1">IFERROR(__xludf.DUMMYFUNCTION("""COMPUTED_VALUE"""),44705)</f>
        <v>44705</v>
      </c>
      <c r="E570" s="20" t="str">
        <f ca="1">IFERROR(__xludf.DUMMYFUNCTION("""COMPUTED_VALUE"""),"NO")</f>
        <v>NO</v>
      </c>
      <c r="F570" s="20" t="str">
        <f ca="1">IFERROR(__xludf.DUMMYFUNCTION("""COMPUTED_VALUE"""),"AGRICULTURA, GANADERÍA Y RECURSOS RENOVABLES")</f>
        <v>AGRICULTURA, GANADERÍA Y RECURSOS RENOVABLES</v>
      </c>
      <c r="G570" s="20">
        <f ca="1">IFERROR(__xludf.DUMMYFUNCTION("""COMPUTED_VALUE"""),1)</f>
        <v>1</v>
      </c>
      <c r="H570" s="20">
        <f ca="1">IFERROR(__xludf.DUMMYFUNCTION("""COMPUTED_VALUE"""),1)</f>
        <v>1</v>
      </c>
      <c r="I570" s="20">
        <f ca="1">IFERROR(__xludf.DUMMYFUNCTION("""COMPUTED_VALUE"""),1)</f>
        <v>1</v>
      </c>
      <c r="J570" s="20" t="str">
        <f ca="1">IFERROR(__xludf.DUMMYFUNCTION("""COMPUTED_VALUE"""),"NA")</f>
        <v>NA</v>
      </c>
      <c r="K570" s="20" t="str">
        <f ca="1">IFERROR(__xludf.DUMMYFUNCTION("""COMPUTED_VALUE"""),"NA")</f>
        <v>NA</v>
      </c>
      <c r="L570" s="20" t="str">
        <f ca="1">IFERROR(__xludf.DUMMYFUNCTION("""COMPUTED_VALUE"""),"NA")</f>
        <v>NA</v>
      </c>
      <c r="M570" s="20" t="str">
        <f ca="1">IFERROR(__xludf.DUMMYFUNCTION("""COMPUTED_VALUE"""),"Visita a la Empresa CORTEVA Agriscience")</f>
        <v>Visita a la Empresa CORTEVA Agriscience</v>
      </c>
      <c r="N570" s="20" t="str">
        <f ca="1">IFERROR(__xludf.DUMMYFUNCTION("""COMPUTED_VALUE"""),"NA")</f>
        <v>NA</v>
      </c>
      <c r="O570" s="20" t="str">
        <f ca="1">IFERROR(__xludf.DUMMYFUNCTION("""COMPUTED_VALUE"""),"NO")</f>
        <v>NO</v>
      </c>
      <c r="P570" s="20">
        <f ca="1">IFERROR(__xludf.DUMMYFUNCTION("""COMPUTED_VALUE"""),0)</f>
        <v>0</v>
      </c>
      <c r="Q570" s="20" t="str">
        <f ca="1">IFERROR(__xludf.DUMMYFUNCTION("""COMPUTED_VALUE"""),"NA")</f>
        <v>NA</v>
      </c>
      <c r="R570" s="20" t="str">
        <f ca="1">IFERROR(__xludf.DUMMYFUNCTION("""COMPUTED_VALUE"""),"NA")</f>
        <v>NA</v>
      </c>
      <c r="S570" s="113" t="str">
        <f ca="1">IFERROR(__xludf.DUMMYFUNCTION("""COMPUTED_VALUE"""),"https://gld.legislaturacba.gob.ar/Publics/Actas.aspx?id=btQVleqDoE0=")</f>
        <v>https://gld.legislaturacba.gob.ar/Publics/Actas.aspx?id=btQVleqDoE0=</v>
      </c>
      <c r="T570" s="99">
        <f t="shared" ca="1" si="0"/>
        <v>0</v>
      </c>
    </row>
    <row r="571" spans="1:20">
      <c r="A571" s="20">
        <f ca="1">IFERROR(__xludf.DUMMYFUNCTION("""COMPUTED_VALUE"""),75)</f>
        <v>75</v>
      </c>
      <c r="B571" s="20">
        <f ca="1">IFERROR(__xludf.DUMMYFUNCTION("""COMPUTED_VALUE"""),2022)</f>
        <v>2022</v>
      </c>
      <c r="C571" s="20" t="str">
        <f ca="1">IFERROR(__xludf.DUMMYFUNCTION("""COMPUTED_VALUE"""),"VIRTUAL")</f>
        <v>VIRTUAL</v>
      </c>
      <c r="D571" s="106">
        <f ca="1">IFERROR(__xludf.DUMMYFUNCTION("""COMPUTED_VALUE"""),44705)</f>
        <v>44705</v>
      </c>
      <c r="E571" s="20" t="str">
        <f ca="1">IFERROR(__xludf.DUMMYFUNCTION("""COMPUTED_VALUE"""),"NO")</f>
        <v>NO</v>
      </c>
      <c r="F571" s="20" t="str">
        <f ca="1">IFERROR(__xludf.DUMMYFUNCTION("""COMPUTED_VALUE"""),"ASUNTOS INSTITUCIONALES, MUNICIPALES Y COMUNALES")</f>
        <v>ASUNTOS INSTITUCIONALES, MUNICIPALES Y COMUNALES</v>
      </c>
      <c r="G571" s="20">
        <f ca="1">IFERROR(__xludf.DUMMYFUNCTION("""COMPUTED_VALUE"""),1)</f>
        <v>1</v>
      </c>
      <c r="H571" s="20">
        <f ca="1">IFERROR(__xludf.DUMMYFUNCTION("""COMPUTED_VALUE"""),1)</f>
        <v>1</v>
      </c>
      <c r="I571" s="20">
        <f ca="1">IFERROR(__xludf.DUMMYFUNCTION("""COMPUTED_VALUE"""),1)</f>
        <v>1</v>
      </c>
      <c r="J571" s="20" t="str">
        <f ca="1">IFERROR(__xludf.DUMMYFUNCTION("""COMPUTED_VALUE"""),"Ley")</f>
        <v>Ley</v>
      </c>
      <c r="K571" s="20">
        <f ca="1">IFERROR(__xludf.DUMMYFUNCTION("""COMPUTED_VALUE"""),35067)</f>
        <v>35067</v>
      </c>
      <c r="L571" s="20" t="str">
        <f ca="1">IFERROR(__xludf.DUMMYFUNCTION("""COMPUTED_VALUE"""),"Poder Ejecutivo Provincial")</f>
        <v>Poder Ejecutivo Provincial</v>
      </c>
      <c r="M571" s="20" t="str">
        <f ca="1">IFERROR(__xludf.DUMMYFUNCTION("""COMPUTED_VALUE"""),"Modificando el radio municipal de la localidad de San Marcos Sierras, Dpto. Cruz del Eje")</f>
        <v>Modificando el radio municipal de la localidad de San Marcos Sierras, Dpto. Cruz del Eje</v>
      </c>
      <c r="N571" s="20" t="str">
        <f ca="1">IFERROR(__xludf.DUMMYFUNCTION("""COMPUTED_VALUE"""),"SI")</f>
        <v>SI</v>
      </c>
      <c r="O571" s="20" t="str">
        <f ca="1">IFERROR(__xludf.DUMMYFUNCTION("""COMPUTED_VALUE"""),"NO")</f>
        <v>NO</v>
      </c>
      <c r="P571" s="20">
        <f ca="1">IFERROR(__xludf.DUMMYFUNCTION("""COMPUTED_VALUE"""),0)</f>
        <v>0</v>
      </c>
      <c r="Q571" s="113" t="str">
        <f ca="1">IFERROR(__xludf.DUMMYFUNCTION("""COMPUTED_VALUE"""),"https://gld.legislaturacba.gob.ar/_cdd/api/Documento/descargar?guid=ec8b5bc4-0b31-4075-a9ab-4629d3e4f92f&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v>
      </c>
      <c r="R571" s="113" t="str">
        <f ca="1">IFERROR(__xludf.DUMMYFUNCTION("""COMPUTED_VALUE"""),"https://www.youtube.com/watch?v=izqEh3Lx4jA")</f>
        <v>https://www.youtube.com/watch?v=izqEh3Lx4jA</v>
      </c>
      <c r="S571" s="113" t="str">
        <f ca="1">IFERROR(__xludf.DUMMYFUNCTION("""COMPUTED_VALUE"""),"https://gld.legislaturacba.gob.ar/Publics/Actas.aspx?id=q2j-h3VywAE=")</f>
        <v>https://gld.legislaturacba.gob.ar/Publics/Actas.aspx?id=q2j-h3VywAE=</v>
      </c>
      <c r="T571" s="99">
        <f t="shared" ca="1" si="0"/>
        <v>0</v>
      </c>
    </row>
    <row r="572" spans="1:20">
      <c r="A572" s="20">
        <f ca="1">IFERROR(__xludf.DUMMYFUNCTION("""COMPUTED_VALUE"""),76)</f>
        <v>76</v>
      </c>
      <c r="B572" s="20">
        <f ca="1">IFERROR(__xludf.DUMMYFUNCTION("""COMPUTED_VALUE"""),2022)</f>
        <v>2022</v>
      </c>
      <c r="C572" s="20" t="str">
        <f ca="1">IFERROR(__xludf.DUMMYFUNCTION("""COMPUTED_VALUE"""),"VIRTUAL")</f>
        <v>VIRTUAL</v>
      </c>
      <c r="D572" s="106">
        <f ca="1">IFERROR(__xludf.DUMMYFUNCTION("""COMPUTED_VALUE"""),44707)</f>
        <v>44707</v>
      </c>
      <c r="E572" s="20" t="str">
        <f ca="1">IFERROR(__xludf.DUMMYFUNCTION("""COMPUTED_VALUE"""),"SI")</f>
        <v>SI</v>
      </c>
      <c r="F572" s="20" t="str">
        <f ca="1">IFERROR(__xludf.DUMMYFUNCTION("""COMPUTED_VALUE"""),"SALUD HUMANA;DERECHOS HUMANOS Y DESARROLLO SOCIAL")</f>
        <v>SALUD HUMANA;DERECHOS HUMANOS Y DESARROLLO SOCIAL</v>
      </c>
      <c r="G572" s="20">
        <f ca="1">IFERROR(__xludf.DUMMYFUNCTION("""COMPUTED_VALUE"""),2)</f>
        <v>2</v>
      </c>
      <c r="H572" s="20">
        <f ca="1">IFERROR(__xludf.DUMMYFUNCTION("""COMPUTED_VALUE"""),2)</f>
        <v>2</v>
      </c>
      <c r="I572" s="20">
        <f ca="1">IFERROR(__xludf.DUMMYFUNCTION("""COMPUTED_VALUE"""),1)</f>
        <v>1</v>
      </c>
      <c r="J572" s="20" t="str">
        <f ca="1">IFERROR(__xludf.DUMMYFUNCTION("""COMPUTED_VALUE"""),"Resolución")</f>
        <v>Resolución</v>
      </c>
      <c r="K572" s="20">
        <f ca="1">IFERROR(__xludf.DUMMYFUNCTION("""COMPUTED_VALUE"""),34083)</f>
        <v>34083</v>
      </c>
      <c r="L572" s="20" t="str">
        <f ca="1">IFERROR(__xludf.DUMMYFUNCTION("""COMPUTED_VALUE"""),"Poder Legislativo Provincial")</f>
        <v>Poder Legislativo Provincial</v>
      </c>
      <c r="M572" s="20" t="str">
        <f ca="1">IFERROR(__xludf.DUMMYFUNCTION("""COMPUTED_VALUE"""),"Solicitando al Poder Ejecutivo informe (Art. 102 C.P.) sobre diversos aspectos relacionados al Programa de Servicios para Personas con Discapacidad (PROSAD).")</f>
        <v>Solicitando al Poder Ejecutivo informe (Art. 102 C.P.) sobre diversos aspectos relacionados al Programa de Servicios para Personas con Discapacidad (PROSAD).</v>
      </c>
      <c r="N572" s="20" t="str">
        <f ca="1">IFERROR(__xludf.DUMMYFUNCTION("""COMPUTED_VALUE"""),"NO")</f>
        <v>NO</v>
      </c>
      <c r="O572" s="20" t="str">
        <f ca="1">IFERROR(__xludf.DUMMYFUNCTION("""COMPUTED_VALUE"""),"SI")</f>
        <v>SI</v>
      </c>
      <c r="P572" s="20">
        <f ca="1">IFERROR(__xludf.DUMMYFUNCTION("""COMPUTED_VALUE"""),4)</f>
        <v>4</v>
      </c>
      <c r="Q572" s="113" t="str">
        <f ca="1">IFERROR(__xludf.DUMMYFUNCTION("""COMPUTED_VALUE"""),"https://gld.legislaturacba.gob.ar/_cdd/api/Documento/descargar?guid=8264d427-8e13-4089-9464-7bb1978401e3&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v>
      </c>
      <c r="R572" s="113" t="str">
        <f ca="1">IFERROR(__xludf.DUMMYFUNCTION("""COMPUTED_VALUE"""),"https://www.youtube.com/watch?v=RtYoVyeitvU")</f>
        <v>https://www.youtube.com/watch?v=RtYoVyeitvU</v>
      </c>
      <c r="S572" s="113" t="str">
        <f ca="1">IFERROR(__xludf.DUMMYFUNCTION("""COMPUTED_VALUE"""),"https://gld.legislaturacba.gob.ar/Publics/Actas.aspx?id=NXaamBLscxw=;https://gld.legislaturacba.gob.ar/Publics/Actas.aspx?id=hX7-TB4pOJU=")</f>
        <v>https://gld.legislaturacba.gob.ar/Publics/Actas.aspx?id=NXaamBLscxw=;https://gld.legislaturacba.gob.ar/Publics/Actas.aspx?id=hX7-TB4pOJU=</v>
      </c>
      <c r="T572" s="99">
        <f t="shared" ca="1" si="0"/>
        <v>0</v>
      </c>
    </row>
    <row r="573" spans="1:20">
      <c r="A573" s="20">
        <f ca="1">IFERROR(__xludf.DUMMYFUNCTION("""COMPUTED_VALUE"""),77)</f>
        <v>77</v>
      </c>
      <c r="B573" s="20">
        <f ca="1">IFERROR(__xludf.DUMMYFUNCTION("""COMPUTED_VALUE"""),2022)</f>
        <v>2022</v>
      </c>
      <c r="C573" s="20" t="str">
        <f ca="1">IFERROR(__xludf.DUMMYFUNCTION("""COMPUTED_VALUE"""),"VIRTUAL")</f>
        <v>VIRTUAL</v>
      </c>
      <c r="D573" s="106">
        <f ca="1">IFERROR(__xludf.DUMMYFUNCTION("""COMPUTED_VALUE"""),44712)</f>
        <v>44712</v>
      </c>
      <c r="E573" s="20" t="str">
        <f ca="1">IFERROR(__xludf.DUMMYFUNCTION("""COMPUTED_VALUE"""),"SI")</f>
        <v>SI</v>
      </c>
      <c r="F573" s="20" t="str">
        <f ca="1">IFERROR(__xludf.DUMMYFUNCTION("""COMPUTED_VALUE"""),"LEGISLACIÓN DEL TRABAJO, PREVISIÓN Y SEGURIDAD SOCIAL;SALUD HUMANA")</f>
        <v>LEGISLACIÓN DEL TRABAJO, PREVISIÓN Y SEGURIDAD SOCIAL;SALUD HUMANA</v>
      </c>
      <c r="G573" s="20">
        <f ca="1">IFERROR(__xludf.DUMMYFUNCTION("""COMPUTED_VALUE"""),2)</f>
        <v>2</v>
      </c>
      <c r="H573" s="20">
        <f ca="1">IFERROR(__xludf.DUMMYFUNCTION("""COMPUTED_VALUE"""),1)</f>
        <v>1</v>
      </c>
      <c r="I573" s="20">
        <f ca="1">IFERROR(__xludf.DUMMYFUNCTION("""COMPUTED_VALUE"""),1)</f>
        <v>1</v>
      </c>
      <c r="J573" s="20" t="str">
        <f ca="1">IFERROR(__xludf.DUMMYFUNCTION("""COMPUTED_VALUE"""),"Ley")</f>
        <v>Ley</v>
      </c>
      <c r="K573" s="20">
        <f ca="1">IFERROR(__xludf.DUMMYFUNCTION("""COMPUTED_VALUE"""),31520)</f>
        <v>31520</v>
      </c>
      <c r="L573" s="20" t="str">
        <f ca="1">IFERROR(__xludf.DUMMYFUNCTION("""COMPUTED_VALUE"""),"Poder Legislativo Provincial")</f>
        <v>Poder Legislativo Provincial</v>
      </c>
      <c r="M573"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73" s="20" t="str">
        <f ca="1">IFERROR(__xludf.DUMMYFUNCTION("""COMPUTED_VALUE"""),"SI")</f>
        <v>SI</v>
      </c>
      <c r="O573" s="20" t="str">
        <f ca="1">IFERROR(__xludf.DUMMYFUNCTION("""COMPUTED_VALUE"""),"NO")</f>
        <v>NO</v>
      </c>
      <c r="P573" s="20">
        <f ca="1">IFERROR(__xludf.DUMMYFUNCTION("""COMPUTED_VALUE"""),0)</f>
        <v>0</v>
      </c>
      <c r="Q573" s="113" t="str">
        <f ca="1">IFERROR(__xludf.DUMMYFUNCTION("""COMPUTED_VALUE"""),"https://gld.legislaturacba.gob.ar/_cdd/api/Documento/descargar?guid=6b665334-1f22-4f65-854c-6973b9a85b97&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v>
      </c>
      <c r="R573" s="113" t="str">
        <f ca="1">IFERROR(__xludf.DUMMYFUNCTION("""COMPUTED_VALUE"""),"https://www.youtube.com/watch?v=RrmdHw8n3fY")</f>
        <v>https://www.youtube.com/watch?v=RrmdHw8n3fY</v>
      </c>
      <c r="S573" s="113" t="str">
        <f ca="1">IFERROR(__xludf.DUMMYFUNCTION("""COMPUTED_VALUE"""),"https://gld.legislaturacba.gob.ar/Publics/Actas.aspx?id=pa03kRWkDww=;https://gld.legislaturacba.gob.ar/Publics/Actas.aspx?id=di-cL01QC2g=")</f>
        <v>https://gld.legislaturacba.gob.ar/Publics/Actas.aspx?id=pa03kRWkDww=;https://gld.legislaturacba.gob.ar/Publics/Actas.aspx?id=di-cL01QC2g=</v>
      </c>
      <c r="T573" s="99">
        <f t="shared" ca="1" si="0"/>
        <v>0</v>
      </c>
    </row>
    <row r="574" spans="1:20">
      <c r="A574" s="20">
        <f ca="1">IFERROR(__xludf.DUMMYFUNCTION("""COMPUTED_VALUE"""),78)</f>
        <v>78</v>
      </c>
      <c r="B574" s="20">
        <f ca="1">IFERROR(__xludf.DUMMYFUNCTION("""COMPUTED_VALUE"""),2022)</f>
        <v>2022</v>
      </c>
      <c r="C574" s="20" t="str">
        <f ca="1">IFERROR(__xludf.DUMMYFUNCTION("""COMPUTED_VALUE"""),"VIRTUAL")</f>
        <v>VIRTUAL</v>
      </c>
      <c r="D574" s="106">
        <f ca="1">IFERROR(__xludf.DUMMYFUNCTION("""COMPUTED_VALUE"""),44712)</f>
        <v>44712</v>
      </c>
      <c r="E574" s="20" t="str">
        <f ca="1">IFERROR(__xludf.DUMMYFUNCTION("""COMPUTED_VALUE"""),"SI")</f>
        <v>SI</v>
      </c>
      <c r="F574" s="20" t="str">
        <f ca="1">IFERROR(__xludf.DUMMYFUNCTION("""COMPUTED_VALUE"""),"SALUD HUMANA;EQUIDAD Y LUCHA CONTRA LA VIOLENCIA DE GÉNERO")</f>
        <v>SALUD HUMANA;EQUIDAD Y LUCHA CONTRA LA VIOLENCIA DE GÉNERO</v>
      </c>
      <c r="G574" s="20">
        <f ca="1">IFERROR(__xludf.DUMMYFUNCTION("""COMPUTED_VALUE"""),2)</f>
        <v>2</v>
      </c>
      <c r="H574" s="20">
        <f ca="1">IFERROR(__xludf.DUMMYFUNCTION("""COMPUTED_VALUE"""),1)</f>
        <v>1</v>
      </c>
      <c r="I574" s="20">
        <f ca="1">IFERROR(__xludf.DUMMYFUNCTION("""COMPUTED_VALUE"""),1)</f>
        <v>1</v>
      </c>
      <c r="J574" s="20" t="str">
        <f ca="1">IFERROR(__xludf.DUMMYFUNCTION("""COMPUTED_VALUE"""),"Ley")</f>
        <v>Ley</v>
      </c>
      <c r="K574" s="20">
        <f ca="1">IFERROR(__xludf.DUMMYFUNCTION("""COMPUTED_VALUE"""),35051)</f>
        <v>35051</v>
      </c>
      <c r="L574" s="20" t="str">
        <f ca="1">IFERROR(__xludf.DUMMYFUNCTION("""COMPUTED_VALUE"""),"Poder Legislativo Provincial")</f>
        <v>Poder Legislativo Provincial</v>
      </c>
      <c r="M574" s="20" t="str">
        <f ca="1">IFERROR(__xludf.DUMMYFUNCTION("""COMPUTED_VALUE"""),"Instituyendo el 19 de mayo como Día Provincial de la Donación de Leche Humana")</f>
        <v>Instituyendo el 19 de mayo como Día Provincial de la Donación de Leche Humana</v>
      </c>
      <c r="N574" s="20" t="str">
        <f ca="1">IFERROR(__xludf.DUMMYFUNCTION("""COMPUTED_VALUE"""),"SI")</f>
        <v>SI</v>
      </c>
      <c r="O574" s="20" t="str">
        <f ca="1">IFERROR(__xludf.DUMMYFUNCTION("""COMPUTED_VALUE"""),"NO")</f>
        <v>NO</v>
      </c>
      <c r="P574" s="20">
        <f ca="1">IFERROR(__xludf.DUMMYFUNCTION("""COMPUTED_VALUE"""),0)</f>
        <v>0</v>
      </c>
      <c r="Q574" s="113" t="str">
        <f ca="1">IFERROR(__xludf.DUMMYFUNCTION("""COMPUTED_VALUE"""),"https://gld.legislaturacba.gob.ar/_cdd/api/Documento/descargar?guid=d8463a10-2ad8-473b-814b-d0283f9d92ad&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v>
      </c>
      <c r="R574" s="113" t="str">
        <f ca="1">IFERROR(__xludf.DUMMYFUNCTION("""COMPUTED_VALUE"""),"https://www.youtube.com/watch?v=FJ5iP03dKhQ")</f>
        <v>https://www.youtube.com/watch?v=FJ5iP03dKhQ</v>
      </c>
      <c r="S574" s="113" t="str">
        <f ca="1">IFERROR(__xludf.DUMMYFUNCTION("""COMPUTED_VALUE"""),"https://gld.legislaturacba.gob.ar/Publics/Actas.aspx?id=kP9eqltHv28=;https://gld.legislaturacba.gob.ar/Publics/Actas.aspx?id=YnRDOB-PfPA=")</f>
        <v>https://gld.legislaturacba.gob.ar/Publics/Actas.aspx?id=kP9eqltHv28=;https://gld.legislaturacba.gob.ar/Publics/Actas.aspx?id=YnRDOB-PfPA=</v>
      </c>
      <c r="T574" s="99">
        <f t="shared" ca="1" si="0"/>
        <v>0</v>
      </c>
    </row>
    <row r="575" spans="1:20">
      <c r="A575" s="20">
        <f ca="1">IFERROR(__xludf.DUMMYFUNCTION("""COMPUTED_VALUE"""),79)</f>
        <v>79</v>
      </c>
      <c r="B575" s="20">
        <f ca="1">IFERROR(__xludf.DUMMYFUNCTION("""COMPUTED_VALUE"""),2022)</f>
        <v>2022</v>
      </c>
      <c r="C575" s="20" t="str">
        <f ca="1">IFERROR(__xludf.DUMMYFUNCTION("""COMPUTED_VALUE"""),"VIRTUAL")</f>
        <v>VIRTUAL</v>
      </c>
      <c r="D575" s="106">
        <f ca="1">IFERROR(__xludf.DUMMYFUNCTION("""COMPUTED_VALUE"""),44713)</f>
        <v>44713</v>
      </c>
      <c r="E575" s="20" t="str">
        <f ca="1">IFERROR(__xludf.DUMMYFUNCTION("""COMPUTED_VALUE"""),"NO")</f>
        <v>NO</v>
      </c>
      <c r="F575" s="20" t="str">
        <f ca="1">IFERROR(__xludf.DUMMYFUNCTION("""COMPUTED_VALUE"""),"LEGISLACIÓN GENERAL")</f>
        <v>LEGISLACIÓN GENERAL</v>
      </c>
      <c r="G575" s="20">
        <f ca="1">IFERROR(__xludf.DUMMYFUNCTION("""COMPUTED_VALUE"""),1)</f>
        <v>1</v>
      </c>
      <c r="H575" s="20">
        <f ca="1">IFERROR(__xludf.DUMMYFUNCTION("""COMPUTED_VALUE"""),3)</f>
        <v>3</v>
      </c>
      <c r="I575" s="20">
        <f ca="1">IFERROR(__xludf.DUMMYFUNCTION("""COMPUTED_VALUE"""),1)</f>
        <v>1</v>
      </c>
      <c r="J575" s="20" t="str">
        <f ca="1">IFERROR(__xludf.DUMMYFUNCTION("""COMPUTED_VALUE"""),"Ley")</f>
        <v>Ley</v>
      </c>
      <c r="K575" s="20">
        <f ca="1">IFERROR(__xludf.DUMMYFUNCTION("""COMPUTED_VALUE"""),34930)</f>
        <v>34930</v>
      </c>
      <c r="L575" s="20" t="str">
        <f ca="1">IFERROR(__xludf.DUMMYFUNCTION("""COMPUTED_VALUE"""),"Poder Ejecutivo Provincial")</f>
        <v>Poder Ejecutivo Provincial</v>
      </c>
      <c r="M575" s="20" t="str">
        <f ca="1">IFERROR(__xludf.DUMMYFUNCTION("""COMPUTED_VALUE"""),"Modificando el radio comunal de la localidad del rastreador, Dpto. Juarez Celman")</f>
        <v>Modificando el radio comunal de la localidad del rastreador, Dpto. Juarez Celman</v>
      </c>
      <c r="N575" s="20" t="str">
        <f ca="1">IFERROR(__xludf.DUMMYFUNCTION("""COMPUTED_VALUE"""),"SI")</f>
        <v>SI</v>
      </c>
      <c r="O575" s="20" t="str">
        <f ca="1">IFERROR(__xludf.DUMMYFUNCTION("""COMPUTED_VALUE"""),"NO")</f>
        <v>NO</v>
      </c>
      <c r="P575" s="20">
        <f ca="1">IFERROR(__xludf.DUMMYFUNCTION("""COMPUTED_VALUE"""),0)</f>
        <v>0</v>
      </c>
      <c r="Q575" s="113" t="str">
        <f ca="1">IFERROR(__xludf.DUMMYFUNCTION("""COMPUTED_VALUE"""),"https://gld.legislaturacba.gob.ar/_cdd/api/Documento/descargar?guid=fd81120d-6c1e-4638-9835-053e4b0da7cc&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v>
      </c>
      <c r="R575" s="20" t="str">
        <f ca="1">IFERROR(__xludf.DUMMYFUNCTION("""COMPUTED_VALUE"""),"NA")</f>
        <v>NA</v>
      </c>
      <c r="S575" s="113" t="str">
        <f ca="1">IFERROR(__xludf.DUMMYFUNCTION("""COMPUTED_VALUE"""),"https://gld.legislaturacba.gob.ar/Publics/Actas.aspx?id=5gKiJRUoh9A=")</f>
        <v>https://gld.legislaturacba.gob.ar/Publics/Actas.aspx?id=5gKiJRUoh9A=</v>
      </c>
      <c r="T575" s="99">
        <f t="shared" ca="1" si="0"/>
        <v>0</v>
      </c>
    </row>
    <row r="576" spans="1:20">
      <c r="A576" s="20">
        <f ca="1">IFERROR(__xludf.DUMMYFUNCTION("""COMPUTED_VALUE"""),80)</f>
        <v>80</v>
      </c>
      <c r="B576" s="20">
        <f ca="1">IFERROR(__xludf.DUMMYFUNCTION("""COMPUTED_VALUE"""),2022)</f>
        <v>2022</v>
      </c>
      <c r="C576" s="20" t="str">
        <f ca="1">IFERROR(__xludf.DUMMYFUNCTION("""COMPUTED_VALUE"""),"VIRTUAL")</f>
        <v>VIRTUAL</v>
      </c>
      <c r="D576" s="106">
        <f ca="1">IFERROR(__xludf.DUMMYFUNCTION("""COMPUTED_VALUE"""),44714)</f>
        <v>44714</v>
      </c>
      <c r="E576" s="20" t="str">
        <f ca="1">IFERROR(__xludf.DUMMYFUNCTION("""COMPUTED_VALUE"""),"NO")</f>
        <v>NO</v>
      </c>
      <c r="F576" s="20" t="str">
        <f ca="1">IFERROR(__xludf.DUMMYFUNCTION("""COMPUTED_VALUE"""),"DEPORTES Y RECREACIÓN")</f>
        <v>DEPORTES Y RECREACIÓN</v>
      </c>
      <c r="G576" s="20">
        <f ca="1">IFERROR(__xludf.DUMMYFUNCTION("""COMPUTED_VALUE"""),1)</f>
        <v>1</v>
      </c>
      <c r="H576" s="20">
        <f ca="1">IFERROR(__xludf.DUMMYFUNCTION("""COMPUTED_VALUE"""),1)</f>
        <v>1</v>
      </c>
      <c r="I576" s="20">
        <f ca="1">IFERROR(__xludf.DUMMYFUNCTION("""COMPUTED_VALUE"""),1)</f>
        <v>1</v>
      </c>
      <c r="J576" s="20" t="str">
        <f ca="1">IFERROR(__xludf.DUMMYFUNCTION("""COMPUTED_VALUE"""),"Resolución")</f>
        <v>Resolución</v>
      </c>
      <c r="K576" s="20">
        <f ca="1">IFERROR(__xludf.DUMMYFUNCTION("""COMPUTED_VALUE"""),34928)</f>
        <v>34928</v>
      </c>
      <c r="L576" s="20" t="str">
        <f ca="1">IFERROR(__xludf.DUMMYFUNCTION("""COMPUTED_VALUE"""),"Poder Legislativo Provincial")</f>
        <v>Poder Legislativo Provincial</v>
      </c>
      <c r="M576" s="20" t="str">
        <f ca="1">IFERROR(__xludf.DUMMYFUNCTION("""COMPUTED_VALUE"""),"Solicitando al Poder Ejecutivo informe (Art. 102 C.P.) sobre diversos aspectos referidos a la Copa cordobesa de Fútbol Electrónico.")</f>
        <v>Solicitando al Poder Ejecutivo informe (Art. 102 C.P.) sobre diversos aspectos referidos a la Copa cordobesa de Fútbol Electrónico.</v>
      </c>
      <c r="N576" s="20" t="str">
        <f ca="1">IFERROR(__xludf.DUMMYFUNCTION("""COMPUTED_VALUE"""),"NO")</f>
        <v>NO</v>
      </c>
      <c r="O576" s="20" t="str">
        <f ca="1">IFERROR(__xludf.DUMMYFUNCTION("""COMPUTED_VALUE"""),"NO")</f>
        <v>NO</v>
      </c>
      <c r="P576" s="20">
        <f ca="1">IFERROR(__xludf.DUMMYFUNCTION("""COMPUTED_VALUE"""),0)</f>
        <v>0</v>
      </c>
      <c r="Q576" s="113" t="str">
        <f ca="1">IFERROR(__xludf.DUMMYFUNCTION("""COMPUTED_VALUE"""),"https://gld.legislaturacba.gob.ar/_cdd/api/Documento/descargar?guid=c0d0b505-8a91-46d8-b617-1d21f74bf3c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v>
      </c>
      <c r="R576" s="113" t="str">
        <f ca="1">IFERROR(__xludf.DUMMYFUNCTION("""COMPUTED_VALUE"""),"https://www.youtube.com/watch?v=ztBCSpzmJMU")</f>
        <v>https://www.youtube.com/watch?v=ztBCSpzmJMU</v>
      </c>
      <c r="S576" s="113" t="str">
        <f ca="1">IFERROR(__xludf.DUMMYFUNCTION("""COMPUTED_VALUE"""),"https://gld.legislaturacba.gob.ar/Publics/Actas.aspx?id=ivnLuYw2YKE=")</f>
        <v>https://gld.legislaturacba.gob.ar/Publics/Actas.aspx?id=ivnLuYw2YKE=</v>
      </c>
      <c r="T576" s="99">
        <f t="shared" ca="1" si="0"/>
        <v>0</v>
      </c>
    </row>
    <row r="577" spans="1:20">
      <c r="A577" s="20">
        <f ca="1">IFERROR(__xludf.DUMMYFUNCTION("""COMPUTED_VALUE"""),81)</f>
        <v>81</v>
      </c>
      <c r="B577" s="20">
        <f ca="1">IFERROR(__xludf.DUMMYFUNCTION("""COMPUTED_VALUE"""),2022)</f>
        <v>2022</v>
      </c>
      <c r="C577" s="20" t="str">
        <f ca="1">IFERROR(__xludf.DUMMYFUNCTION("""COMPUTED_VALUE"""),"VIRTUAL")</f>
        <v>VIRTUAL</v>
      </c>
      <c r="D577" s="106">
        <f ca="1">IFERROR(__xludf.DUMMYFUNCTION("""COMPUTED_VALUE"""),44719)</f>
        <v>44719</v>
      </c>
      <c r="E577" s="20" t="str">
        <f ca="1">IFERROR(__xludf.DUMMYFUNCTION("""COMPUTED_VALUE"""),"NO")</f>
        <v>NO</v>
      </c>
      <c r="F577" s="20" t="str">
        <f ca="1">IFERROR(__xludf.DUMMYFUNCTION("""COMPUTED_VALUE"""),"ASUNTOS CONSTITUCIONALES, JUSTICIA Y ACUERDOS")</f>
        <v>ASUNTOS CONSTITUCIONALES, JUSTICIA Y ACUERDOS</v>
      </c>
      <c r="G577" s="20">
        <f ca="1">IFERROR(__xludf.DUMMYFUNCTION("""COMPUTED_VALUE"""),1)</f>
        <v>1</v>
      </c>
      <c r="H577" s="20">
        <f ca="1">IFERROR(__xludf.DUMMYFUNCTION("""COMPUTED_VALUE"""),1)</f>
        <v>1</v>
      </c>
      <c r="I577" s="20">
        <f ca="1">IFERROR(__xludf.DUMMYFUNCTION("""COMPUTED_VALUE"""),1)</f>
        <v>1</v>
      </c>
      <c r="J577" s="20" t="str">
        <f ca="1">IFERROR(__xludf.DUMMYFUNCTION("""COMPUTED_VALUE"""),"Pliego")</f>
        <v>Pliego</v>
      </c>
      <c r="K577" s="20">
        <f ca="1">IFERROR(__xludf.DUMMYFUNCTION("""COMPUTED_VALUE"""),35141)</f>
        <v>35141</v>
      </c>
      <c r="L577" s="20" t="str">
        <f ca="1">IFERROR(__xludf.DUMMYFUNCTION("""COMPUTED_VALUE"""),"Poder Ejecutivo Provincial")</f>
        <v>Poder Ejecutivo Provincial</v>
      </c>
      <c r="M577" s="20" t="str">
        <f ca="1">IFERROR(__xludf.DUMMYFUNCTION("""COMPUTED_VALUE"""),"Solicitando la incorporación de la abogada María Celeste Orta Córdoba al Padrón de Magistrados y Funcionarios reemplazantes, aprobado por R-3700/22.")</f>
        <v>Solicitando la incorporación de la abogada María Celeste Orta Córdoba al Padrón de Magistrados y Funcionarios reemplazantes, aprobado por R-3700/22.</v>
      </c>
      <c r="N577" s="20" t="str">
        <f ca="1">IFERROR(__xludf.DUMMYFUNCTION("""COMPUTED_VALUE"""),"SI")</f>
        <v>SI</v>
      </c>
      <c r="O577" s="20" t="str">
        <f ca="1">IFERROR(__xludf.DUMMYFUNCTION("""COMPUTED_VALUE"""),"NO")</f>
        <v>NO</v>
      </c>
      <c r="P577" s="20">
        <f ca="1">IFERROR(__xludf.DUMMYFUNCTION("""COMPUTED_VALUE"""),0)</f>
        <v>0</v>
      </c>
      <c r="Q577" s="113" t="str">
        <f ca="1">IFERROR(__xludf.DUMMYFUNCTION("""COMPUTED_VALUE"""),"https://gld.legislaturacba.gob.ar/_cdd/api/Documento/descargar?guid=63aeac5e-f3f4-48bd-a21e-29a65a31d84b&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v>
      </c>
      <c r="R577" s="113" t="str">
        <f ca="1">IFERROR(__xludf.DUMMYFUNCTION("""COMPUTED_VALUE"""),"https://www.youtube.com/watch?v=P65-rMhRjWY")</f>
        <v>https://www.youtube.com/watch?v=P65-rMhRjWY</v>
      </c>
      <c r="S577" s="113" t="str">
        <f ca="1">IFERROR(__xludf.DUMMYFUNCTION("""COMPUTED_VALUE"""),"https://gld.legislaturacba.gob.ar/Publics/Actas.aspx?id=hqgh0blE_Ls=")</f>
        <v>https://gld.legislaturacba.gob.ar/Publics/Actas.aspx?id=hqgh0blE_Ls=</v>
      </c>
      <c r="T577" s="99">
        <f t="shared" ca="1" si="0"/>
        <v>0</v>
      </c>
    </row>
    <row r="578" spans="1:20">
      <c r="A578" s="20">
        <f ca="1">IFERROR(__xludf.DUMMYFUNCTION("""COMPUTED_VALUE"""),82)</f>
        <v>82</v>
      </c>
      <c r="B578" s="20">
        <f ca="1">IFERROR(__xludf.DUMMYFUNCTION("""COMPUTED_VALUE"""),2022)</f>
        <v>2022</v>
      </c>
      <c r="C578" s="20" t="str">
        <f ca="1">IFERROR(__xludf.DUMMYFUNCTION("""COMPUTED_VALUE"""),"VIRTUAL")</f>
        <v>VIRTUAL</v>
      </c>
      <c r="D578" s="106">
        <f ca="1">IFERROR(__xludf.DUMMYFUNCTION("""COMPUTED_VALUE"""),44719)</f>
        <v>44719</v>
      </c>
      <c r="E578" s="20" t="str">
        <f ca="1">IFERROR(__xludf.DUMMYFUNCTION("""COMPUTED_VALUE"""),"SI")</f>
        <v>SI</v>
      </c>
      <c r="F578" s="20" t="str">
        <f ca="1">IFERROR(__xludf.DUMMYFUNCTION("""COMPUTED_VALUE"""),"LEGISLACIÓN GENERAL;LEGISLACIÓN DEL TRABAJO, PREVISIÓN Y SEGURIDAD SOCIAL")</f>
        <v>LEGISLACIÓN GENERAL;LEGISLACIÓN DEL TRABAJO, PREVISIÓN Y SEGURIDAD SOCIAL</v>
      </c>
      <c r="G578" s="20">
        <f ca="1">IFERROR(__xludf.DUMMYFUNCTION("""COMPUTED_VALUE"""),2)</f>
        <v>2</v>
      </c>
      <c r="H578" s="20">
        <f ca="1">IFERROR(__xludf.DUMMYFUNCTION("""COMPUTED_VALUE"""),1)</f>
        <v>1</v>
      </c>
      <c r="I578" s="20">
        <f ca="1">IFERROR(__xludf.DUMMYFUNCTION("""COMPUTED_VALUE"""),1)</f>
        <v>1</v>
      </c>
      <c r="J578" s="20" t="str">
        <f ca="1">IFERROR(__xludf.DUMMYFUNCTION("""COMPUTED_VALUE"""),"Ley")</f>
        <v>Ley</v>
      </c>
      <c r="K578" s="20">
        <f ca="1">IFERROR(__xludf.DUMMYFUNCTION("""COMPUTED_VALUE"""),29532)</f>
        <v>29532</v>
      </c>
      <c r="L578" s="20" t="str">
        <f ca="1">IFERROR(__xludf.DUMMYFUNCTION("""COMPUTED_VALUE"""),"Poder Legislativo Provincial")</f>
        <v>Poder Legislativo Provincial</v>
      </c>
      <c r="M578" s="20" t="str">
        <f ca="1">IFERROR(__xludf.DUMMYFUNCTION("""COMPUTED_VALUE"""),"Modificando diversos artículos de la Ley N° 7674, Colegio Profesional de Ingenieros Civiles de la provincia de Córdoba.")</f>
        <v>Modificando diversos artículos de la Ley N° 7674, Colegio Profesional de Ingenieros Civiles de la provincia de Córdoba.</v>
      </c>
      <c r="N578" s="20" t="str">
        <f ca="1">IFERROR(__xludf.DUMMYFUNCTION("""COMPUTED_VALUE"""),"SI")</f>
        <v>SI</v>
      </c>
      <c r="O578" s="20" t="str">
        <f ca="1">IFERROR(__xludf.DUMMYFUNCTION("""COMPUTED_VALUE"""),"NO")</f>
        <v>NO</v>
      </c>
      <c r="P578" s="20">
        <f ca="1">IFERROR(__xludf.DUMMYFUNCTION("""COMPUTED_VALUE"""),0)</f>
        <v>0</v>
      </c>
      <c r="Q578" s="113" t="str">
        <f ca="1">IFERROR(__xludf.DUMMYFUNCTION("""COMPUTED_VALUE"""),"https://gld.legislaturacba.gob.ar/_cdd/api/Documento/descargar?guid=a29f852d-4256-4359-9bf4-ddf1beaa8912&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v>
      </c>
      <c r="R578" s="113" t="str">
        <f ca="1">IFERROR(__xludf.DUMMYFUNCTION("""COMPUTED_VALUE"""),"https://www.youtube.com/watch?v=zBIbdlVOWWc")</f>
        <v>https://www.youtube.com/watch?v=zBIbdlVOWWc</v>
      </c>
      <c r="S578" s="113" t="str">
        <f ca="1">IFERROR(__xludf.DUMMYFUNCTION("""COMPUTED_VALUE"""),"https://gld.legislaturacba.gob.ar/Publics/Actas.aspx?id=KNtpW_ckNF4=;https://gld.legislaturacba.gob.ar/Publics/Actas.aspx?id=08Ylj4PRrqI=")</f>
        <v>https://gld.legislaturacba.gob.ar/Publics/Actas.aspx?id=KNtpW_ckNF4=;https://gld.legislaturacba.gob.ar/Publics/Actas.aspx?id=08Ylj4PRrqI=</v>
      </c>
      <c r="T578" s="99">
        <f t="shared" ca="1" si="0"/>
        <v>0</v>
      </c>
    </row>
    <row r="579" spans="1:20">
      <c r="A579" s="20">
        <f ca="1">IFERROR(__xludf.DUMMYFUNCTION("""COMPUTED_VALUE"""),83)</f>
        <v>83</v>
      </c>
      <c r="B579" s="20">
        <f ca="1">IFERROR(__xludf.DUMMYFUNCTION("""COMPUTED_VALUE"""),2022)</f>
        <v>2022</v>
      </c>
      <c r="C579" s="20" t="str">
        <f ca="1">IFERROR(__xludf.DUMMYFUNCTION("""COMPUTED_VALUE"""),"VIRTUAL")</f>
        <v>VIRTUAL</v>
      </c>
      <c r="D579" s="106">
        <f ca="1">IFERROR(__xludf.DUMMYFUNCTION("""COMPUTED_VALUE"""),44719)</f>
        <v>44719</v>
      </c>
      <c r="E579" s="20" t="str">
        <f ca="1">IFERROR(__xludf.DUMMYFUNCTION("""COMPUTED_VALUE"""),"SI")</f>
        <v>SI</v>
      </c>
      <c r="F579" s="20" t="str">
        <f ca="1">IFERROR(__xludf.DUMMYFUNCTION("""COMPUTED_VALUE"""),"INDUSTRIA Y MINERÍA;PROMOCIÓN Y DESARROLLO DE ECONOMÍAS REGIONALES Y PYMES")</f>
        <v>INDUSTRIA Y MINERÍA;PROMOCIÓN Y DESARROLLO DE ECONOMÍAS REGIONALES Y PYMES</v>
      </c>
      <c r="G579" s="20">
        <f ca="1">IFERROR(__xludf.DUMMYFUNCTION("""COMPUTED_VALUE"""),2)</f>
        <v>2</v>
      </c>
      <c r="H579" s="20">
        <f ca="1">IFERROR(__xludf.DUMMYFUNCTION("""COMPUTED_VALUE"""),2)</f>
        <v>2</v>
      </c>
      <c r="I579" s="20">
        <f ca="1">IFERROR(__xludf.DUMMYFUNCTION("""COMPUTED_VALUE"""),1)</f>
        <v>1</v>
      </c>
      <c r="J579" s="20" t="str">
        <f ca="1">IFERROR(__xludf.DUMMYFUNCTION("""COMPUTED_VALUE"""),"NA")</f>
        <v>NA</v>
      </c>
      <c r="K579" s="20" t="str">
        <f ca="1">IFERROR(__xludf.DUMMYFUNCTION("""COMPUTED_VALUE"""),"NA")</f>
        <v>NA</v>
      </c>
      <c r="L579" s="20" t="str">
        <f ca="1">IFERROR(__xludf.DUMMYFUNCTION("""COMPUTED_VALUE"""),"NA")</f>
        <v>NA</v>
      </c>
      <c r="M579" s="20" t="str">
        <f ca="1">IFERROR(__xludf.DUMMYFUNCTION("""COMPUTED_VALUE"""),"Informe de gestión de la Dirección de Defensa del Consumidor y Lealtad Comercial de la provincia de Córdoba")</f>
        <v>Informe de gestión de la Dirección de Defensa del Consumidor y Lealtad Comercial de la provincia de Córdoba</v>
      </c>
      <c r="N579" s="20" t="str">
        <f ca="1">IFERROR(__xludf.DUMMYFUNCTION("""COMPUTED_VALUE"""),"NA")</f>
        <v>NA</v>
      </c>
      <c r="O579" s="20" t="str">
        <f ca="1">IFERROR(__xludf.DUMMYFUNCTION("""COMPUTED_VALUE"""),"SI")</f>
        <v>SI</v>
      </c>
      <c r="P579" s="20">
        <f ca="1">IFERROR(__xludf.DUMMYFUNCTION("""COMPUTED_VALUE"""),2)</f>
        <v>2</v>
      </c>
      <c r="Q579" s="113" t="str">
        <f ca="1">IFERROR(__xludf.DUMMYFUNCTION("""COMPUTED_VALUE"""),"https://gld.legislaturacba.gob.ar/_cdd/api/Documento/descargar?guid=182ec448-c1c8-4a76-a1f9-b73e738a87ce&amp;token=x_-CeV-mSW_oWCe9EWMAULJqOLWfr7bLB4TqTXvp_RdC9ozsj29u_4whL8voZz6_YHAkSEWZAvVqnY7sfP6l7RbhYFeMnhcAvz9xrO4NKtOJAi-0DyoE-QwAiTY3Cwtoo6wqgEx7p4XjRCGq"&amp;"4JpM7wiCH2EJfgjsazoIUQbvl2y720r8zFn96q_AAFP2A9VbpTLAMpRatRz9P0giYiEt6gUJ4wQe5vO9MfXAcpgWUZ-d5tBIq2-TzZzqiAEg9XlQ")</f>
        <v>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v>
      </c>
      <c r="R579" s="113" t="str">
        <f ca="1">IFERROR(__xludf.DUMMYFUNCTION("""COMPUTED_VALUE"""),"https://www.youtube.com/watch?v=2VZY9GZ8-gM")</f>
        <v>https://www.youtube.com/watch?v=2VZY9GZ8-gM</v>
      </c>
      <c r="S579" s="113" t="str">
        <f ca="1">IFERROR(__xludf.DUMMYFUNCTION("""COMPUTED_VALUE"""),"https://gld.legislaturacba.gob.ar/Publics/Actas.aspx?id=zzCOkVMUynw=;https://gld.legislaturacba.gob.ar/Publics/Actas.aspx?id=t4KmpBOgubs=")</f>
        <v>https://gld.legislaturacba.gob.ar/Publics/Actas.aspx?id=zzCOkVMUynw=;https://gld.legislaturacba.gob.ar/Publics/Actas.aspx?id=t4KmpBOgubs=</v>
      </c>
      <c r="T579" s="99">
        <f t="shared" ca="1" si="0"/>
        <v>0</v>
      </c>
    </row>
    <row r="580" spans="1:20">
      <c r="A580" s="20">
        <f ca="1">IFERROR(__xludf.DUMMYFUNCTION("""COMPUTED_VALUE"""),84)</f>
        <v>84</v>
      </c>
      <c r="B580" s="20">
        <f ca="1">IFERROR(__xludf.DUMMYFUNCTION("""COMPUTED_VALUE"""),2022)</f>
        <v>2022</v>
      </c>
      <c r="C580" s="20" t="str">
        <f ca="1">IFERROR(__xludf.DUMMYFUNCTION("""COMPUTED_VALUE"""),"SEMIPRESENCIAL")</f>
        <v>SEMIPRESENCIAL</v>
      </c>
      <c r="D580" s="106">
        <f ca="1">IFERROR(__xludf.DUMMYFUNCTION("""COMPUTED_VALUE"""),44720)</f>
        <v>44720</v>
      </c>
      <c r="E580" s="20" t="str">
        <f ca="1">IFERROR(__xludf.DUMMYFUNCTION("""COMPUTED_VALUE"""),"SI")</f>
        <v>SI</v>
      </c>
      <c r="F580" s="20" t="str">
        <f ca="1">IFERROR(__xludf.DUMMYFUNCTION("""COMPUTED_VALUE"""),"DERECHOS HUMANOS Y DESARROLLO SOCIAL;DEPORTES Y RECREACIÓN")</f>
        <v>DERECHOS HUMANOS Y DESARROLLO SOCIAL;DEPORTES Y RECREACIÓN</v>
      </c>
      <c r="G580" s="20">
        <f ca="1">IFERROR(__xludf.DUMMYFUNCTION("""COMPUTED_VALUE"""),2)</f>
        <v>2</v>
      </c>
      <c r="H580" s="20">
        <f ca="1">IFERROR(__xludf.DUMMYFUNCTION("""COMPUTED_VALUE"""),3)</f>
        <v>3</v>
      </c>
      <c r="I580" s="20">
        <f ca="1">IFERROR(__xludf.DUMMYFUNCTION("""COMPUTED_VALUE"""),1)</f>
        <v>1</v>
      </c>
      <c r="J580" s="20" t="str">
        <f ca="1">IFERROR(__xludf.DUMMYFUNCTION("""COMPUTED_VALUE"""),"Declaración")</f>
        <v>Declaración</v>
      </c>
      <c r="K580" s="20">
        <f ca="1">IFERROR(__xludf.DUMMYFUNCTION("""COMPUTED_VALUE"""),35169)</f>
        <v>35169</v>
      </c>
      <c r="L580" s="20" t="str">
        <f ca="1">IFERROR(__xludf.DUMMYFUNCTION("""COMPUTED_VALUE"""),"Poder Legislativo Provincial")</f>
        <v>Poder Legislativo Provincial</v>
      </c>
      <c r="M580" s="20" t="str">
        <f ca="1">IFERROR(__xludf.DUMMYFUNCTION("""COMPUTED_VALUE"""),"Reconociendo a la Selección Argentina de talla baja, por su consagración como campeona de la Copa América 2022, evento desarrollado en la República del Perú.")</f>
        <v>Reconociendo a la Selección Argentina de talla baja, por su consagración como campeona de la Copa América 2022, evento desarrollado en la República del Perú.</v>
      </c>
      <c r="N580" s="20" t="str">
        <f ca="1">IFERROR(__xludf.DUMMYFUNCTION("""COMPUTED_VALUE"""),"SI")</f>
        <v>SI</v>
      </c>
      <c r="O580" s="20" t="str">
        <f ca="1">IFERROR(__xludf.DUMMYFUNCTION("""COMPUTED_VALUE"""),"SI")</f>
        <v>SI</v>
      </c>
      <c r="P580" s="20">
        <f ca="1">IFERROR(__xludf.DUMMYFUNCTION("""COMPUTED_VALUE"""),3)</f>
        <v>3</v>
      </c>
      <c r="Q580" s="113" t="str">
        <f ca="1">IFERROR(__xludf.DUMMYFUNCTION("""COMPUTED_VALUE"""),"https://gld.legislaturacba.gob.ar/_cdd/api/Documento/descargar?guid=61413aac-a3b5-46a7-a4ad-54c4e063ec2e&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v>
      </c>
      <c r="R580" s="113" t="str">
        <f ca="1">IFERROR(__xludf.DUMMYFUNCTION("""COMPUTED_VALUE"""),"https://www.youtube.com/watch?v=cGzOM5QLcS0")</f>
        <v>https://www.youtube.com/watch?v=cGzOM5QLcS0</v>
      </c>
      <c r="S580" s="113" t="str">
        <f ca="1">IFERROR(__xludf.DUMMYFUNCTION("""COMPUTED_VALUE"""),"https://gld.legislaturacba.gob.ar/Publics/Actas.aspx?id=aSn5c-NtTFY=;https://gld.legislaturacba.gob.ar/Publics/Actas.aspx?id=3kGc6UNOcxU=")</f>
        <v>https://gld.legislaturacba.gob.ar/Publics/Actas.aspx?id=aSn5c-NtTFY=;https://gld.legislaturacba.gob.ar/Publics/Actas.aspx?id=3kGc6UNOcxU=</v>
      </c>
      <c r="T580" s="99">
        <f t="shared" ca="1" si="0"/>
        <v>0</v>
      </c>
    </row>
    <row r="581" spans="1:20">
      <c r="A581" s="20">
        <f ca="1">IFERROR(__xludf.DUMMYFUNCTION("""COMPUTED_VALUE"""),85)</f>
        <v>85</v>
      </c>
      <c r="B581" s="20">
        <f ca="1">IFERROR(__xludf.DUMMYFUNCTION("""COMPUTED_VALUE"""),2022)</f>
        <v>2022</v>
      </c>
      <c r="C581" s="20" t="str">
        <f ca="1">IFERROR(__xludf.DUMMYFUNCTION("""COMPUTED_VALUE"""),"VIRTUAL")</f>
        <v>VIRTUAL</v>
      </c>
      <c r="D581" s="106">
        <f ca="1">IFERROR(__xludf.DUMMYFUNCTION("""COMPUTED_VALUE"""),44721)</f>
        <v>44721</v>
      </c>
      <c r="E581" s="20" t="str">
        <f ca="1">IFERROR(__xludf.DUMMYFUNCTION("""COMPUTED_VALUE"""),"NO")</f>
        <v>NO</v>
      </c>
      <c r="F581" s="20" t="str">
        <f ca="1">IFERROR(__xludf.DUMMYFUNCTION("""COMPUTED_VALUE"""),"ECONOMÍA, PRESUPUESTO, GESTIÓN PÚBLICA E INNOVACIÓN")</f>
        <v>ECONOMÍA, PRESUPUESTO, GESTIÓN PÚBLICA E INNOVACIÓN</v>
      </c>
      <c r="G581" s="20">
        <f ca="1">IFERROR(__xludf.DUMMYFUNCTION("""COMPUTED_VALUE"""),1)</f>
        <v>1</v>
      </c>
      <c r="H581" s="20">
        <f ca="1">IFERROR(__xludf.DUMMYFUNCTION("""COMPUTED_VALUE"""),1)</f>
        <v>1</v>
      </c>
      <c r="I581" s="20">
        <f ca="1">IFERROR(__xludf.DUMMYFUNCTION("""COMPUTED_VALUE"""),1)</f>
        <v>1</v>
      </c>
      <c r="J581" s="20" t="str">
        <f ca="1">IFERROR(__xludf.DUMMYFUNCTION("""COMPUTED_VALUE"""),"Nota")</f>
        <v>Nota</v>
      </c>
      <c r="K581" s="20">
        <f ca="1">IFERROR(__xludf.DUMMYFUNCTION("""COMPUTED_VALUE"""),34751)</f>
        <v>34751</v>
      </c>
      <c r="L581" s="20" t="str">
        <f ca="1">IFERROR(__xludf.DUMMYFUNCTION("""COMPUTED_VALUE"""),"Poder Legislativo Provincial")</f>
        <v>Poder Legislativo Provincial</v>
      </c>
      <c r="M581" s="20" t="str">
        <f ca="1">IFERROR(__xludf.DUMMYFUNCTION("""COMPUTED_VALUE"""),"Remitiendo la Cuenta de Inversión correspondiente al Ejercicio Financiero 2021, conforme lo establecido por el Art. 144 inc. 12 de la Constitución provincial.")</f>
        <v>Remitiendo la Cuenta de Inversión correspondiente al Ejercicio Financiero 2021, conforme lo establecido por el Art. 144 inc. 12 de la Constitución provincial.</v>
      </c>
      <c r="N581" s="20" t="str">
        <f ca="1">IFERROR(__xludf.DUMMYFUNCTION("""COMPUTED_VALUE"""),"NA")</f>
        <v>NA</v>
      </c>
      <c r="O581" s="20" t="str">
        <f ca="1">IFERROR(__xludf.DUMMYFUNCTION("""COMPUTED_VALUE"""),"NO")</f>
        <v>NO</v>
      </c>
      <c r="P581" s="20">
        <f ca="1">IFERROR(__xludf.DUMMYFUNCTION("""COMPUTED_VALUE"""),0)</f>
        <v>0</v>
      </c>
      <c r="Q581" s="113" t="str">
        <f ca="1">IFERROR(__xludf.DUMMYFUNCTION("""COMPUTED_VALUE"""),"https://gld.legislaturacba.gob.ar/_cdd/api/Documento/descargar?guid=76631508-0c94-4a02-b004-b390f6e93570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v>
      </c>
      <c r="R581" s="113" t="str">
        <f ca="1">IFERROR(__xludf.DUMMYFUNCTION("""COMPUTED_VALUE"""),"https://www.youtube.com/watch?v=WR84Vu1SRqQ")</f>
        <v>https://www.youtube.com/watch?v=WR84Vu1SRqQ</v>
      </c>
      <c r="S581" s="113" t="str">
        <f ca="1">IFERROR(__xludf.DUMMYFUNCTION("""COMPUTED_VALUE"""),"https://gld.legislaturacba.gob.ar/Publics/Actas.aspx?id=WYPXoYLmI7U=")</f>
        <v>https://gld.legislaturacba.gob.ar/Publics/Actas.aspx?id=WYPXoYLmI7U=</v>
      </c>
      <c r="T581" s="99">
        <f t="shared" ca="1" si="0"/>
        <v>0</v>
      </c>
    </row>
    <row r="582" spans="1:20">
      <c r="A582" s="20">
        <f ca="1">IFERROR(__xludf.DUMMYFUNCTION("""COMPUTED_VALUE"""),86)</f>
        <v>86</v>
      </c>
      <c r="B582" s="20">
        <f ca="1">IFERROR(__xludf.DUMMYFUNCTION("""COMPUTED_VALUE"""),2022)</f>
        <v>2022</v>
      </c>
      <c r="C582" s="20" t="str">
        <f ca="1">IFERROR(__xludf.DUMMYFUNCTION("""COMPUTED_VALUE"""),"VIRTUAL")</f>
        <v>VIRTUAL</v>
      </c>
      <c r="D582" s="106">
        <f ca="1">IFERROR(__xludf.DUMMYFUNCTION("""COMPUTED_VALUE"""),44721)</f>
        <v>44721</v>
      </c>
      <c r="E582" s="20" t="str">
        <f ca="1">IFERROR(__xludf.DUMMYFUNCTION("""COMPUTED_VALUE"""),"SI")</f>
        <v>SI</v>
      </c>
      <c r="F582" s="20" t="str">
        <f ca="1">IFERROR(__xludf.DUMMYFUNCTION("""COMPUTED_VALUE"""),"ECONOMÍA, PRESUPUESTO, GESTIÓN PÚBLICA E INNOVACIÓN;DERECHOS HUMANOS Y DESARROLLO SOCIAL")</f>
        <v>ECONOMÍA, PRESUPUESTO, GESTIÓN PÚBLICA E INNOVACIÓN;DERECHOS HUMANOS Y DESARROLLO SOCIAL</v>
      </c>
      <c r="G582" s="20">
        <f ca="1">IFERROR(__xludf.DUMMYFUNCTION("""COMPUTED_VALUE"""),2)</f>
        <v>2</v>
      </c>
      <c r="H582" s="20">
        <f ca="1">IFERROR(__xludf.DUMMYFUNCTION("""COMPUTED_VALUE"""),1)</f>
        <v>1</v>
      </c>
      <c r="I582" s="20">
        <f ca="1">IFERROR(__xludf.DUMMYFUNCTION("""COMPUTED_VALUE"""),1)</f>
        <v>1</v>
      </c>
      <c r="J582" s="20" t="str">
        <f ca="1">IFERROR(__xludf.DUMMYFUNCTION("""COMPUTED_VALUE"""),"Ley")</f>
        <v>Ley</v>
      </c>
      <c r="K582" s="20">
        <f ca="1">IFERROR(__xludf.DUMMYFUNCTION("""COMPUTED_VALUE"""),35150)</f>
        <v>35150</v>
      </c>
      <c r="L582" s="20" t="str">
        <f ca="1">IFERROR(__xludf.DUMMYFUNCTION("""COMPUTED_VALUE"""),"Poder Ejecutivo Provincial")</f>
        <v>Poder Ejecutivo Provincial</v>
      </c>
      <c r="M582" s="20" t="str">
        <f ca="1">IFERROR(__xludf.DUMMYFUNCTION("""COMPUTED_VALUE"""),"Declarando de utilidad pública y sujeto a expropiación, los inmuebles ubicados en el asentamiento denominado ""La Canchita"", de barrio Villa Argüello de la ciudad de Córdoba, para su regularización dominial y saneamiento de títulos")</f>
        <v>Declarando de utilidad pública y sujeto a expropiación, los inmuebles ubicados en el asentamiento denominado "La Canchita", de barrio Villa Argüello de la ciudad de Córdoba, para su regularización dominial y saneamiento de títulos</v>
      </c>
      <c r="N582" s="20" t="str">
        <f ca="1">IFERROR(__xludf.DUMMYFUNCTION("""COMPUTED_VALUE"""),"SI")</f>
        <v>SI</v>
      </c>
      <c r="O582" s="20" t="str">
        <f ca="1">IFERROR(__xludf.DUMMYFUNCTION("""COMPUTED_VALUE"""),"SI")</f>
        <v>SI</v>
      </c>
      <c r="P582" s="20">
        <f ca="1">IFERROR(__xludf.DUMMYFUNCTION("""COMPUTED_VALUE"""),2)</f>
        <v>2</v>
      </c>
      <c r="Q582" s="113" t="str">
        <f ca="1">IFERROR(__xludf.DUMMYFUNCTION("""COMPUTED_VALUE"""),"https://gld.legislaturacba.gob.ar/_cdd/api/Documento/descargar?guid=795218b9-eabe-40fb-8e11-6f845e8d3b04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v>
      </c>
      <c r="R582" s="113" t="str">
        <f ca="1">IFERROR(__xludf.DUMMYFUNCTION("""COMPUTED_VALUE"""),"https://www.youtube.com/watch?v=WR84Vu1SRqQ")</f>
        <v>https://www.youtube.com/watch?v=WR84Vu1SRqQ</v>
      </c>
      <c r="S582" s="113" t="str">
        <f ca="1">IFERROR(__xludf.DUMMYFUNCTION("""COMPUTED_VALUE"""),"https://gld.legislaturacba.gob.ar/Publics/Actas.aspx?id=fJbLAIwWtpc=;https://gld.legislaturacba.gob.ar/Publics/Actas.aspx?id=-5dpOxaHarw=")</f>
        <v>https://gld.legislaturacba.gob.ar/Publics/Actas.aspx?id=fJbLAIwWtpc=;https://gld.legislaturacba.gob.ar/Publics/Actas.aspx?id=-5dpOxaHarw=</v>
      </c>
      <c r="T582" s="99">
        <f t="shared" ca="1" si="0"/>
        <v>0</v>
      </c>
    </row>
    <row r="583" spans="1:20">
      <c r="A583" s="20">
        <f ca="1">IFERROR(__xludf.DUMMYFUNCTION("""COMPUTED_VALUE"""),87)</f>
        <v>87</v>
      </c>
      <c r="B583" s="20">
        <f ca="1">IFERROR(__xludf.DUMMYFUNCTION("""COMPUTED_VALUE"""),2022)</f>
        <v>2022</v>
      </c>
      <c r="C583" s="20" t="str">
        <f ca="1">IFERROR(__xludf.DUMMYFUNCTION("""COMPUTED_VALUE"""),"VIRTUAL")</f>
        <v>VIRTUAL</v>
      </c>
      <c r="D583" s="106">
        <f ca="1">IFERROR(__xludf.DUMMYFUNCTION("""COMPUTED_VALUE"""),44721)</f>
        <v>44721</v>
      </c>
      <c r="E583" s="20" t="str">
        <f ca="1">IFERROR(__xludf.DUMMYFUNCTION("""COMPUTED_VALUE"""),"SI")</f>
        <v>SI</v>
      </c>
      <c r="F583" s="20" t="str">
        <f ca="1">IFERROR(__xludf.DUMMYFUNCTION("""COMPUTED_VALUE"""),"EDUCACIÓN, CULTURA, CIENCIA, TECNOLOGÍA E INFORMÁTICA;AMBIENTE")</f>
        <v>EDUCACIÓN, CULTURA, CIENCIA, TECNOLOGÍA E INFORMÁTICA;AMBIENTE</v>
      </c>
      <c r="G583" s="20">
        <f ca="1">IFERROR(__xludf.DUMMYFUNCTION("""COMPUTED_VALUE"""),2)</f>
        <v>2</v>
      </c>
      <c r="H583" s="20">
        <f ca="1">IFERROR(__xludf.DUMMYFUNCTION("""COMPUTED_VALUE"""),2)</f>
        <v>2</v>
      </c>
      <c r="I583" s="20">
        <f ca="1">IFERROR(__xludf.DUMMYFUNCTION("""COMPUTED_VALUE"""),1)</f>
        <v>1</v>
      </c>
      <c r="J583" s="20" t="str">
        <f ca="1">IFERROR(__xludf.DUMMYFUNCTION("""COMPUTED_VALUE"""),"Ley")</f>
        <v>Ley</v>
      </c>
      <c r="K583" s="20">
        <f ca="1">IFERROR(__xludf.DUMMYFUNCTION("""COMPUTED_VALUE"""),33211)</f>
        <v>33211</v>
      </c>
      <c r="L583" s="20" t="str">
        <f ca="1">IFERROR(__xludf.DUMMYFUNCTION("""COMPUTED_VALUE"""),"Poder Legislativo Provincial")</f>
        <v>Poder Legislativo Provincial</v>
      </c>
      <c r="M583" s="20" t="str">
        <f ca="1">IFERROR(__xludf.DUMMYFUNCTION("""COMPUTED_VALUE"""),"Adhiriendo la Provincia de Córdoba a las disposiciones de la Ley Nacional N° 27.621, con el objeto establecer el derecho a la educación ambiental integral como una política pública")</f>
        <v>Adhiriendo la Provincia de Córdoba a las disposiciones de la Ley Nacional N° 27.621, con el objeto establecer el derecho a la educación ambiental integral como una política pública</v>
      </c>
      <c r="N583" s="20" t="str">
        <f ca="1">IFERROR(__xludf.DUMMYFUNCTION("""COMPUTED_VALUE"""),"NO")</f>
        <v>NO</v>
      </c>
      <c r="O583" s="20" t="str">
        <f ca="1">IFERROR(__xludf.DUMMYFUNCTION("""COMPUTED_VALUE"""),"SI")</f>
        <v>SI</v>
      </c>
      <c r="P583" s="20">
        <f ca="1">IFERROR(__xludf.DUMMYFUNCTION("""COMPUTED_VALUE"""),11)</f>
        <v>11</v>
      </c>
      <c r="Q583" s="113" t="str">
        <f ca="1">IFERROR(__xludf.DUMMYFUNCTION("""COMPUTED_VALUE"""),"https://gld.legislaturacba.gob.ar/_cdd/api/Documento/descargar?guid=50c604f2-5fb3-4674-a315-73ff8329cef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v>
      </c>
      <c r="R583" s="113" t="str">
        <f ca="1">IFERROR(__xludf.DUMMYFUNCTION("""COMPUTED_VALUE"""),"https://www.youtube.com/watch?v=h-6FPhE91gw")</f>
        <v>https://www.youtube.com/watch?v=h-6FPhE91gw</v>
      </c>
      <c r="S583" s="113" t="str">
        <f ca="1">IFERROR(__xludf.DUMMYFUNCTION("""COMPUTED_VALUE"""),"https://gld.legislaturacba.gob.ar/Publics/Actas.aspx?id=yC9GKcAmHw8=;https://gld.legislaturacba.gob.ar/Publics/Actas.aspx?id=94am0qxI6do=")</f>
        <v>https://gld.legislaturacba.gob.ar/Publics/Actas.aspx?id=yC9GKcAmHw8=;https://gld.legislaturacba.gob.ar/Publics/Actas.aspx?id=94am0qxI6do=</v>
      </c>
      <c r="T583" s="99">
        <f t="shared" ca="1" si="0"/>
        <v>0</v>
      </c>
    </row>
    <row r="584" spans="1:20">
      <c r="A584" s="20">
        <f ca="1">IFERROR(__xludf.DUMMYFUNCTION("""COMPUTED_VALUE"""),88)</f>
        <v>88</v>
      </c>
      <c r="B584" s="20">
        <f ca="1">IFERROR(__xludf.DUMMYFUNCTION("""COMPUTED_VALUE"""),2022)</f>
        <v>2022</v>
      </c>
      <c r="C584" s="20" t="str">
        <f ca="1">IFERROR(__xludf.DUMMYFUNCTION("""COMPUTED_VALUE"""),"SEMIPRESENCIAL")</f>
        <v>SEMIPRESENCIAL</v>
      </c>
      <c r="D584" s="106">
        <f ca="1">IFERROR(__xludf.DUMMYFUNCTION("""COMPUTED_VALUE"""),44726)</f>
        <v>44726</v>
      </c>
      <c r="E584" s="20" t="str">
        <f ca="1">IFERROR(__xludf.DUMMYFUNCTION("""COMPUTED_VALUE"""),"NO")</f>
        <v>NO</v>
      </c>
      <c r="F584" s="20" t="str">
        <f ca="1">IFERROR(__xludf.DUMMYFUNCTION("""COMPUTED_VALUE"""),"LEGISLACIÓN GENERAL")</f>
        <v>LEGISLACIÓN GENERAL</v>
      </c>
      <c r="G584" s="20">
        <f ca="1">IFERROR(__xludf.DUMMYFUNCTION("""COMPUTED_VALUE"""),1)</f>
        <v>1</v>
      </c>
      <c r="H584" s="20">
        <f ca="1">IFERROR(__xludf.DUMMYFUNCTION("""COMPUTED_VALUE"""),1)</f>
        <v>1</v>
      </c>
      <c r="I584" s="20">
        <f ca="1">IFERROR(__xludf.DUMMYFUNCTION("""COMPUTED_VALUE"""),1)</f>
        <v>1</v>
      </c>
      <c r="J584" s="20" t="str">
        <f ca="1">IFERROR(__xludf.DUMMYFUNCTION("""COMPUTED_VALUE"""),"Resolución")</f>
        <v>Resolución</v>
      </c>
      <c r="K584" s="20">
        <f ca="1">IFERROR(__xludf.DUMMYFUNCTION("""COMPUTED_VALUE"""),35136)</f>
        <v>35136</v>
      </c>
      <c r="L584" s="20" t="str">
        <f ca="1">IFERROR(__xludf.DUMMYFUNCTION("""COMPUTED_VALUE"""),"Poder Legislativo Provincial")</f>
        <v>Poder Legislativo Provincial</v>
      </c>
      <c r="M584" s="20" t="str">
        <f ca="1">IFERROR(__xludf.DUMMYFUNCTION("""COMPUTED_VALUE"""),"Solicitando al Poder Ejecutivo informe (Art. 102 C.P.) sobre diversos aspectos relacionados al Observatorio de Estudios para la Convivencia y Seguridad Ciudadana, creado por Ley N° 9235.")</f>
        <v>Solicitando al Poder Ejecutivo informe (Art. 102 C.P.) sobre diversos aspectos relacionados al Observatorio de Estudios para la Convivencia y Seguridad Ciudadana, creado por Ley N° 9235.</v>
      </c>
      <c r="N584" s="20" t="str">
        <f ca="1">IFERROR(__xludf.DUMMYFUNCTION("""COMPUTED_VALUE"""),"NO")</f>
        <v>NO</v>
      </c>
      <c r="O584" s="20" t="str">
        <f ca="1">IFERROR(__xludf.DUMMYFUNCTION("""COMPUTED_VALUE"""),"SI")</f>
        <v>SI</v>
      </c>
      <c r="P584" s="20">
        <f ca="1">IFERROR(__xludf.DUMMYFUNCTION("""COMPUTED_VALUE"""),6)</f>
        <v>6</v>
      </c>
      <c r="Q584" s="113" t="str">
        <f ca="1">IFERROR(__xludf.DUMMYFUNCTION("""COMPUTED_VALUE"""),"https://gld.legislaturacba.gob.ar/_cdd/api/Documento/descargar?guid=3e828222-6069-497b-af4d-f8fb8d191ee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v>
      </c>
      <c r="R584" s="113" t="str">
        <f ca="1">IFERROR(__xludf.DUMMYFUNCTION("""COMPUTED_VALUE"""),"https://www.youtube.com/watch?v=EBQtuP4u7Kg")</f>
        <v>https://www.youtube.com/watch?v=EBQtuP4u7Kg</v>
      </c>
      <c r="S584" s="113" t="str">
        <f ca="1">IFERROR(__xludf.DUMMYFUNCTION("""COMPUTED_VALUE"""),"https://gld.legislaturacba.gob.ar/Publics/Actas.aspx?id=trI671cQnas=")</f>
        <v>https://gld.legislaturacba.gob.ar/Publics/Actas.aspx?id=trI671cQnas=</v>
      </c>
      <c r="T584" s="99">
        <f t="shared" ca="1" si="0"/>
        <v>0</v>
      </c>
    </row>
    <row r="585" spans="1:20">
      <c r="A585" s="20">
        <f ca="1">IFERROR(__xludf.DUMMYFUNCTION("""COMPUTED_VALUE"""),89)</f>
        <v>89</v>
      </c>
      <c r="B585" s="20">
        <f ca="1">IFERROR(__xludf.DUMMYFUNCTION("""COMPUTED_VALUE"""),2022)</f>
        <v>2022</v>
      </c>
      <c r="C585" s="20" t="str">
        <f ca="1">IFERROR(__xludf.DUMMYFUNCTION("""COMPUTED_VALUE"""),"SEMIPRESENCIAL")</f>
        <v>SEMIPRESENCIAL</v>
      </c>
      <c r="D585" s="106">
        <f ca="1">IFERROR(__xludf.DUMMYFUNCTION("""COMPUTED_VALUE"""),44726)</f>
        <v>44726</v>
      </c>
      <c r="E585" s="20" t="str">
        <f ca="1">IFERROR(__xludf.DUMMYFUNCTION("""COMPUTED_VALUE"""),"SI")</f>
        <v>SI</v>
      </c>
      <c r="F585" s="20" t="str">
        <f ca="1">IFERROR(__xludf.DUMMYFUNCTION("""COMPUTED_VALUE"""),"SALUD HUMANA;PREVENCIÓN, TRATAMIENTO Y CONTROL DE LAS ADICCIONES")</f>
        <v>SALUD HUMANA;PREVENCIÓN, TRATAMIENTO Y CONTROL DE LAS ADICCIONES</v>
      </c>
      <c r="G585" s="20">
        <f ca="1">IFERROR(__xludf.DUMMYFUNCTION("""COMPUTED_VALUE"""),2)</f>
        <v>2</v>
      </c>
      <c r="H585" s="20">
        <f ca="1">IFERROR(__xludf.DUMMYFUNCTION("""COMPUTED_VALUE"""),3)</f>
        <v>3</v>
      </c>
      <c r="I585" s="20">
        <f ca="1">IFERROR(__xludf.DUMMYFUNCTION("""COMPUTED_VALUE"""),1)</f>
        <v>1</v>
      </c>
      <c r="J585" s="20" t="str">
        <f ca="1">IFERROR(__xludf.DUMMYFUNCTION("""COMPUTED_VALUE"""),"Resolución")</f>
        <v>Resolución</v>
      </c>
      <c r="K585" s="20">
        <f ca="1">IFERROR(__xludf.DUMMYFUNCTION("""COMPUTED_VALUE"""),34722)</f>
        <v>34722</v>
      </c>
      <c r="L585" s="20" t="str">
        <f ca="1">IFERROR(__xludf.DUMMYFUNCTION("""COMPUTED_VALUE"""),"Poder Legislativo Provincial")</f>
        <v>Poder Legislativo Provincial</v>
      </c>
      <c r="M585" s="20" t="str">
        <f ca="1">IFERROR(__xludf.DUMMYFUNCTION("""COMPUTED_VALUE"""),"Solicitando al Poder Ejecutivo informe (Art. 102 C.P.) sobre el financiamiento y funcionamiento del Programa 690-Contención y Protección de Víctimas del Narcotráfico, y brinde detalle estadístico de víctimas del narcotráfico desde 2016 a 2021")</f>
        <v>Solicitando al Poder Ejecutivo informe (Art. 102 C.P.) sobre el financiamiento y funcionamiento del Programa 690-Contención y Protección de Víctimas del Narcotráfico, y brinde detalle estadístico de víctimas del narcotráfico desde 2016 a 2021</v>
      </c>
      <c r="N585" s="20" t="str">
        <f ca="1">IFERROR(__xludf.DUMMYFUNCTION("""COMPUTED_VALUE"""),"NO")</f>
        <v>NO</v>
      </c>
      <c r="O585" s="20" t="str">
        <f ca="1">IFERROR(__xludf.DUMMYFUNCTION("""COMPUTED_VALUE"""),"SI")</f>
        <v>SI</v>
      </c>
      <c r="P585" s="20">
        <f ca="1">IFERROR(__xludf.DUMMYFUNCTION("""COMPUTED_VALUE"""),6)</f>
        <v>6</v>
      </c>
      <c r="Q585" s="113" t="str">
        <f ca="1">IFERROR(__xludf.DUMMYFUNCTION("""COMPUTED_VALUE"""),"https://gld.legislaturacba.gob.ar/_cdd/api/Documento/descargar?guid=36c2d3dc-d8c6-416b-9837-590b0ee22ac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v>
      </c>
      <c r="R585" s="113" t="str">
        <f ca="1">IFERROR(__xludf.DUMMYFUNCTION("""COMPUTED_VALUE"""),"https://www.youtube.com/watch?v=BPEak9i5Fzk")</f>
        <v>https://www.youtube.com/watch?v=BPEak9i5Fzk</v>
      </c>
      <c r="S585" s="113" t="str">
        <f ca="1">IFERROR(__xludf.DUMMYFUNCTION("""COMPUTED_VALUE"""),"https://gld.legislaturacba.gob.ar/Publics/Actas.aspx?id=pvnSyvW2C5s=;https://gld.legislaturacba.gob.ar/Publics/Actas.aspx?id=NmH8aTbQniA=")</f>
        <v>https://gld.legislaturacba.gob.ar/Publics/Actas.aspx?id=pvnSyvW2C5s=;https://gld.legislaturacba.gob.ar/Publics/Actas.aspx?id=NmH8aTbQniA=</v>
      </c>
      <c r="T585" s="99">
        <f t="shared" ca="1" si="0"/>
        <v>0</v>
      </c>
    </row>
    <row r="586" spans="1:20">
      <c r="A586" s="20">
        <f ca="1">IFERROR(__xludf.DUMMYFUNCTION("""COMPUTED_VALUE"""),90)</f>
        <v>90</v>
      </c>
      <c r="B586" s="20">
        <f ca="1">IFERROR(__xludf.DUMMYFUNCTION("""COMPUTED_VALUE"""),2022)</f>
        <v>2022</v>
      </c>
      <c r="C586" s="20" t="str">
        <f ca="1">IFERROR(__xludf.DUMMYFUNCTION("""COMPUTED_VALUE"""),"VIRTUAL")</f>
        <v>VIRTUAL</v>
      </c>
      <c r="D586" s="106">
        <f ca="1">IFERROR(__xludf.DUMMYFUNCTION("""COMPUTED_VALUE"""),44727)</f>
        <v>44727</v>
      </c>
      <c r="E586" s="20" t="str">
        <f ca="1">IFERROR(__xludf.DUMMYFUNCTION("""COMPUTED_VALUE"""),"NO")</f>
        <v>NO</v>
      </c>
      <c r="F586" s="20" t="str">
        <f ca="1">IFERROR(__xludf.DUMMYFUNCTION("""COMPUTED_VALUE"""),"LEGISLACIÓN GENERAL")</f>
        <v>LEGISLACIÓN GENERAL</v>
      </c>
      <c r="G586" s="20">
        <f ca="1">IFERROR(__xludf.DUMMYFUNCTION("""COMPUTED_VALUE"""),1)</f>
        <v>1</v>
      </c>
      <c r="H586" s="20">
        <f ca="1">IFERROR(__xludf.DUMMYFUNCTION("""COMPUTED_VALUE"""),1)</f>
        <v>1</v>
      </c>
      <c r="I586" s="20">
        <f ca="1">IFERROR(__xludf.DUMMYFUNCTION("""COMPUTED_VALUE"""),1)</f>
        <v>1</v>
      </c>
      <c r="J586" s="20" t="str">
        <f ca="1">IFERROR(__xludf.DUMMYFUNCTION("""COMPUTED_VALUE"""),"Ley")</f>
        <v>Ley</v>
      </c>
      <c r="K586" s="20">
        <f ca="1">IFERROR(__xludf.DUMMYFUNCTION("""COMPUTED_VALUE"""),31520)</f>
        <v>31520</v>
      </c>
      <c r="L586" s="20" t="str">
        <f ca="1">IFERROR(__xludf.DUMMYFUNCTION("""COMPUTED_VALUE"""),"Poder Legislativo Provincial")</f>
        <v>Poder Legislativo Provincial</v>
      </c>
      <c r="M586" s="20" t="str">
        <f ca="1">IFERROR(__xludf.DUMMYFUNCTION("""COMPUTED_VALUE"""),"Proporcionando un marco legal a la actividad profesional de las y los instrumentadores quirúrgicos de la provincia.")</f>
        <v>Proporcionando un marco legal a la actividad profesional de las y los instrumentadores quirúrgicos de la provincia.</v>
      </c>
      <c r="N586" s="20" t="str">
        <f ca="1">IFERROR(__xludf.DUMMYFUNCTION("""COMPUTED_VALUE"""),"NO")</f>
        <v>NO</v>
      </c>
      <c r="O586" s="20" t="str">
        <f ca="1">IFERROR(__xludf.DUMMYFUNCTION("""COMPUTED_VALUE"""),"NO")</f>
        <v>NO</v>
      </c>
      <c r="P586" s="20">
        <f ca="1">IFERROR(__xludf.DUMMYFUNCTION("""COMPUTED_VALUE"""),0)</f>
        <v>0</v>
      </c>
      <c r="Q586" s="113" t="str">
        <f ca="1">IFERROR(__xludf.DUMMYFUNCTION("""COMPUTED_VALUE"""),"https://gld.legislaturacba.gob.ar/_cdd/api/Documento/descargar?guid=16772370-7c70-4c3f-8905-562a7cc4b94d&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v>
      </c>
      <c r="R586" s="113" t="str">
        <f ca="1">IFERROR(__xludf.DUMMYFUNCTION("""COMPUTED_VALUE"""),"https://www.youtube.com/watch?v=zzYfgWDW_gk")</f>
        <v>https://www.youtube.com/watch?v=zzYfgWDW_gk</v>
      </c>
      <c r="S586" s="113" t="str">
        <f ca="1">IFERROR(__xludf.DUMMYFUNCTION("""COMPUTED_VALUE"""),"https://gld.legislaturacba.gob.ar/Publics/Actas.aspx?id=Htz3QPkDNVg=")</f>
        <v>https://gld.legislaturacba.gob.ar/Publics/Actas.aspx?id=Htz3QPkDNVg=</v>
      </c>
      <c r="T586" s="99">
        <f t="shared" ca="1" si="0"/>
        <v>0</v>
      </c>
    </row>
    <row r="587" spans="1:20">
      <c r="A587" s="20">
        <f ca="1">IFERROR(__xludf.DUMMYFUNCTION("""COMPUTED_VALUE"""),91)</f>
        <v>91</v>
      </c>
      <c r="B587" s="20">
        <f ca="1">IFERROR(__xludf.DUMMYFUNCTION("""COMPUTED_VALUE"""),2022)</f>
        <v>2022</v>
      </c>
      <c r="C587" s="20" t="str">
        <f ca="1">IFERROR(__xludf.DUMMYFUNCTION("""COMPUTED_VALUE"""),"VIRTUAL")</f>
        <v>VIRTUAL</v>
      </c>
      <c r="D587" s="106">
        <f ca="1">IFERROR(__xludf.DUMMYFUNCTION("""COMPUTED_VALUE"""),44728)</f>
        <v>44728</v>
      </c>
      <c r="E587" s="20" t="str">
        <f ca="1">IFERROR(__xludf.DUMMYFUNCTION("""COMPUTED_VALUE"""),"NO")</f>
        <v>NO</v>
      </c>
      <c r="F587" s="20" t="str">
        <f ca="1">IFERROR(__xludf.DUMMYFUNCTION("""COMPUTED_VALUE"""),"ASUNTOS CONSTITUCIONALES, JUSTICIA Y ACUERDOS")</f>
        <v>ASUNTOS CONSTITUCIONALES, JUSTICIA Y ACUERDOS</v>
      </c>
      <c r="G587" s="20">
        <f ca="1">IFERROR(__xludf.DUMMYFUNCTION("""COMPUTED_VALUE"""),1)</f>
        <v>1</v>
      </c>
      <c r="H587" s="20">
        <f ca="1">IFERROR(__xludf.DUMMYFUNCTION("""COMPUTED_VALUE"""),2)</f>
        <v>2</v>
      </c>
      <c r="I587" s="20">
        <f ca="1">IFERROR(__xludf.DUMMYFUNCTION("""COMPUTED_VALUE"""),1)</f>
        <v>1</v>
      </c>
      <c r="J587" s="20" t="str">
        <f ca="1">IFERROR(__xludf.DUMMYFUNCTION("""COMPUTED_VALUE"""),"Ley")</f>
        <v>Ley</v>
      </c>
      <c r="K587" s="20">
        <f ca="1">IFERROR(__xludf.DUMMYFUNCTION("""COMPUTED_VALUE"""),32554)</f>
        <v>32554</v>
      </c>
      <c r="L587" s="20" t="str">
        <f ca="1">IFERROR(__xludf.DUMMYFUNCTION("""COMPUTED_VALUE"""),"Poder Legislativo Provincial")</f>
        <v>Poder Legislativo Provincial</v>
      </c>
      <c r="M587" s="20" t="str">
        <f ca="1">IFERROR(__xludf.DUMMYFUNCTION("""COMPUTED_VALUE"""),"Modificando e incorporando artículos a la Ley N° 8465, Código Procesal Civil y Comercial, referidos a los plazos procesales.")</f>
        <v>Modificando e incorporando artículos a la Ley N° 8465, Código Procesal Civil y Comercial, referidos a los plazos procesales.</v>
      </c>
      <c r="N587" s="20" t="str">
        <f ca="1">IFERROR(__xludf.DUMMYFUNCTION("""COMPUTED_VALUE"""),"NO")</f>
        <v>NO</v>
      </c>
      <c r="O587" s="20" t="str">
        <f ca="1">IFERROR(__xludf.DUMMYFUNCTION("""COMPUTED_VALUE"""),"SI")</f>
        <v>SI</v>
      </c>
      <c r="P587" s="20">
        <f ca="1">IFERROR(__xludf.DUMMYFUNCTION("""COMPUTED_VALUE"""),3)</f>
        <v>3</v>
      </c>
      <c r="Q587" s="113" t="str">
        <f ca="1">IFERROR(__xludf.DUMMYFUNCTION("""COMPUTED_VALUE"""),"https://gld.legislaturacba.gob.ar/_cdd/api/Documento/descargar?guid=4cda767a-9cea-4d3a-84cd-21b2e19d659b&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v>
      </c>
      <c r="R587" s="113" t="str">
        <f ca="1">IFERROR(__xludf.DUMMYFUNCTION("""COMPUTED_VALUE"""),"https://www.youtube.com/watch?v=gsJ0xDA4uNA")</f>
        <v>https://www.youtube.com/watch?v=gsJ0xDA4uNA</v>
      </c>
      <c r="S587" s="113" t="str">
        <f ca="1">IFERROR(__xludf.DUMMYFUNCTION("""COMPUTED_VALUE"""),"https://gld.legislaturacba.gob.ar/Publics/Actas.aspx?id=_vC9t3fGh48=")</f>
        <v>https://gld.legislaturacba.gob.ar/Publics/Actas.aspx?id=_vC9t3fGh48=</v>
      </c>
      <c r="T587" s="99">
        <f t="shared" ca="1" si="0"/>
        <v>0</v>
      </c>
    </row>
    <row r="588" spans="1:20">
      <c r="A588" s="20">
        <f ca="1">IFERROR(__xludf.DUMMYFUNCTION("""COMPUTED_VALUE"""),92)</f>
        <v>92</v>
      </c>
      <c r="B588" s="20">
        <f ca="1">IFERROR(__xludf.DUMMYFUNCTION("""COMPUTED_VALUE"""),2022)</f>
        <v>2022</v>
      </c>
      <c r="C588" s="20" t="str">
        <f ca="1">IFERROR(__xludf.DUMMYFUNCTION("""COMPUTED_VALUE"""),"VIRTUAL")</f>
        <v>VIRTUAL</v>
      </c>
      <c r="D588" s="106">
        <f ca="1">IFERROR(__xludf.DUMMYFUNCTION("""COMPUTED_VALUE"""),44733)</f>
        <v>44733</v>
      </c>
      <c r="E588" s="20" t="str">
        <f ca="1">IFERROR(__xludf.DUMMYFUNCTION("""COMPUTED_VALUE"""),"NO")</f>
        <v>NO</v>
      </c>
      <c r="F588" s="20" t="str">
        <f ca="1">IFERROR(__xludf.DUMMYFUNCTION("""COMPUTED_VALUE"""),"ASUNTOS CONSTITUCIONALES, JUSTICIA Y ACUERDOS")</f>
        <v>ASUNTOS CONSTITUCIONALES, JUSTICIA Y ACUERDOS</v>
      </c>
      <c r="G588" s="20">
        <f ca="1">IFERROR(__xludf.DUMMYFUNCTION("""COMPUTED_VALUE"""),1)</f>
        <v>1</v>
      </c>
      <c r="H588" s="20">
        <f ca="1">IFERROR(__xludf.DUMMYFUNCTION("""COMPUTED_VALUE"""),3)</f>
        <v>3</v>
      </c>
      <c r="I588" s="20">
        <f ca="1">IFERROR(__xludf.DUMMYFUNCTION("""COMPUTED_VALUE"""),1)</f>
        <v>1</v>
      </c>
      <c r="J588" s="20" t="str">
        <f ca="1">IFERROR(__xludf.DUMMYFUNCTION("""COMPUTED_VALUE"""),"Pliego")</f>
        <v>Pliego</v>
      </c>
      <c r="K588" s="20">
        <f ca="1">IFERROR(__xludf.DUMMYFUNCTION("""COMPUTED_VALUE"""),35237)</f>
        <v>35237</v>
      </c>
      <c r="L588" s="20" t="str">
        <f ca="1">IFERROR(__xludf.DUMMYFUNCTION("""COMPUTED_VALUE"""),"Poder Ejecutivo Provincial")</f>
        <v>Poder Ejecutivo Provincial</v>
      </c>
      <c r="M588" s="20" t="str">
        <f ca="1">IFERROR(__xludf.DUMMYFUNCTION("""COMPUTED_VALUE"""),"Solicitando acuerdo para designar al abogado Marcelo Daniel Sicardi, como Fiscal de Cámara en lo Criminal y Correccional en la Fiscalía de Cámara en lo Criminal y Correccional de 11a Nominación perteneciente a la Primera Circunscripción Judicial con asien"&amp;"to en la ciudad de Córdoba.")</f>
        <v>Solicitando acuerdo para designar al abogado Marcelo Daniel Sicardi, como Fiscal de Cámara en lo Criminal y Correccional en la Fiscalía de Cámara en lo Criminal y Correccional de 11a Nominación perteneciente a la Primera Circunscripción Judicial con asiento en la ciudad de Córdoba.</v>
      </c>
      <c r="N588" s="20" t="str">
        <f ca="1">IFERROR(__xludf.DUMMYFUNCTION("""COMPUTED_VALUE"""),"SI")</f>
        <v>SI</v>
      </c>
      <c r="O588" s="20" t="str">
        <f ca="1">IFERROR(__xludf.DUMMYFUNCTION("""COMPUTED_VALUE"""),"NO")</f>
        <v>NO</v>
      </c>
      <c r="P588" s="20">
        <f ca="1">IFERROR(__xludf.DUMMYFUNCTION("""COMPUTED_VALUE"""),0)</f>
        <v>0</v>
      </c>
      <c r="Q588" s="113" t="str">
        <f ca="1">IFERROR(__xludf.DUMMYFUNCTION("""COMPUTED_VALUE"""),"https://gld.legislaturacba.gob.ar/_cdd/api/Documento/descargar?guid=a9ec7683-7dca-4309-8341-f3759e85a458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v>
      </c>
      <c r="R588" s="113" t="str">
        <f ca="1">IFERROR(__xludf.DUMMYFUNCTION("""COMPUTED_VALUE"""),"https://www.youtube.com/watch?v=xMwdanqJFOU")</f>
        <v>https://www.youtube.com/watch?v=xMwdanqJFOU</v>
      </c>
      <c r="S588" s="113" t="str">
        <f ca="1">IFERROR(__xludf.DUMMYFUNCTION("""COMPUTED_VALUE"""),"https://gld.legislaturacba.gob.ar/Publics/Actas.aspx?id=v15rWg-y8n8=")</f>
        <v>https://gld.legislaturacba.gob.ar/Publics/Actas.aspx?id=v15rWg-y8n8=</v>
      </c>
      <c r="T588" s="99">
        <f t="shared" ca="1" si="0"/>
        <v>0</v>
      </c>
    </row>
    <row r="589" spans="1:20">
      <c r="A589" s="20">
        <f ca="1">IFERROR(__xludf.DUMMYFUNCTION("""COMPUTED_VALUE"""),93)</f>
        <v>93</v>
      </c>
      <c r="B589" s="20">
        <f ca="1">IFERROR(__xludf.DUMMYFUNCTION("""COMPUTED_VALUE"""),2022)</f>
        <v>2022</v>
      </c>
      <c r="C589" s="20" t="str">
        <f ca="1">IFERROR(__xludf.DUMMYFUNCTION("""COMPUTED_VALUE"""),"VIRTUAL")</f>
        <v>VIRTUAL</v>
      </c>
      <c r="D589" s="106">
        <f ca="1">IFERROR(__xludf.DUMMYFUNCTION("""COMPUTED_VALUE"""),44733)</f>
        <v>44733</v>
      </c>
      <c r="E589" s="20" t="str">
        <f ca="1">IFERROR(__xludf.DUMMYFUNCTION("""COMPUTED_VALUE"""),"SI")</f>
        <v>SI</v>
      </c>
      <c r="F589" s="20" t="str">
        <f ca="1">IFERROR(__xludf.DUMMYFUNCTION("""COMPUTED_VALUE"""),"EDUCACIÓN, CULTURA, CIENCIA, TECNOLOGÍA E INFORMÁTICA;AMBIENTE;EQUIDAD Y LUCHA CONTRA LA VIOLENCIA DE GÉNERO")</f>
        <v>EDUCACIÓN, CULTURA, CIENCIA, TECNOLOGÍA E INFORMÁTICA;AMBIENTE;EQUIDAD Y LUCHA CONTRA LA VIOLENCIA DE GÉNERO</v>
      </c>
      <c r="G589" s="20">
        <f ca="1">IFERROR(__xludf.DUMMYFUNCTION("""COMPUTED_VALUE"""),3)</f>
        <v>3</v>
      </c>
      <c r="H589" s="20">
        <f ca="1">IFERROR(__xludf.DUMMYFUNCTION("""COMPUTED_VALUE"""),3)</f>
        <v>3</v>
      </c>
      <c r="I589" s="20">
        <f ca="1">IFERROR(__xludf.DUMMYFUNCTION("""COMPUTED_VALUE"""),1)</f>
        <v>1</v>
      </c>
      <c r="J589" s="20" t="str">
        <f ca="1">IFERROR(__xludf.DUMMYFUNCTION("""COMPUTED_VALUE"""),"Ley")</f>
        <v>Ley</v>
      </c>
      <c r="K589" s="20">
        <f ca="1">IFERROR(__xludf.DUMMYFUNCTION("""COMPUTED_VALUE"""),35138)</f>
        <v>35138</v>
      </c>
      <c r="L589" s="20" t="str">
        <f ca="1">IFERROR(__xludf.DUMMYFUNCTION("""COMPUTED_VALUE"""),"Poder Legislativo Provincial")</f>
        <v>Poder Legislativo Provincial</v>
      </c>
      <c r="M589" s="20" t="str">
        <f ca="1">IFERROR(__xludf.DUMMYFUNCTION("""COMPUTED_VALUE"""),"Declarando a la ciudad de Córdoba como Capital Provincial del Arte Urbano.")</f>
        <v>Declarando a la ciudad de Córdoba como Capital Provincial del Arte Urbano.</v>
      </c>
      <c r="N589" s="20" t="str">
        <f ca="1">IFERROR(__xludf.DUMMYFUNCTION("""COMPUTED_VALUE"""),"NO")</f>
        <v>NO</v>
      </c>
      <c r="O589" s="20" t="str">
        <f ca="1">IFERROR(__xludf.DUMMYFUNCTION("""COMPUTED_VALUE"""),"SI")</f>
        <v>SI</v>
      </c>
      <c r="P589" s="20">
        <f ca="1">IFERROR(__xludf.DUMMYFUNCTION("""COMPUTED_VALUE"""),6)</f>
        <v>6</v>
      </c>
      <c r="Q589" s="113" t="str">
        <f ca="1">IFERROR(__xludf.DUMMYFUNCTION("""COMPUTED_VALUE"""),"https://gld.legislaturacba.gob.ar/_cdd/api/Documento/descargar?guid=62c5ff13-379d-4034-9f3b-d05e06ccc3d5&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v>
      </c>
      <c r="R589" s="113" t="str">
        <f ca="1">IFERROR(__xludf.DUMMYFUNCTION("""COMPUTED_VALUE"""),"https://www.youtube.com/watch?v=dO5TGlOPHeo")</f>
        <v>https://www.youtube.com/watch?v=dO5TGlOPHeo</v>
      </c>
      <c r="S589" s="113" t="str">
        <f ca="1">IFERROR(__xludf.DUMMYFUNCTION("""COMPUTED_VALUE"""),"https://gld.legislaturacba.gob.ar/Publics/Actas.aspx?id=VCjqYgypYRk=;https://gld.legislaturacba.gob.ar/Publics/Actas.aspx?id=4BbWdexOxig=;https://gld.legislaturacba.gob.ar/Publics/Actas.aspx?id=fqBGxMhbI_M=")</f>
        <v>https://gld.legislaturacba.gob.ar/Publics/Actas.aspx?id=VCjqYgypYRk=;https://gld.legislaturacba.gob.ar/Publics/Actas.aspx?id=4BbWdexOxig=;https://gld.legislaturacba.gob.ar/Publics/Actas.aspx?id=fqBGxMhbI_M=</v>
      </c>
      <c r="T589" s="99">
        <f t="shared" ca="1" si="0"/>
        <v>0</v>
      </c>
    </row>
    <row r="590" spans="1:20">
      <c r="A590" s="20">
        <f ca="1">IFERROR(__xludf.DUMMYFUNCTION("""COMPUTED_VALUE"""),94)</f>
        <v>94</v>
      </c>
      <c r="B590" s="20">
        <f ca="1">IFERROR(__xludf.DUMMYFUNCTION("""COMPUTED_VALUE"""),2022)</f>
        <v>2022</v>
      </c>
      <c r="C590" s="20" t="str">
        <f ca="1">IFERROR(__xludf.DUMMYFUNCTION("""COMPUTED_VALUE"""),"VIRTUAL")</f>
        <v>VIRTUAL</v>
      </c>
      <c r="D590" s="106">
        <f ca="1">IFERROR(__xludf.DUMMYFUNCTION("""COMPUTED_VALUE"""),44734)</f>
        <v>44734</v>
      </c>
      <c r="E590" s="20" t="str">
        <f ca="1">IFERROR(__xludf.DUMMYFUNCTION("""COMPUTED_VALUE"""),"NO")</f>
        <v>NO</v>
      </c>
      <c r="F590" s="20" t="str">
        <f ca="1">IFERROR(__xludf.DUMMYFUNCTION("""COMPUTED_VALUE"""),"LEGISLACIÓN GENERAL")</f>
        <v>LEGISLACIÓN GENERAL</v>
      </c>
      <c r="G590" s="20">
        <f ca="1">IFERROR(__xludf.DUMMYFUNCTION("""COMPUTED_VALUE"""),1)</f>
        <v>1</v>
      </c>
      <c r="H590" s="20">
        <f ca="1">IFERROR(__xludf.DUMMYFUNCTION("""COMPUTED_VALUE"""),2)</f>
        <v>2</v>
      </c>
      <c r="I590" s="20">
        <f ca="1">IFERROR(__xludf.DUMMYFUNCTION("""COMPUTED_VALUE"""),1)</f>
        <v>1</v>
      </c>
      <c r="J590" s="20" t="str">
        <f ca="1">IFERROR(__xludf.DUMMYFUNCTION("""COMPUTED_VALUE"""),"Ley")</f>
        <v>Ley</v>
      </c>
      <c r="K590" s="20">
        <f ca="1">IFERROR(__xludf.DUMMYFUNCTION("""COMPUTED_VALUE"""),34989)</f>
        <v>34989</v>
      </c>
      <c r="L590" s="20" t="str">
        <f ca="1">IFERROR(__xludf.DUMMYFUNCTION("""COMPUTED_VALUE"""),"Poder Ejecutivo Provincial")</f>
        <v>Poder Ejecutivo Provincial</v>
      </c>
      <c r="M590" s="20" t="str">
        <f ca="1">IFERROR(__xludf.DUMMYFUNCTION("""COMPUTED_VALUE"""),"Aprobando el Decreto N° 229/22 por el que se convalidó lo actuado por la Policía de la Provincia y se aprobó el ""Acta Acuerdo de Adhesión al Plan de Emergencia Aeroportuaria para la Cooperación en Casos de Emergencia"", celebrado entre la Policía de Córd"&amp;"oba y la Administración Nacional de Aviación Civil.")</f>
        <v>Aprobando el Decreto N° 229/22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v>
      </c>
      <c r="N590" s="20" t="str">
        <f ca="1">IFERROR(__xludf.DUMMYFUNCTION("""COMPUTED_VALUE"""),"SI")</f>
        <v>SI</v>
      </c>
      <c r="O590" s="20" t="str">
        <f ca="1">IFERROR(__xludf.DUMMYFUNCTION("""COMPUTED_VALUE"""),"NO")</f>
        <v>NO</v>
      </c>
      <c r="P590" s="20">
        <f ca="1">IFERROR(__xludf.DUMMYFUNCTION("""COMPUTED_VALUE"""),0)</f>
        <v>0</v>
      </c>
      <c r="Q590" s="113" t="str">
        <f ca="1">IFERROR(__xludf.DUMMYFUNCTION("""COMPUTED_VALUE"""),"https://gld.legislaturacba.gob.ar/_cdd/api/Documento/descargar?guid=2a33e666-4292-489f-bdcb-62c318940e1c&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v>
      </c>
      <c r="R590" s="113" t="str">
        <f ca="1">IFERROR(__xludf.DUMMYFUNCTION("""COMPUTED_VALUE"""),"https://www.youtube.com/watch?v=EcGH_lvrRTs")</f>
        <v>https://www.youtube.com/watch?v=EcGH_lvrRTs</v>
      </c>
      <c r="S590" s="113" t="str">
        <f ca="1">IFERROR(__xludf.DUMMYFUNCTION("""COMPUTED_VALUE"""),"https://gld.legislaturacba.gob.ar/Publics/Actas.aspx?id=qlCLhHoo-ps=")</f>
        <v>https://gld.legislaturacba.gob.ar/Publics/Actas.aspx?id=qlCLhHoo-ps=</v>
      </c>
      <c r="T590" s="99">
        <f t="shared" ca="1" si="0"/>
        <v>0</v>
      </c>
    </row>
    <row r="591" spans="1:20">
      <c r="A591" s="20">
        <f ca="1">IFERROR(__xludf.DUMMYFUNCTION("""COMPUTED_VALUE"""),95)</f>
        <v>95</v>
      </c>
      <c r="B591" s="20">
        <f ca="1">IFERROR(__xludf.DUMMYFUNCTION("""COMPUTED_VALUE"""),2022)</f>
        <v>2022</v>
      </c>
      <c r="C591" s="20" t="str">
        <f ca="1">IFERROR(__xludf.DUMMYFUNCTION("""COMPUTED_VALUE"""),"VIRTUAL")</f>
        <v>VIRTUAL</v>
      </c>
      <c r="D591" s="106">
        <f ca="1">IFERROR(__xludf.DUMMYFUNCTION("""COMPUTED_VALUE"""),44735)</f>
        <v>44735</v>
      </c>
      <c r="E591" s="20" t="str">
        <f ca="1">IFERROR(__xludf.DUMMYFUNCTION("""COMPUTED_VALUE"""),"NO")</f>
        <v>NO</v>
      </c>
      <c r="F591" s="20" t="str">
        <f ca="1">IFERROR(__xludf.DUMMYFUNCTION("""COMPUTED_VALUE"""),"ECONOMÍA, PRESUPUESTO, GESTIÓN PÚBLICA E INNOVACIÓN")</f>
        <v>ECONOMÍA, PRESUPUESTO, GESTIÓN PÚBLICA E INNOVACIÓN</v>
      </c>
      <c r="G591" s="20">
        <f ca="1">IFERROR(__xludf.DUMMYFUNCTION("""COMPUTED_VALUE"""),1)</f>
        <v>1</v>
      </c>
      <c r="H591" s="20">
        <f ca="1">IFERROR(__xludf.DUMMYFUNCTION("""COMPUTED_VALUE"""),1)</f>
        <v>1</v>
      </c>
      <c r="I591" s="20">
        <f ca="1">IFERROR(__xludf.DUMMYFUNCTION("""COMPUTED_VALUE"""),1)</f>
        <v>1</v>
      </c>
      <c r="J591" s="20" t="str">
        <f ca="1">IFERROR(__xludf.DUMMYFUNCTION("""COMPUTED_VALUE"""),"Nota")</f>
        <v>Nota</v>
      </c>
      <c r="K591" s="20">
        <f ca="1">IFERROR(__xludf.DUMMYFUNCTION("""COMPUTED_VALUE"""),34751)</f>
        <v>34751</v>
      </c>
      <c r="L591" s="20" t="str">
        <f ca="1">IFERROR(__xludf.DUMMYFUNCTION("""COMPUTED_VALUE"""),"Poder Legislativo Provincial")</f>
        <v>Poder Legislativo Provincial</v>
      </c>
      <c r="M591" s="20" t="str">
        <f ca="1">IFERROR(__xludf.DUMMYFUNCTION("""COMPUTED_VALUE"""),"Remitiendo la Cuenta de Inversión correspondiente al Ejercicio Financiero 2021, conforme lo establecido por el Art. 144 inc. 12 de la Constitución provincial.")</f>
        <v>Remitiendo la Cuenta de Inversión correspondiente al Ejercicio Financiero 2021, conforme lo establecido por el Art. 144 inc. 12 de la Constitución provincial.</v>
      </c>
      <c r="N591" s="20" t="str">
        <f ca="1">IFERROR(__xludf.DUMMYFUNCTION("""COMPUTED_VALUE"""),"NA")</f>
        <v>NA</v>
      </c>
      <c r="O591" s="20" t="str">
        <f ca="1">IFERROR(__xludf.DUMMYFUNCTION("""COMPUTED_VALUE"""),"NO")</f>
        <v>NO</v>
      </c>
      <c r="P591" s="20">
        <f ca="1">IFERROR(__xludf.DUMMYFUNCTION("""COMPUTED_VALUE"""),0)</f>
        <v>0</v>
      </c>
      <c r="Q591" s="113" t="str">
        <f ca="1">IFERROR(__xludf.DUMMYFUNCTION("""COMPUTED_VALUE"""),"https://gld.legislaturacba.gob.ar/_cdd/api/Documento/descargar?guid=ecf18b24-bf1c-45ef-853f-6003a33a77a8&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v>
      </c>
      <c r="R591" s="113" t="str">
        <f ca="1">IFERROR(__xludf.DUMMYFUNCTION("""COMPUTED_VALUE"""),"https://www.youtube.com/watch?v=u9nlXUT_WIA")</f>
        <v>https://www.youtube.com/watch?v=u9nlXUT_WIA</v>
      </c>
      <c r="S591" s="113" t="str">
        <f ca="1">IFERROR(__xludf.DUMMYFUNCTION("""COMPUTED_VALUE"""),"https://gld.legislaturacba.gob.ar/Publics/Actas.aspx?id=1T7FqK4DE0g=")</f>
        <v>https://gld.legislaturacba.gob.ar/Publics/Actas.aspx?id=1T7FqK4DE0g=</v>
      </c>
      <c r="T591" s="99">
        <f t="shared" ca="1" si="0"/>
        <v>0</v>
      </c>
    </row>
    <row r="592" spans="1:20">
      <c r="A592" s="20">
        <f ca="1">IFERROR(__xludf.DUMMYFUNCTION("""COMPUTED_VALUE"""),96)</f>
        <v>96</v>
      </c>
      <c r="B592" s="20">
        <f ca="1">IFERROR(__xludf.DUMMYFUNCTION("""COMPUTED_VALUE"""),2022)</f>
        <v>2022</v>
      </c>
      <c r="C592" s="20" t="str">
        <f ca="1">IFERROR(__xludf.DUMMYFUNCTION("""COMPUTED_VALUE"""),"VIRTUAL")</f>
        <v>VIRTUAL</v>
      </c>
      <c r="D592" s="106">
        <f ca="1">IFERROR(__xludf.DUMMYFUNCTION("""COMPUTED_VALUE"""),44735)</f>
        <v>44735</v>
      </c>
      <c r="E592" s="20" t="str">
        <f ca="1">IFERROR(__xludf.DUMMYFUNCTION("""COMPUTED_VALUE"""),"NO")</f>
        <v>NO</v>
      </c>
      <c r="F592" s="20" t="str">
        <f ca="1">IFERROR(__xludf.DUMMYFUNCTION("""COMPUTED_VALUE"""),"DERECHOS HUMANOS Y DESARROLLO SOCIAL")</f>
        <v>DERECHOS HUMANOS Y DESARROLLO SOCIAL</v>
      </c>
      <c r="G592" s="20">
        <f ca="1">IFERROR(__xludf.DUMMYFUNCTION("""COMPUTED_VALUE"""),1)</f>
        <v>1</v>
      </c>
      <c r="H592" s="20">
        <f ca="1">IFERROR(__xludf.DUMMYFUNCTION("""COMPUTED_VALUE"""),1)</f>
        <v>1</v>
      </c>
      <c r="I592" s="20">
        <f ca="1">IFERROR(__xludf.DUMMYFUNCTION("""COMPUTED_VALUE"""),1)</f>
        <v>1</v>
      </c>
      <c r="J592" s="20" t="str">
        <f ca="1">IFERROR(__xludf.DUMMYFUNCTION("""COMPUTED_VALUE"""),"Ley")</f>
        <v>Ley</v>
      </c>
      <c r="K592" s="20">
        <f ca="1">IFERROR(__xludf.DUMMYFUNCTION("""COMPUTED_VALUE"""),33289)</f>
        <v>33289</v>
      </c>
      <c r="L592" s="20" t="str">
        <f ca="1">IFERROR(__xludf.DUMMYFUNCTION("""COMPUTED_VALUE"""),"Poder Legislativo Provincial")</f>
        <v>Poder Legislativo Provincial</v>
      </c>
      <c r="M592" s="20" t="str">
        <f ca="1">IFERROR(__xludf.DUMMYFUNCTION("""COMPUTED_VALUE"""),"Creando la pensión denominada “Reparación Histórica Provincial a ex Presas y Presos Políticos, Hijas e Hijos y Exiliadas y Exiliados víctimas del terrorismo de Estado”.")</f>
        <v>Creando la pensión denominada “Reparación Histórica Provincial a ex Presas y Presos Políticos, Hijas e Hijos y Exiliadas y Exiliados víctimas del terrorismo de Estado”.</v>
      </c>
      <c r="N592" s="20" t="str">
        <f ca="1">IFERROR(__xludf.DUMMYFUNCTION("""COMPUTED_VALUE"""),"NO")</f>
        <v>NO</v>
      </c>
      <c r="O592" s="20" t="str">
        <f ca="1">IFERROR(__xludf.DUMMYFUNCTION("""COMPUTED_VALUE"""),"SI")</f>
        <v>SI</v>
      </c>
      <c r="P592" s="20">
        <f ca="1">IFERROR(__xludf.DUMMYFUNCTION("""COMPUTED_VALUE"""),1)</f>
        <v>1</v>
      </c>
      <c r="Q592" s="113" t="str">
        <f ca="1">IFERROR(__xludf.DUMMYFUNCTION("""COMPUTED_VALUE"""),"https://gld.legislaturacba.gob.ar/_cdd/api/Documento/descargar?guid=1a0a166a-0da7-45a2-b105-c77d24c58683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v>
      </c>
      <c r="R592" s="20" t="str">
        <f ca="1">IFERROR(__xludf.DUMMYFUNCTION("""COMPUTED_VALUE"""),"NA")</f>
        <v>NA</v>
      </c>
      <c r="S592" s="113" t="str">
        <f ca="1">IFERROR(__xludf.DUMMYFUNCTION("""COMPUTED_VALUE"""),"https://gld.legislaturacba.gob.ar/Publics/Actas.aspx?id=JFhoXBHPppY=")</f>
        <v>https://gld.legislaturacba.gob.ar/Publics/Actas.aspx?id=JFhoXBHPppY=</v>
      </c>
      <c r="T592" s="99">
        <f t="shared" ca="1" si="0"/>
        <v>0</v>
      </c>
    </row>
    <row r="593" spans="1:20">
      <c r="A593" s="20">
        <f ca="1">IFERROR(__xludf.DUMMYFUNCTION("""COMPUTED_VALUE"""),97)</f>
        <v>97</v>
      </c>
      <c r="B593" s="20">
        <f ca="1">IFERROR(__xludf.DUMMYFUNCTION("""COMPUTED_VALUE"""),2022)</f>
        <v>2022</v>
      </c>
      <c r="C593" s="20" t="str">
        <f ca="1">IFERROR(__xludf.DUMMYFUNCTION("""COMPUTED_VALUE"""),"VIRTUAL")</f>
        <v>VIRTUAL</v>
      </c>
      <c r="D593" s="106">
        <f ca="1">IFERROR(__xludf.DUMMYFUNCTION("""COMPUTED_VALUE"""),44735)</f>
        <v>44735</v>
      </c>
      <c r="E593" s="20" t="str">
        <f ca="1">IFERROR(__xludf.DUMMYFUNCTION("""COMPUTED_VALUE"""),"NO")</f>
        <v>NO</v>
      </c>
      <c r="F593" s="20" t="str">
        <f ca="1">IFERROR(__xludf.DUMMYFUNCTION("""COMPUTED_VALUE"""),"LEGISLACIÓN DEL TRABAJO, PREVISIÓN Y SEGURIDAD SOCIAL")</f>
        <v>LEGISLACIÓN DEL TRABAJO, PREVISIÓN Y SEGURIDAD SOCIAL</v>
      </c>
      <c r="G593" s="20">
        <f ca="1">IFERROR(__xludf.DUMMYFUNCTION("""COMPUTED_VALUE"""),1)</f>
        <v>1</v>
      </c>
      <c r="H593" s="20">
        <f ca="1">IFERROR(__xludf.DUMMYFUNCTION("""COMPUTED_VALUE"""),1)</f>
        <v>1</v>
      </c>
      <c r="I593" s="20">
        <f ca="1">IFERROR(__xludf.DUMMYFUNCTION("""COMPUTED_VALUE"""),1)</f>
        <v>1</v>
      </c>
      <c r="J593" s="20" t="str">
        <f ca="1">IFERROR(__xludf.DUMMYFUNCTION("""COMPUTED_VALUE"""),"Ley")</f>
        <v>Ley</v>
      </c>
      <c r="K593" s="20">
        <f ca="1">IFERROR(__xludf.DUMMYFUNCTION("""COMPUTED_VALUE"""),35351)</f>
        <v>35351</v>
      </c>
      <c r="L593" s="20" t="str">
        <f ca="1">IFERROR(__xludf.DUMMYFUNCTION("""COMPUTED_VALUE"""),"Poder Legislativo Provincial")</f>
        <v>Poder Legislativo Provincial</v>
      </c>
      <c r="M593" s="20" t="str">
        <f ca="1">IFERROR(__xludf.DUMMYFUNCTION("""COMPUTED_VALUE"""),"Modificando las leyes Nros. 9361, Escalafón para el Personal de la Administración Pública Provincial, y 7625, Régimen de Personal del Equipo de Salud Humana; referidos a situación de revista, cobertura de cargos y llamado a concurso para el Personal Super"&amp;"ior.")</f>
        <v>Modificando las leyes Nros. 9361, Escalafón para el Personal de la Administración Pública Provincial, y 7625, Régimen de Personal del Equipo de Salud Humana; referidos a situación de revista, cobertura de cargos y llamado a concurso para el Personal Superior.</v>
      </c>
      <c r="N593" s="20" t="str">
        <f ca="1">IFERROR(__xludf.DUMMYFUNCTION("""COMPUTED_VALUE"""),"NO")</f>
        <v>NO</v>
      </c>
      <c r="O593" s="20" t="str">
        <f ca="1">IFERROR(__xludf.DUMMYFUNCTION("""COMPUTED_VALUE"""),"NO")</f>
        <v>NO</v>
      </c>
      <c r="P593" s="20">
        <f ca="1">IFERROR(__xludf.DUMMYFUNCTION("""COMPUTED_VALUE"""),0)</f>
        <v>0</v>
      </c>
      <c r="Q593" s="113" t="str">
        <f ca="1">IFERROR(__xludf.DUMMYFUNCTION("""COMPUTED_VALUE"""),"https://gld.legislaturacba.gob.ar/_cdd/api/Documento/descargar?guid=cd2c35ea-5d1a-41d2-b345-0f2dfbd486ab&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v>
      </c>
      <c r="R593" s="113" t="str">
        <f ca="1">IFERROR(__xludf.DUMMYFUNCTION("""COMPUTED_VALUE"""),"https://www.youtube.com/watch?v=GEl__GwS0Pw")</f>
        <v>https://www.youtube.com/watch?v=GEl__GwS0Pw</v>
      </c>
      <c r="S593" s="113" t="str">
        <f ca="1">IFERROR(__xludf.DUMMYFUNCTION("""COMPUTED_VALUE"""),"https://gld.legislaturacba.gob.ar/Publics/Actas.aspx?id=mIc8xt0Z__8=")</f>
        <v>https://gld.legislaturacba.gob.ar/Publics/Actas.aspx?id=mIc8xt0Z__8=</v>
      </c>
      <c r="T593" s="99">
        <f t="shared" ca="1" si="0"/>
        <v>0</v>
      </c>
    </row>
    <row r="594" spans="1:20">
      <c r="A594" s="20">
        <f ca="1">IFERROR(__xludf.DUMMYFUNCTION("""COMPUTED_VALUE"""),98)</f>
        <v>98</v>
      </c>
      <c r="B594" s="20">
        <f ca="1">IFERROR(__xludf.DUMMYFUNCTION("""COMPUTED_VALUE"""),2022)</f>
        <v>2022</v>
      </c>
      <c r="C594" s="20" t="str">
        <f ca="1">IFERROR(__xludf.DUMMYFUNCTION("""COMPUTED_VALUE"""),"VIRTUAL")</f>
        <v>VIRTUAL</v>
      </c>
      <c r="D594" s="106">
        <f ca="1">IFERROR(__xludf.DUMMYFUNCTION("""COMPUTED_VALUE"""),44740)</f>
        <v>44740</v>
      </c>
      <c r="E594" s="20" t="str">
        <f ca="1">IFERROR(__xludf.DUMMYFUNCTION("""COMPUTED_VALUE"""),"NO")</f>
        <v>NO</v>
      </c>
      <c r="F594" s="20" t="str">
        <f ca="1">IFERROR(__xludf.DUMMYFUNCTION("""COMPUTED_VALUE"""),"LEGISLACIÓN DEL TRABAJO, PREVISIÓN Y SEGURIDAD SOCIAL")</f>
        <v>LEGISLACIÓN DEL TRABAJO, PREVISIÓN Y SEGURIDAD SOCIAL</v>
      </c>
      <c r="G594" s="20">
        <f ca="1">IFERROR(__xludf.DUMMYFUNCTION("""COMPUTED_VALUE"""),1)</f>
        <v>1</v>
      </c>
      <c r="H594" s="20">
        <f ca="1">IFERROR(__xludf.DUMMYFUNCTION("""COMPUTED_VALUE"""),1)</f>
        <v>1</v>
      </c>
      <c r="I594" s="20">
        <f ca="1">IFERROR(__xludf.DUMMYFUNCTION("""COMPUTED_VALUE"""),1)</f>
        <v>1</v>
      </c>
      <c r="J594" s="20" t="str">
        <f ca="1">IFERROR(__xludf.DUMMYFUNCTION("""COMPUTED_VALUE"""),"Ley")</f>
        <v>Ley</v>
      </c>
      <c r="K594" s="20">
        <f ca="1">IFERROR(__xludf.DUMMYFUNCTION("""COMPUTED_VALUE"""),35351)</f>
        <v>35351</v>
      </c>
      <c r="L594" s="20" t="str">
        <f ca="1">IFERROR(__xludf.DUMMYFUNCTION("""COMPUTED_VALUE"""),"Poder Legislativo Provincial")</f>
        <v>Poder Legislativo Provincial</v>
      </c>
      <c r="M594" s="20" t="str">
        <f ca="1">IFERROR(__xludf.DUMMYFUNCTION("""COMPUTED_VALUE"""),"Modificando las leyes Nros. 9361, Escalafón para el Personal de la Administración Pública Provincial, y 7625, Régimen de Personal del Equipo de Salud Humana; referidos a situación de revista, cobertura de cargos y llamado a concurso para el Personal Super"&amp;"ior.")</f>
        <v>Modificando las leyes Nros. 9361, Escalafón para el Personal de la Administración Pública Provincial, y 7625, Régimen de Personal del Equipo de Salud Humana; referidos a situación de revista, cobertura de cargos y llamado a concurso para el Personal Superior.</v>
      </c>
      <c r="N594" s="20" t="str">
        <f ca="1">IFERROR(__xludf.DUMMYFUNCTION("""COMPUTED_VALUE"""),"NO")</f>
        <v>NO</v>
      </c>
      <c r="O594" s="20" t="str">
        <f ca="1">IFERROR(__xludf.DUMMYFUNCTION("""COMPUTED_VALUE"""),"SI")</f>
        <v>SI</v>
      </c>
      <c r="P594" s="20">
        <f ca="1">IFERROR(__xludf.DUMMYFUNCTION("""COMPUTED_VALUE"""),3)</f>
        <v>3</v>
      </c>
      <c r="Q594" s="113" t="str">
        <f ca="1">IFERROR(__xludf.DUMMYFUNCTION("""COMPUTED_VALUE"""),"https://gld.legislaturacba.gob.ar/_cdd/api/Documento/descargar?guid=3cc3e4c4-99ad-4b09-b300-96572afeb954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v>
      </c>
      <c r="R594" s="113" t="str">
        <f ca="1">IFERROR(__xludf.DUMMYFUNCTION("""COMPUTED_VALUE"""),"https://www.youtube.com/watch?v=-6iBpHFPgsk")</f>
        <v>https://www.youtube.com/watch?v=-6iBpHFPgsk</v>
      </c>
      <c r="S594" s="113" t="str">
        <f ca="1">IFERROR(__xludf.DUMMYFUNCTION("""COMPUTED_VALUE"""),"https://gld.legislaturacba.gob.ar/Publics/Actas.aspx?id=F0lOBA6aVvs=")</f>
        <v>https://gld.legislaturacba.gob.ar/Publics/Actas.aspx?id=F0lOBA6aVvs=</v>
      </c>
      <c r="T594" s="99">
        <f t="shared" ca="1" si="0"/>
        <v>0</v>
      </c>
    </row>
    <row r="595" spans="1:20">
      <c r="A595" s="20">
        <f ca="1">IFERROR(__xludf.DUMMYFUNCTION("""COMPUTED_VALUE"""),99)</f>
        <v>99</v>
      </c>
      <c r="B595" s="20">
        <f ca="1">IFERROR(__xludf.DUMMYFUNCTION("""COMPUTED_VALUE"""),2022)</f>
        <v>2022</v>
      </c>
      <c r="C595" s="20" t="str">
        <f ca="1">IFERROR(__xludf.DUMMYFUNCTION("""COMPUTED_VALUE"""),"VIRTUAL")</f>
        <v>VIRTUAL</v>
      </c>
      <c r="D595" s="106">
        <f ca="1">IFERROR(__xludf.DUMMYFUNCTION("""COMPUTED_VALUE"""),44740)</f>
        <v>44740</v>
      </c>
      <c r="E595" s="20" t="str">
        <f ca="1">IFERROR(__xludf.DUMMYFUNCTION("""COMPUTED_VALUE"""),"SI")</f>
        <v>SI</v>
      </c>
      <c r="F595" s="20" t="str">
        <f ca="1">IFERROR(__xludf.DUMMYFUNCTION("""COMPUTED_VALUE"""),"EDUCACIÓN, CULTURA, CIENCIA, TECNOLOGÍA E INFORMÁTICA;AMBIENTE")</f>
        <v>EDUCACIÓN, CULTURA, CIENCIA, TECNOLOGÍA E INFORMÁTICA;AMBIENTE</v>
      </c>
      <c r="G595" s="20">
        <f ca="1">IFERROR(__xludf.DUMMYFUNCTION("""COMPUTED_VALUE"""),2)</f>
        <v>2</v>
      </c>
      <c r="H595" s="20">
        <f ca="1">IFERROR(__xludf.DUMMYFUNCTION("""COMPUTED_VALUE"""),1)</f>
        <v>1</v>
      </c>
      <c r="I595" s="20">
        <f ca="1">IFERROR(__xludf.DUMMYFUNCTION("""COMPUTED_VALUE"""),1)</f>
        <v>1</v>
      </c>
      <c r="J595" s="20" t="str">
        <f ca="1">IFERROR(__xludf.DUMMYFUNCTION("""COMPUTED_VALUE"""),"Ley")</f>
        <v>Ley</v>
      </c>
      <c r="K595" s="20">
        <f ca="1">IFERROR(__xludf.DUMMYFUNCTION("""COMPUTED_VALUE"""),33211)</f>
        <v>33211</v>
      </c>
      <c r="L595" s="20" t="str">
        <f ca="1">IFERROR(__xludf.DUMMYFUNCTION("""COMPUTED_VALUE"""),"Poder Legislativo Provincial")</f>
        <v>Poder Legislativo Provincial</v>
      </c>
      <c r="M595" s="20" t="str">
        <f ca="1">IFERROR(__xludf.DUMMYFUNCTION("""COMPUTED_VALUE"""),"Adhiriendo la Provincia de Córdoba a las disposiciones de la Ley Nacional N° 27.621, con el objeto establecer el derecho a la educación ambiental integral como una política pública.")</f>
        <v>Adhiriendo la Provincia de Córdoba a las disposiciones de la Ley Nacional N° 27.621, con el objeto establecer el derecho a la educación ambiental integral como una política pública.</v>
      </c>
      <c r="N595" s="20" t="str">
        <f ca="1">IFERROR(__xludf.DUMMYFUNCTION("""COMPUTED_VALUE"""),"SI")</f>
        <v>SI</v>
      </c>
      <c r="O595" s="20" t="str">
        <f ca="1">IFERROR(__xludf.DUMMYFUNCTION("""COMPUTED_VALUE"""),"NO")</f>
        <v>NO</v>
      </c>
      <c r="P595" s="20">
        <f ca="1">IFERROR(__xludf.DUMMYFUNCTION("""COMPUTED_VALUE"""),0)</f>
        <v>0</v>
      </c>
      <c r="Q595" s="113" t="str">
        <f ca="1">IFERROR(__xludf.DUMMYFUNCTION("""COMPUTED_VALUE"""),"https://gld.legislaturacba.gob.ar/_cdd/api/Documento/descargar?guid=36a95bdd-0c29-4334-979c-3af7d98cd9cb&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v>
      </c>
      <c r="R595" s="113" t="str">
        <f ca="1">IFERROR(__xludf.DUMMYFUNCTION("""COMPUTED_VALUE"""),"https://www.youtube.com/watch?v=orwRqVxQgRI")</f>
        <v>https://www.youtube.com/watch?v=orwRqVxQgRI</v>
      </c>
      <c r="S595" s="113" t="str">
        <f ca="1">IFERROR(__xludf.DUMMYFUNCTION("""COMPUTED_VALUE"""),"https://gld.legislaturacba.gob.ar/Publics/Actas.aspx?id=1XpzP1nrTkc=;https://gld.legislaturacba.gob.ar/Publics/Actas.aspx?id=nfVzHLUO02I=")</f>
        <v>https://gld.legislaturacba.gob.ar/Publics/Actas.aspx?id=1XpzP1nrTkc=;https://gld.legislaturacba.gob.ar/Publics/Actas.aspx?id=nfVzHLUO02I=</v>
      </c>
      <c r="T595" s="99">
        <f t="shared" ca="1" si="0"/>
        <v>0</v>
      </c>
    </row>
    <row r="596" spans="1:20">
      <c r="A596" s="20">
        <f ca="1">IFERROR(__xludf.DUMMYFUNCTION("""COMPUTED_VALUE"""),100)</f>
        <v>100</v>
      </c>
      <c r="B596" s="20">
        <f ca="1">IFERROR(__xludf.DUMMYFUNCTION("""COMPUTED_VALUE"""),2022)</f>
        <v>2022</v>
      </c>
      <c r="C596" s="20" t="str">
        <f ca="1">IFERROR(__xludf.DUMMYFUNCTION("""COMPUTED_VALUE"""),"VIRTUAL")</f>
        <v>VIRTUAL</v>
      </c>
      <c r="D596" s="106">
        <f ca="1">IFERROR(__xludf.DUMMYFUNCTION("""COMPUTED_VALUE"""),44742)</f>
        <v>44742</v>
      </c>
      <c r="E596" s="20" t="str">
        <f ca="1">IFERROR(__xludf.DUMMYFUNCTION("""COMPUTED_VALUE"""),"NO")</f>
        <v>NO</v>
      </c>
      <c r="F596" s="20" t="str">
        <f ca="1">IFERROR(__xludf.DUMMYFUNCTION("""COMPUTED_VALUE"""),"PROMOCIÓN Y DEFENSA DE LOS DERECHOS DE LA NIÑEZ, ADOLESCENCIA Y FAMILIA")</f>
        <v>PROMOCIÓN Y DEFENSA DE LOS DERECHOS DE LA NIÑEZ, ADOLESCENCIA Y FAMILIA</v>
      </c>
      <c r="G596" s="20">
        <f ca="1">IFERROR(__xludf.DUMMYFUNCTION("""COMPUTED_VALUE"""),1)</f>
        <v>1</v>
      </c>
      <c r="H596" s="20">
        <f ca="1">IFERROR(__xludf.DUMMYFUNCTION("""COMPUTED_VALUE"""),1)</f>
        <v>1</v>
      </c>
      <c r="I596" s="20">
        <f ca="1">IFERROR(__xludf.DUMMYFUNCTION("""COMPUTED_VALUE"""),1)</f>
        <v>1</v>
      </c>
      <c r="J596" s="20" t="str">
        <f ca="1">IFERROR(__xludf.DUMMYFUNCTION("""COMPUTED_VALUE"""),"NA")</f>
        <v>NA</v>
      </c>
      <c r="K596" s="20" t="str">
        <f ca="1">IFERROR(__xludf.DUMMYFUNCTION("""COMPUTED_VALUE"""),"NA")</f>
        <v>NA</v>
      </c>
      <c r="L596" s="20" t="str">
        <f ca="1">IFERROR(__xludf.DUMMYFUNCTION("""COMPUTED_VALUE"""),"NA")</f>
        <v>NA</v>
      </c>
      <c r="M596" s="20" t="str">
        <f ca="1">IFERROR(__xludf.DUMMYFUNCTION("""COMPUTED_VALUE"""),"Informe de actividades y trabajos realizados por la Mesa Interpoderes de Adopción. Necesidad de introducir modificaciones a la Ley N° 9944 (Promoción y Protección Integral de los Derechos de las Niñas, Niños y Adolescentes).")</f>
        <v>Informe de actividades y trabajos realizados por la Mesa Interpoderes de Adopción. Necesidad de introducir modificaciones a la Ley N° 9944 (Promoción y Protección Integral de los Derechos de las Niñas, Niños y Adolescentes).</v>
      </c>
      <c r="N596" s="20" t="str">
        <f ca="1">IFERROR(__xludf.DUMMYFUNCTION("""COMPUTED_VALUE"""),"NA")</f>
        <v>NA</v>
      </c>
      <c r="O596" s="20" t="str">
        <f ca="1">IFERROR(__xludf.DUMMYFUNCTION("""COMPUTED_VALUE"""),"SI")</f>
        <v>SI</v>
      </c>
      <c r="P596" s="20">
        <f ca="1">IFERROR(__xludf.DUMMYFUNCTION("""COMPUTED_VALUE"""),3)</f>
        <v>3</v>
      </c>
      <c r="Q596" s="113" t="str">
        <f ca="1">IFERROR(__xludf.DUMMYFUNCTION("""COMPUTED_VALUE"""),"https://gld.legislaturacba.gob.ar/_cdd/api/Documento/descargar?guid=f7dd1b29-c010-495f-9a37-39fe2321c090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v>
      </c>
      <c r="R596" s="113" t="str">
        <f ca="1">IFERROR(__xludf.DUMMYFUNCTION("""COMPUTED_VALUE"""),"https://www.youtube.com/watch?v=CGQUjBt3m7I")</f>
        <v>https://www.youtube.com/watch?v=CGQUjBt3m7I</v>
      </c>
      <c r="S596" s="113" t="str">
        <f ca="1">IFERROR(__xludf.DUMMYFUNCTION("""COMPUTED_VALUE"""),"https://gld.legislaturacba.gob.ar/Publics/Actas.aspx?id=bhLAvQSszY0=")</f>
        <v>https://gld.legislaturacba.gob.ar/Publics/Actas.aspx?id=bhLAvQSszY0=</v>
      </c>
      <c r="T596" s="99">
        <f t="shared" ca="1" si="0"/>
        <v>0</v>
      </c>
    </row>
    <row r="597" spans="1:20">
      <c r="A597" s="20">
        <f ca="1">IFERROR(__xludf.DUMMYFUNCTION("""COMPUTED_VALUE"""),101)</f>
        <v>101</v>
      </c>
      <c r="B597" s="20">
        <f ca="1">IFERROR(__xludf.DUMMYFUNCTION("""COMPUTED_VALUE"""),2022)</f>
        <v>2022</v>
      </c>
      <c r="C597" s="20" t="str">
        <f ca="1">IFERROR(__xludf.DUMMYFUNCTION("""COMPUTED_VALUE"""),"VIRTUAL")</f>
        <v>VIRTUAL</v>
      </c>
      <c r="D597" s="106">
        <f ca="1">IFERROR(__xludf.DUMMYFUNCTION("""COMPUTED_VALUE"""),44747)</f>
        <v>44747</v>
      </c>
      <c r="E597" s="20" t="str">
        <f ca="1">IFERROR(__xludf.DUMMYFUNCTION("""COMPUTED_VALUE"""),"SI")</f>
        <v>SI</v>
      </c>
      <c r="F597" s="20" t="str">
        <f ca="1">IFERROR(__xludf.DUMMYFUNCTION("""COMPUTED_VALUE"""),"LEGISLACIÓN GENERAL;ASUNTOS CONSTITUCIONALES, JUSTICIA Y ACUERDOS")</f>
        <v>LEGISLACIÓN GENERAL;ASUNTOS CONSTITUCIONALES, JUSTICIA Y ACUERDOS</v>
      </c>
      <c r="G597" s="20">
        <f ca="1">IFERROR(__xludf.DUMMYFUNCTION("""COMPUTED_VALUE"""),2)</f>
        <v>2</v>
      </c>
      <c r="H597" s="20">
        <f ca="1">IFERROR(__xludf.DUMMYFUNCTION("""COMPUTED_VALUE"""),2)</f>
        <v>2</v>
      </c>
      <c r="I597" s="20">
        <f ca="1">IFERROR(__xludf.DUMMYFUNCTION("""COMPUTED_VALUE"""),1)</f>
        <v>1</v>
      </c>
      <c r="J597" s="20" t="str">
        <f ca="1">IFERROR(__xludf.DUMMYFUNCTION("""COMPUTED_VALUE"""),"Ley")</f>
        <v>Ley</v>
      </c>
      <c r="K597" s="20">
        <f ca="1">IFERROR(__xludf.DUMMYFUNCTION("""COMPUTED_VALUE"""),35387)</f>
        <v>35387</v>
      </c>
      <c r="L597" s="20" t="str">
        <f ca="1">IFERROR(__xludf.DUMMYFUNCTION("""COMPUTED_VALUE"""),"Poder Ejecutivo Provincial")</f>
        <v>Poder Ejecutivo Provincial</v>
      </c>
      <c r="M597" s="20" t="str">
        <f ca="1">IFERROR(__xludf.DUMMYFUNCTION("""COMPUTED_VALUE"""),"Modificando el artículo 577 de la Ley N° 8465, Código Procesal Civil y Comercial de la Provincia de Córdoba, referido a las formas de realización de los bienes afectados a la ejecución.")</f>
        <v>Modificando el artículo 577 de la Ley N° 8465, Código Procesal Civil y Comercial de la Provincia de Córdoba, referido a las formas de realización de los bienes afectados a la ejecución.</v>
      </c>
      <c r="N597" s="20" t="str">
        <f ca="1">IFERROR(__xludf.DUMMYFUNCTION("""COMPUTED_VALUE"""),"NO")</f>
        <v>NO</v>
      </c>
      <c r="O597" s="20" t="str">
        <f ca="1">IFERROR(__xludf.DUMMYFUNCTION("""COMPUTED_VALUE"""),"NO")</f>
        <v>NO</v>
      </c>
      <c r="P597" s="20">
        <f ca="1">IFERROR(__xludf.DUMMYFUNCTION("""COMPUTED_VALUE"""),0)</f>
        <v>0</v>
      </c>
      <c r="Q597" s="113" t="str">
        <f ca="1">IFERROR(__xludf.DUMMYFUNCTION("""COMPUTED_VALUE"""),"https://gld.legislaturacba.gob.ar/_cdd/api/Documento/descargar?guid=630196c5-f37b-4f27-becb-61a427a10b75&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v>
      </c>
      <c r="R597" s="113" t="str">
        <f ca="1">IFERROR(__xludf.DUMMYFUNCTION("""COMPUTED_VALUE"""),"https://www.youtube.com/watch?v=d0evDr85DXg")</f>
        <v>https://www.youtube.com/watch?v=d0evDr85DXg</v>
      </c>
      <c r="S597" s="113" t="str">
        <f ca="1">IFERROR(__xludf.DUMMYFUNCTION("""COMPUTED_VALUE"""),"https://gld.legislaturacba.gob.ar/Publics/Actas.aspx?id=8T4HiUfJm2k=;https://gld.legislaturacba.gob.ar/Publics/Actas.aspx?id=suBlDTszjps=")</f>
        <v>https://gld.legislaturacba.gob.ar/Publics/Actas.aspx?id=8T4HiUfJm2k=;https://gld.legislaturacba.gob.ar/Publics/Actas.aspx?id=suBlDTszjps=</v>
      </c>
      <c r="T597" s="99">
        <f t="shared" ca="1" si="0"/>
        <v>0</v>
      </c>
    </row>
    <row r="598" spans="1:20">
      <c r="A598" s="20">
        <f ca="1">IFERROR(__xludf.DUMMYFUNCTION("""COMPUTED_VALUE"""),102)</f>
        <v>102</v>
      </c>
      <c r="B598" s="20">
        <f ca="1">IFERROR(__xludf.DUMMYFUNCTION("""COMPUTED_VALUE"""),2022)</f>
        <v>2022</v>
      </c>
      <c r="C598" s="20" t="str">
        <f ca="1">IFERROR(__xludf.DUMMYFUNCTION("""COMPUTED_VALUE"""),"VIRTUAL")</f>
        <v>VIRTUAL</v>
      </c>
      <c r="D598" s="106">
        <f ca="1">IFERROR(__xludf.DUMMYFUNCTION("""COMPUTED_VALUE"""),44747)</f>
        <v>44747</v>
      </c>
      <c r="E598" s="20" t="str">
        <f ca="1">IFERROR(__xludf.DUMMYFUNCTION("""COMPUTED_VALUE"""),"NO")</f>
        <v>NO</v>
      </c>
      <c r="F598" s="20" t="str">
        <f ca="1">IFERROR(__xludf.DUMMYFUNCTION("""COMPUTED_VALUE"""),"ECONOMÍA, PRESUPUESTO, GESTIÓN PÚBLICA E INNOVACIÓN")</f>
        <v>ECONOMÍA, PRESUPUESTO, GESTIÓN PÚBLICA E INNOVACIÓN</v>
      </c>
      <c r="G598" s="20">
        <f ca="1">IFERROR(__xludf.DUMMYFUNCTION("""COMPUTED_VALUE"""),1)</f>
        <v>1</v>
      </c>
      <c r="H598" s="20">
        <f ca="1">IFERROR(__xludf.DUMMYFUNCTION("""COMPUTED_VALUE"""),1)</f>
        <v>1</v>
      </c>
      <c r="I598" s="20">
        <f ca="1">IFERROR(__xludf.DUMMYFUNCTION("""COMPUTED_VALUE"""),1)</f>
        <v>1</v>
      </c>
      <c r="J598" s="20" t="str">
        <f ca="1">IFERROR(__xludf.DUMMYFUNCTION("""COMPUTED_VALUE"""),"Nota")</f>
        <v>Nota</v>
      </c>
      <c r="K598" s="20">
        <f ca="1">IFERROR(__xludf.DUMMYFUNCTION("""COMPUTED_VALUE"""),34751)</f>
        <v>34751</v>
      </c>
      <c r="L598" s="20" t="str">
        <f ca="1">IFERROR(__xludf.DUMMYFUNCTION("""COMPUTED_VALUE"""),"Poder Legislativo Provincial")</f>
        <v>Poder Legislativo Provincial</v>
      </c>
      <c r="M598" s="20" t="str">
        <f ca="1">IFERROR(__xludf.DUMMYFUNCTION("""COMPUTED_VALUE"""),"Remitiendo la Cuenta de Inversión correspondiente al Ejercicio Financiero 2021, conforme lo establecido por el Art. 144 inc. 12 de la Constitución provincial.")</f>
        <v>Remitiendo la Cuenta de Inversión correspondiente al Ejercicio Financiero 2021, conforme lo establecido por el Art. 144 inc. 12 de la Constitución provincial.</v>
      </c>
      <c r="N598" s="20" t="str">
        <f ca="1">IFERROR(__xludf.DUMMYFUNCTION("""COMPUTED_VALUE"""),"SI")</f>
        <v>SI</v>
      </c>
      <c r="O598" s="20" t="str">
        <f ca="1">IFERROR(__xludf.DUMMYFUNCTION("""COMPUTED_VALUE"""),"NO")</f>
        <v>NO</v>
      </c>
      <c r="P598" s="20">
        <f ca="1">IFERROR(__xludf.DUMMYFUNCTION("""COMPUTED_VALUE"""),0)</f>
        <v>0</v>
      </c>
      <c r="Q598" s="113" t="str">
        <f ca="1">IFERROR(__xludf.DUMMYFUNCTION("""COMPUTED_VALUE"""),"https://gld.legislaturacba.gob.ar/_cdd/api/Documento/descargar?guid=6d1baa02-32a2-494c-b275-2d0f9b95732f&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v>
      </c>
      <c r="R598" s="113" t="str">
        <f ca="1">IFERROR(__xludf.DUMMYFUNCTION("""COMPUTED_VALUE"""),"https://www.youtube.com/watch?v=QlasozFmDPU")</f>
        <v>https://www.youtube.com/watch?v=QlasozFmDPU</v>
      </c>
      <c r="S598" s="113" t="str">
        <f ca="1">IFERROR(__xludf.DUMMYFUNCTION("""COMPUTED_VALUE"""),"https://gld.legislaturacba.gob.ar/Publics/Actas.aspx?id=qHM8bubvn44=")</f>
        <v>https://gld.legislaturacba.gob.ar/Publics/Actas.aspx?id=qHM8bubvn44=</v>
      </c>
      <c r="T598" s="99">
        <f t="shared" ca="1" si="0"/>
        <v>0</v>
      </c>
    </row>
    <row r="599" spans="1:20">
      <c r="A599" s="20">
        <f ca="1">IFERROR(__xludf.DUMMYFUNCTION("""COMPUTED_VALUE"""),103)</f>
        <v>103</v>
      </c>
      <c r="B599" s="20">
        <f ca="1">IFERROR(__xludf.DUMMYFUNCTION("""COMPUTED_VALUE"""),2022)</f>
        <v>2022</v>
      </c>
      <c r="C599" s="20" t="str">
        <f ca="1">IFERROR(__xludf.DUMMYFUNCTION("""COMPUTED_VALUE"""),"VIRTUAL")</f>
        <v>VIRTUAL</v>
      </c>
      <c r="D599" s="106">
        <f ca="1">IFERROR(__xludf.DUMMYFUNCTION("""COMPUTED_VALUE"""),44749)</f>
        <v>44749</v>
      </c>
      <c r="E599" s="20" t="str">
        <f ca="1">IFERROR(__xludf.DUMMYFUNCTION("""COMPUTED_VALUE"""),"NO")</f>
        <v>NO</v>
      </c>
      <c r="F599" s="20" t="str">
        <f ca="1">IFERROR(__xludf.DUMMYFUNCTION("""COMPUTED_VALUE"""),"EDUCACIÓN, CULTURA, CIENCIA, TECNOLOGÍA E INFORMÁTICA")</f>
        <v>EDUCACIÓN, CULTURA, CIENCIA, TECNOLOGÍA E INFORMÁTICA</v>
      </c>
      <c r="G599" s="20">
        <f ca="1">IFERROR(__xludf.DUMMYFUNCTION("""COMPUTED_VALUE"""),1)</f>
        <v>1</v>
      </c>
      <c r="H599" s="20">
        <f ca="1">IFERROR(__xludf.DUMMYFUNCTION("""COMPUTED_VALUE"""),5)</f>
        <v>5</v>
      </c>
      <c r="I599" s="20">
        <f ca="1">IFERROR(__xludf.DUMMYFUNCTION("""COMPUTED_VALUE"""),1)</f>
        <v>1</v>
      </c>
      <c r="J599" s="20" t="str">
        <f ca="1">IFERROR(__xludf.DUMMYFUNCTION("""COMPUTED_VALUE"""),"Resolución")</f>
        <v>Resolución</v>
      </c>
      <c r="K599" s="20">
        <f ca="1">IFERROR(__xludf.DUMMYFUNCTION("""COMPUTED_VALUE"""),34068)</f>
        <v>34068</v>
      </c>
      <c r="L599" s="20" t="str">
        <f ca="1">IFERROR(__xludf.DUMMYFUNCTION("""COMPUTED_VALUE"""),"Poder Legislativo Provincial")</f>
        <v>Poder Legislativo Provincial</v>
      </c>
      <c r="M599" s="20" t="str">
        <f ca="1">IFERROR(__xludf.DUMMYFUNCTION("""COMPUTED_VALUE"""),"Solicitando al Poder Ejecutivo informe (Art. 102 C.P.) sobre distintos aspectos referidos a la escolaridad desde el comienzo de la pandemia Covid 19, la deserción escolar, planes para evitarla, presencialidad y funcionamiento de comedores escolares y bene"&amp;"ficiarios del PAICor en 2021.")</f>
        <v>Solicitando al Poder Ejecutivo informe (Art. 102 C.P.) sobre distintos aspectos referidos a la escolaridad desde el comienzo de la pandemia Covid 19, la deserción escolar, planes para evitarla, presencialidad y funcionamiento de comedores escolares y beneficiarios del PAICor en 2021.</v>
      </c>
      <c r="N599" s="20" t="str">
        <f ca="1">IFERROR(__xludf.DUMMYFUNCTION("""COMPUTED_VALUE"""),"SI")</f>
        <v>SI</v>
      </c>
      <c r="O599" s="20" t="str">
        <f ca="1">IFERROR(__xludf.DUMMYFUNCTION("""COMPUTED_VALUE"""),"NO")</f>
        <v>NO</v>
      </c>
      <c r="P599" s="20">
        <f ca="1">IFERROR(__xludf.DUMMYFUNCTION("""COMPUTED_VALUE"""),0)</f>
        <v>0</v>
      </c>
      <c r="Q599" s="113" t="str">
        <f ca="1">IFERROR(__xludf.DUMMYFUNCTION("""COMPUTED_VALUE"""),"https://gld.legislaturacba.gob.ar/_cdd/api/Documento/descargar?guid=0fe17236-4dec-4a5e-aab9-3f9c7701a15e&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v>
      </c>
      <c r="R599" s="113" t="str">
        <f ca="1">IFERROR(__xludf.DUMMYFUNCTION("""COMPUTED_VALUE"""),"https://www.youtube.com/watch?v=m4v0s-2x-qg")</f>
        <v>https://www.youtube.com/watch?v=m4v0s-2x-qg</v>
      </c>
      <c r="S599" s="113" t="str">
        <f ca="1">IFERROR(__xludf.DUMMYFUNCTION("""COMPUTED_VALUE"""),"https://gld.legislaturacba.gob.ar/Publics/Actas.aspx?id=NN_5F32Bd0Y=")</f>
        <v>https://gld.legislaturacba.gob.ar/Publics/Actas.aspx?id=NN_5F32Bd0Y=</v>
      </c>
      <c r="T599" s="99">
        <f t="shared" ca="1" si="0"/>
        <v>0</v>
      </c>
    </row>
    <row r="600" spans="1:20">
      <c r="A600" s="20">
        <f ca="1">IFERROR(__xludf.DUMMYFUNCTION("""COMPUTED_VALUE"""),104)</f>
        <v>104</v>
      </c>
      <c r="B600" s="20">
        <f ca="1">IFERROR(__xludf.DUMMYFUNCTION("""COMPUTED_VALUE"""),2022)</f>
        <v>2022</v>
      </c>
      <c r="C600" s="20" t="str">
        <f ca="1">IFERROR(__xludf.DUMMYFUNCTION("""COMPUTED_VALUE"""),"SEMIPRESENCIAL")</f>
        <v>SEMIPRESENCIAL</v>
      </c>
      <c r="D600" s="106">
        <f ca="1">IFERROR(__xludf.DUMMYFUNCTION("""COMPUTED_VALUE"""),44768)</f>
        <v>44768</v>
      </c>
      <c r="E600" s="20" t="str">
        <f ca="1">IFERROR(__xludf.DUMMYFUNCTION("""COMPUTED_VALUE"""),"SI")</f>
        <v>SI</v>
      </c>
      <c r="F600" s="20" t="str">
        <f ca="1">IFERROR(__xludf.DUMMYFUNCTION("""COMPUTED_VALUE"""),"LEGISLACIÓN GENERAL;ASUNTOS CONSTITUCIONALES, JUSTICIA Y ACUERDOS")</f>
        <v>LEGISLACIÓN GENERAL;ASUNTOS CONSTITUCIONALES, JUSTICIA Y ACUERDOS</v>
      </c>
      <c r="G600" s="20">
        <f ca="1">IFERROR(__xludf.DUMMYFUNCTION("""COMPUTED_VALUE"""),2)</f>
        <v>2</v>
      </c>
      <c r="H600" s="20">
        <f ca="1">IFERROR(__xludf.DUMMYFUNCTION("""COMPUTED_VALUE"""),2)</f>
        <v>2</v>
      </c>
      <c r="I600" s="20">
        <f ca="1">IFERROR(__xludf.DUMMYFUNCTION("""COMPUTED_VALUE"""),1)</f>
        <v>1</v>
      </c>
      <c r="J600" s="20" t="str">
        <f ca="1">IFERROR(__xludf.DUMMYFUNCTION("""COMPUTED_VALUE"""),"Ley")</f>
        <v>Ley</v>
      </c>
      <c r="K600" s="20">
        <f ca="1">IFERROR(__xludf.DUMMYFUNCTION("""COMPUTED_VALUE"""),35387)</f>
        <v>35387</v>
      </c>
      <c r="L600" s="20" t="str">
        <f ca="1">IFERROR(__xludf.DUMMYFUNCTION("""COMPUTED_VALUE"""),"Poder Ejecutivo Provincial")</f>
        <v>Poder Ejecutivo Provincial</v>
      </c>
      <c r="M600" s="20" t="str">
        <f ca="1">IFERROR(__xludf.DUMMYFUNCTION("""COMPUTED_VALUE"""),"Modificando el artículo 577 de la Ley N° 8465, Código Procesal Civil y Comercial de la Provincia de Córdoba, referido a las formas de realización de los bienes afectados a la ejecución.")</f>
        <v>Modificando el artículo 577 de la Ley N° 8465, Código Procesal Civil y Comercial de la Provincia de Córdoba, referido a las formas de realización de los bienes afectados a la ejecución.</v>
      </c>
      <c r="N600" s="20" t="str">
        <f ca="1">IFERROR(__xludf.DUMMYFUNCTION("""COMPUTED_VALUE"""),"NO")</f>
        <v>NO</v>
      </c>
      <c r="O600" s="20" t="str">
        <f ca="1">IFERROR(__xludf.DUMMYFUNCTION("""COMPUTED_VALUE"""),"SI")</f>
        <v>SI</v>
      </c>
      <c r="P600" s="20">
        <f ca="1">IFERROR(__xludf.DUMMYFUNCTION("""COMPUTED_VALUE"""),2)</f>
        <v>2</v>
      </c>
      <c r="Q600" s="113" t="str">
        <f ca="1">IFERROR(__xludf.DUMMYFUNCTION("""COMPUTED_VALUE"""),"https://gld.legislaturacba.gob.ar/_cdd/api/Documento/descargar?guid=1e494dae-c182-4c6e-abc1-f368c4b1e1f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v>
      </c>
      <c r="R600" s="113" t="str">
        <f ca="1">IFERROR(__xludf.DUMMYFUNCTION("""COMPUTED_VALUE"""),"https://www.youtube.com/watch?v=eEq-oNhUI0I")</f>
        <v>https://www.youtube.com/watch?v=eEq-oNhUI0I</v>
      </c>
      <c r="S600" s="113" t="str">
        <f ca="1">IFERROR(__xludf.DUMMYFUNCTION("""COMPUTED_VALUE"""),"https://gld.legislaturacba.gob.ar/Publics/Actas.aspx?id=ljLMNn1PxAw=;https://gld.legislaturacba.gob.ar/Publics/Actas.aspx?id=Ac4AjNputzM=")</f>
        <v>https://gld.legislaturacba.gob.ar/Publics/Actas.aspx?id=ljLMNn1PxAw=;https://gld.legislaturacba.gob.ar/Publics/Actas.aspx?id=Ac4AjNputzM=</v>
      </c>
      <c r="T600" s="99">
        <f t="shared" ca="1" si="0"/>
        <v>0</v>
      </c>
    </row>
    <row r="601" spans="1:20">
      <c r="A601" s="20">
        <f ca="1">IFERROR(__xludf.DUMMYFUNCTION("""COMPUTED_VALUE"""),105)</f>
        <v>105</v>
      </c>
      <c r="B601" s="20">
        <f ca="1">IFERROR(__xludf.DUMMYFUNCTION("""COMPUTED_VALUE"""),2022)</f>
        <v>2022</v>
      </c>
      <c r="C601" s="20" t="str">
        <f ca="1">IFERROR(__xludf.DUMMYFUNCTION("""COMPUTED_VALUE"""),"VIRTUAL")</f>
        <v>VIRTUAL</v>
      </c>
      <c r="D601" s="106">
        <f ca="1">IFERROR(__xludf.DUMMYFUNCTION("""COMPUTED_VALUE"""),44770)</f>
        <v>44770</v>
      </c>
      <c r="E601" s="20" t="str">
        <f ca="1">IFERROR(__xludf.DUMMYFUNCTION("""COMPUTED_VALUE"""),"NO")</f>
        <v>NO</v>
      </c>
      <c r="F601" s="20" t="str">
        <f ca="1">IFERROR(__xludf.DUMMYFUNCTION("""COMPUTED_VALUE"""),"ECONOMÍA, PRESUPUESTO, GESTIÓN PÚBLICA E INNOVACIÓN")</f>
        <v>ECONOMÍA, PRESUPUESTO, GESTIÓN PÚBLICA E INNOVACIÓN</v>
      </c>
      <c r="G601" s="20">
        <f ca="1">IFERROR(__xludf.DUMMYFUNCTION("""COMPUTED_VALUE"""),1)</f>
        <v>1</v>
      </c>
      <c r="H601" s="20">
        <f ca="1">IFERROR(__xludf.DUMMYFUNCTION("""COMPUTED_VALUE"""),1)</f>
        <v>1</v>
      </c>
      <c r="I601" s="20">
        <f ca="1">IFERROR(__xludf.DUMMYFUNCTION("""COMPUTED_VALUE"""),1)</f>
        <v>1</v>
      </c>
      <c r="J601" s="20" t="str">
        <f ca="1">IFERROR(__xludf.DUMMYFUNCTION("""COMPUTED_VALUE"""),"Ley")</f>
        <v>Ley</v>
      </c>
      <c r="K601" s="20">
        <f ca="1">IFERROR(__xludf.DUMMYFUNCTION("""COMPUTED_VALUE"""),35388)</f>
        <v>35388</v>
      </c>
      <c r="L601" s="20" t="str">
        <f ca="1">IFERROR(__xludf.DUMMYFUNCTION("""COMPUTED_VALUE"""),"Poder Ejecutivo Provincial")</f>
        <v>Poder Ejecutivo Provincial</v>
      </c>
      <c r="M601"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01" s="20" t="str">
        <f ca="1">IFERROR(__xludf.DUMMYFUNCTION("""COMPUTED_VALUE"""),"NO")</f>
        <v>NO</v>
      </c>
      <c r="O601" s="20" t="str">
        <f ca="1">IFERROR(__xludf.DUMMYFUNCTION("""COMPUTED_VALUE"""),"NO")</f>
        <v>NO</v>
      </c>
      <c r="P601" s="20">
        <f ca="1">IFERROR(__xludf.DUMMYFUNCTION("""COMPUTED_VALUE"""),0)</f>
        <v>0</v>
      </c>
      <c r="Q601" s="113" t="str">
        <f ca="1">IFERROR(__xludf.DUMMYFUNCTION("""COMPUTED_VALUE"""),"https://gld.legislaturacba.gob.ar/_cdd/api/Documento/descargar?guid=dbfdce96-c88d-4fa1-b54f-92b9028aa4b6&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v>
      </c>
      <c r="R601" s="20" t="str">
        <f ca="1">IFERROR(__xludf.DUMMYFUNCTION("""COMPUTED_VALUE"""),"NA")</f>
        <v>NA</v>
      </c>
      <c r="S601" s="113" t="str">
        <f ca="1">IFERROR(__xludf.DUMMYFUNCTION("""COMPUTED_VALUE"""),"https://gld.legislaturacba.gob.ar/Publics/Actas.aspx?id=xfAGUXO94i4=")</f>
        <v>https://gld.legislaturacba.gob.ar/Publics/Actas.aspx?id=xfAGUXO94i4=</v>
      </c>
      <c r="T601" s="99">
        <f t="shared" ca="1" si="0"/>
        <v>0</v>
      </c>
    </row>
    <row r="602" spans="1:20">
      <c r="A602" s="20">
        <f ca="1">IFERROR(__xludf.DUMMYFUNCTION("""COMPUTED_VALUE"""),106)</f>
        <v>106</v>
      </c>
      <c r="B602" s="20">
        <f ca="1">IFERROR(__xludf.DUMMYFUNCTION("""COMPUTED_VALUE"""),2022)</f>
        <v>2022</v>
      </c>
      <c r="C602" s="20" t="str">
        <f ca="1">IFERROR(__xludf.DUMMYFUNCTION("""COMPUTED_VALUE"""),"VIRTUAL")</f>
        <v>VIRTUAL</v>
      </c>
      <c r="D602" s="106">
        <f ca="1">IFERROR(__xludf.DUMMYFUNCTION("""COMPUTED_VALUE"""),44775)</f>
        <v>44775</v>
      </c>
      <c r="E602" s="20" t="str">
        <f ca="1">IFERROR(__xludf.DUMMYFUNCTION("""COMPUTED_VALUE"""),"SI")</f>
        <v>SI</v>
      </c>
      <c r="F602" s="20" t="str">
        <f ca="1">IFERROR(__xludf.DUMMYFUNCTION("""COMPUTED_VALUE"""),"LEGISLACIÓN GENERAL;LEGISLACIÓN DEL TRABAJO, PREVISIÓN Y SEGURIDAD SOCIAL")</f>
        <v>LEGISLACIÓN GENERAL;LEGISLACIÓN DEL TRABAJO, PREVISIÓN Y SEGURIDAD SOCIAL</v>
      </c>
      <c r="G602" s="20">
        <f ca="1">IFERROR(__xludf.DUMMYFUNCTION("""COMPUTED_VALUE"""),2)</f>
        <v>2</v>
      </c>
      <c r="H602" s="20">
        <f ca="1">IFERROR(__xludf.DUMMYFUNCTION("""COMPUTED_VALUE"""),1)</f>
        <v>1</v>
      </c>
      <c r="I602" s="20">
        <f ca="1">IFERROR(__xludf.DUMMYFUNCTION("""COMPUTED_VALUE"""),1)</f>
        <v>1</v>
      </c>
      <c r="J602" s="20" t="str">
        <f ca="1">IFERROR(__xludf.DUMMYFUNCTION("""COMPUTED_VALUE"""),"Ley")</f>
        <v>Ley</v>
      </c>
      <c r="K602" s="20">
        <f ca="1">IFERROR(__xludf.DUMMYFUNCTION("""COMPUTED_VALUE"""),35351)</f>
        <v>35351</v>
      </c>
      <c r="L602" s="20" t="str">
        <f ca="1">IFERROR(__xludf.DUMMYFUNCTION("""COMPUTED_VALUE"""),"Poder Legislativo Provincial")</f>
        <v>Poder Legislativo Provincial</v>
      </c>
      <c r="M602" s="20" t="str">
        <f ca="1">IFERROR(__xludf.DUMMYFUNCTION("""COMPUTED_VALUE"""),"Modificando las leyes Nros. 9361, Escalafón para el Personal de la Administración Pública Provincial, y 7625, Régimen de Personal del Equipo de Salud Humana; referidos a situación de revista, cobertura de cargos y llamado a concurso para el Personal Super"&amp;"ior. ")</f>
        <v xml:space="preserve">Modificando las leyes Nros. 9361, Escalafón para el Personal de la Administración Pública Provincial, y 7625, Régimen de Personal del Equipo de Salud Humana; referidos a situación de revista, cobertura de cargos y llamado a concurso para el Personal Superior. </v>
      </c>
      <c r="N602" s="20" t="str">
        <f ca="1">IFERROR(__xludf.DUMMYFUNCTION("""COMPUTED_VALUE"""),"SI")</f>
        <v>SI</v>
      </c>
      <c r="O602" s="20" t="str">
        <f ca="1">IFERROR(__xludf.DUMMYFUNCTION("""COMPUTED_VALUE"""),"NO")</f>
        <v>NO</v>
      </c>
      <c r="P602" s="20">
        <f ca="1">IFERROR(__xludf.DUMMYFUNCTION("""COMPUTED_VALUE"""),0)</f>
        <v>0</v>
      </c>
      <c r="Q602" s="113" t="str">
        <f ca="1">IFERROR(__xludf.DUMMYFUNCTION("""COMPUTED_VALUE"""),"https://gld.legislaturacba.gob.ar/_cdd/api/Documento/descargar?guid=a7f9985e-2d74-4d32-ac3a-658e12bed4f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v>
      </c>
      <c r="R602" s="113" t="str">
        <f ca="1">IFERROR(__xludf.DUMMYFUNCTION("""COMPUTED_VALUE"""),"https://www.youtube.com/watch?v=BIygIMv7k3k")</f>
        <v>https://www.youtube.com/watch?v=BIygIMv7k3k</v>
      </c>
      <c r="S602" s="113" t="str">
        <f ca="1">IFERROR(__xludf.DUMMYFUNCTION("""COMPUTED_VALUE"""),"https://gld.legislaturacba.gob.ar/Publics/Actas.aspx?id=6ucP5NXg4zg=;https://gld.legislaturacba.gob.ar/Publics/Actas.aspx?id=Yxn2qhZ5xh4=")</f>
        <v>https://gld.legislaturacba.gob.ar/Publics/Actas.aspx?id=6ucP5NXg4zg=;https://gld.legislaturacba.gob.ar/Publics/Actas.aspx?id=Yxn2qhZ5xh4=</v>
      </c>
      <c r="T602" s="99">
        <f t="shared" ca="1" si="0"/>
        <v>0</v>
      </c>
    </row>
    <row r="603" spans="1:20">
      <c r="A603" s="20">
        <f ca="1">IFERROR(__xludf.DUMMYFUNCTION("""COMPUTED_VALUE"""),107)</f>
        <v>107</v>
      </c>
      <c r="B603" s="20">
        <f ca="1">IFERROR(__xludf.DUMMYFUNCTION("""COMPUTED_VALUE"""),2022)</f>
        <v>2022</v>
      </c>
      <c r="C603" s="20" t="str">
        <f ca="1">IFERROR(__xludf.DUMMYFUNCTION("""COMPUTED_VALUE"""),"SEMIPRESENCIAL")</f>
        <v>SEMIPRESENCIAL</v>
      </c>
      <c r="D603" s="106">
        <f ca="1">IFERROR(__xludf.DUMMYFUNCTION("""COMPUTED_VALUE"""),44775)</f>
        <v>44775</v>
      </c>
      <c r="E603" s="20" t="str">
        <f ca="1">IFERROR(__xludf.DUMMYFUNCTION("""COMPUTED_VALUE"""),"SI")</f>
        <v>SI</v>
      </c>
      <c r="F603" s="20" t="str">
        <f ca="1">IFERROR(__xludf.DUMMYFUNCTION("""COMPUTED_VALUE"""),"LEGISLACIÓN GENERAL;ASUNTOS CONSTITUCIONALES, JUSTICIA Y ACUERDOS")</f>
        <v>LEGISLACIÓN GENERAL;ASUNTOS CONSTITUCIONALES, JUSTICIA Y ACUERDOS</v>
      </c>
      <c r="G603" s="20">
        <f ca="1">IFERROR(__xludf.DUMMYFUNCTION("""COMPUTED_VALUE"""),2)</f>
        <v>2</v>
      </c>
      <c r="H603" s="20">
        <f ca="1">IFERROR(__xludf.DUMMYFUNCTION("""COMPUTED_VALUE"""),2)</f>
        <v>2</v>
      </c>
      <c r="I603" s="20">
        <f ca="1">IFERROR(__xludf.DUMMYFUNCTION("""COMPUTED_VALUE"""),1)</f>
        <v>1</v>
      </c>
      <c r="J603" s="20" t="str">
        <f ca="1">IFERROR(__xludf.DUMMYFUNCTION("""COMPUTED_VALUE"""),"Ley")</f>
        <v>Ley</v>
      </c>
      <c r="K603" s="20">
        <f ca="1">IFERROR(__xludf.DUMMYFUNCTION("""COMPUTED_VALUE"""),35387)</f>
        <v>35387</v>
      </c>
      <c r="L603" s="20" t="str">
        <f ca="1">IFERROR(__xludf.DUMMYFUNCTION("""COMPUTED_VALUE"""),"Poder Ejecutivo Provincial")</f>
        <v>Poder Ejecutivo Provincial</v>
      </c>
      <c r="M603" s="20" t="str">
        <f ca="1">IFERROR(__xludf.DUMMYFUNCTION("""COMPUTED_VALUE"""),"Modificando el artículo 577 de la Ley N° 8465, Código Procesal Civil y Comercial de la Provincia de Córdoba, referido a las formas de realización de los bienes afectados a la ejecución.")</f>
        <v>Modificando el artículo 577 de la Ley N° 8465, Código Procesal Civil y Comercial de la Provincia de Córdoba, referido a las formas de realización de los bienes afectados a la ejecución.</v>
      </c>
      <c r="N603" s="20" t="str">
        <f ca="1">IFERROR(__xludf.DUMMYFUNCTION("""COMPUTED_VALUE"""),"NO")</f>
        <v>NO</v>
      </c>
      <c r="O603" s="20" t="str">
        <f ca="1">IFERROR(__xludf.DUMMYFUNCTION("""COMPUTED_VALUE"""),"SI")</f>
        <v>SI</v>
      </c>
      <c r="P603" s="20">
        <f ca="1">IFERROR(__xludf.DUMMYFUNCTION("""COMPUTED_VALUE"""),6)</f>
        <v>6</v>
      </c>
      <c r="Q603" s="113" t="str">
        <f ca="1">IFERROR(__xludf.DUMMYFUNCTION("""COMPUTED_VALUE"""),"https://gld.legislaturacba.gob.ar/_cdd/api/Documento/descargar?guid=cd3e0cfd-d32e-470a-8456-a96e723205ae&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v>
      </c>
      <c r="R603" s="113" t="str">
        <f ca="1">IFERROR(__xludf.DUMMYFUNCTION("""COMPUTED_VALUE"""),"https://www.youtube.com/watch?v=MveWz4f2klY")</f>
        <v>https://www.youtube.com/watch?v=MveWz4f2klY</v>
      </c>
      <c r="S603" s="113" t="str">
        <f ca="1">IFERROR(__xludf.DUMMYFUNCTION("""COMPUTED_VALUE"""),"https://gld.legislaturacba.gob.ar/Publics/Actas.aspx?id=FMAKmNMpYNY=;https://gld.legislaturacba.gob.ar/Publics/Actas.aspx?id=dqweA0L4Qfo=")</f>
        <v>https://gld.legislaturacba.gob.ar/Publics/Actas.aspx?id=FMAKmNMpYNY=;https://gld.legislaturacba.gob.ar/Publics/Actas.aspx?id=dqweA0L4Qfo=</v>
      </c>
      <c r="T603" s="99">
        <f t="shared" ca="1" si="0"/>
        <v>0</v>
      </c>
    </row>
    <row r="604" spans="1:20">
      <c r="A604" s="20">
        <f ca="1">IFERROR(__xludf.DUMMYFUNCTION("""COMPUTED_VALUE"""),108)</f>
        <v>108</v>
      </c>
      <c r="B604" s="20">
        <f ca="1">IFERROR(__xludf.DUMMYFUNCTION("""COMPUTED_VALUE"""),2022)</f>
        <v>2022</v>
      </c>
      <c r="C604" s="20" t="str">
        <f ca="1">IFERROR(__xludf.DUMMYFUNCTION("""COMPUTED_VALUE"""),"VIRTUAL")</f>
        <v>VIRTUAL</v>
      </c>
      <c r="D604" s="106">
        <f ca="1">IFERROR(__xludf.DUMMYFUNCTION("""COMPUTED_VALUE"""),44775)</f>
        <v>44775</v>
      </c>
      <c r="E604" s="20" t="str">
        <f ca="1">IFERROR(__xludf.DUMMYFUNCTION("""COMPUTED_VALUE"""),"SI")</f>
        <v>SI</v>
      </c>
      <c r="F604" s="20" t="str">
        <f ca="1">IFERROR(__xludf.DUMMYFUNCTION("""COMPUTED_VALUE"""),"LEGISLACIÓN GENERAL;EDUCACIÓN, CULTURA, CIENCIA, TECNOLOGÍA E INFORMÁTICA")</f>
        <v>LEGISLACIÓN GENERAL;EDUCACIÓN, CULTURA, CIENCIA, TECNOLOGÍA E INFORMÁTICA</v>
      </c>
      <c r="G604" s="20">
        <f ca="1">IFERROR(__xludf.DUMMYFUNCTION("""COMPUTED_VALUE"""),2)</f>
        <v>2</v>
      </c>
      <c r="H604" s="20">
        <f ca="1">IFERROR(__xludf.DUMMYFUNCTION("""COMPUTED_VALUE"""),1)</f>
        <v>1</v>
      </c>
      <c r="I604" s="20">
        <f ca="1">IFERROR(__xludf.DUMMYFUNCTION("""COMPUTED_VALUE"""),1)</f>
        <v>1</v>
      </c>
      <c r="J604" s="20" t="str">
        <f ca="1">IFERROR(__xludf.DUMMYFUNCTION("""COMPUTED_VALUE"""),"Ley")</f>
        <v>Ley</v>
      </c>
      <c r="K604" s="20">
        <f ca="1">IFERROR(__xludf.DUMMYFUNCTION("""COMPUTED_VALUE"""),35138)</f>
        <v>35138</v>
      </c>
      <c r="L604" s="20" t="str">
        <f ca="1">IFERROR(__xludf.DUMMYFUNCTION("""COMPUTED_VALUE"""),"Poder Legislativo Provincial")</f>
        <v>Poder Legislativo Provincial</v>
      </c>
      <c r="M604" s="20" t="str">
        <f ca="1">IFERROR(__xludf.DUMMYFUNCTION("""COMPUTED_VALUE"""),"Declarando a la ciudad de Córdoba como Capital Provincial del Arte Urbano.")</f>
        <v>Declarando a la ciudad de Córdoba como Capital Provincial del Arte Urbano.</v>
      </c>
      <c r="N604" s="20" t="str">
        <f ca="1">IFERROR(__xludf.DUMMYFUNCTION("""COMPUTED_VALUE"""),"SI")</f>
        <v>SI</v>
      </c>
      <c r="O604" s="20" t="str">
        <f ca="1">IFERROR(__xludf.DUMMYFUNCTION("""COMPUTED_VALUE"""),"NO")</f>
        <v>NO</v>
      </c>
      <c r="P604" s="20">
        <f ca="1">IFERROR(__xludf.DUMMYFUNCTION("""COMPUTED_VALUE"""),0)</f>
        <v>0</v>
      </c>
      <c r="Q604" s="113" t="str">
        <f ca="1">IFERROR(__xludf.DUMMYFUNCTION("""COMPUTED_VALUE"""),"https://gld.legislaturacba.gob.ar/_cdd/api/Documento/descargar?guid=5cc1d88f-da16-4428-b272-1bd8ee119ab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v>
      </c>
      <c r="R604" s="113" t="str">
        <f ca="1">IFERROR(__xludf.DUMMYFUNCTION("""COMPUTED_VALUE"""),"https://www.youtube.com/watch?v=R1fmpmqei1o")</f>
        <v>https://www.youtube.com/watch?v=R1fmpmqei1o</v>
      </c>
      <c r="S604" s="113" t="str">
        <f ca="1">IFERROR(__xludf.DUMMYFUNCTION("""COMPUTED_VALUE"""),"https://gld.legislaturacba.gob.ar/Publics/Actas.aspx?id=tSSXxsd20sQ=;https://gld.legislaturacba.gob.ar/Publics/Actas.aspx?id=c9d2Z_vqor4=")</f>
        <v>https://gld.legislaturacba.gob.ar/Publics/Actas.aspx?id=tSSXxsd20sQ=;https://gld.legislaturacba.gob.ar/Publics/Actas.aspx?id=c9d2Z_vqor4=</v>
      </c>
      <c r="T604" s="99">
        <f t="shared" ca="1" si="0"/>
        <v>0</v>
      </c>
    </row>
    <row r="605" spans="1:20">
      <c r="A605" s="20">
        <f ca="1">IFERROR(__xludf.DUMMYFUNCTION("""COMPUTED_VALUE"""),109)</f>
        <v>109</v>
      </c>
      <c r="B605" s="20">
        <f ca="1">IFERROR(__xludf.DUMMYFUNCTION("""COMPUTED_VALUE"""),2022)</f>
        <v>2022</v>
      </c>
      <c r="C605" s="20" t="str">
        <f ca="1">IFERROR(__xludf.DUMMYFUNCTION("""COMPUTED_VALUE"""),"SEMIPRESENCIAL")</f>
        <v>SEMIPRESENCIAL</v>
      </c>
      <c r="D605" s="106">
        <f ca="1">IFERROR(__xludf.DUMMYFUNCTION("""COMPUTED_VALUE"""),44775)</f>
        <v>44775</v>
      </c>
      <c r="E605" s="20" t="str">
        <f ca="1">IFERROR(__xludf.DUMMYFUNCTION("""COMPUTED_VALUE"""),"SI")</f>
        <v>SI</v>
      </c>
      <c r="F605" s="20" t="str">
        <f ca="1">IFERROR(__xludf.DUMMYFUNCTION("""COMPUTED_VALUE"""),"SALUD HUMANA;DERECHOS HUMANOS Y DESARROLLO SOCIAL;DEPORTES Y RECREACIÓN")</f>
        <v>SALUD HUMANA;DERECHOS HUMANOS Y DESARROLLO SOCIAL;DEPORTES Y RECREACIÓN</v>
      </c>
      <c r="G605" s="20">
        <f ca="1">IFERROR(__xludf.DUMMYFUNCTION("""COMPUTED_VALUE"""),3)</f>
        <v>3</v>
      </c>
      <c r="H605" s="20">
        <f ca="1">IFERROR(__xludf.DUMMYFUNCTION("""COMPUTED_VALUE"""),1)</f>
        <v>1</v>
      </c>
      <c r="I605" s="20">
        <f ca="1">IFERROR(__xludf.DUMMYFUNCTION("""COMPUTED_VALUE"""),1)</f>
        <v>1</v>
      </c>
      <c r="J605" s="20" t="str">
        <f ca="1">IFERROR(__xludf.DUMMYFUNCTION("""COMPUTED_VALUE"""),"NA")</f>
        <v>NA</v>
      </c>
      <c r="K605" s="20" t="str">
        <f ca="1">IFERROR(__xludf.DUMMYFUNCTION("""COMPUTED_VALUE"""),"NA")</f>
        <v>NA</v>
      </c>
      <c r="L605" s="20" t="str">
        <f ca="1">IFERROR(__xludf.DUMMYFUNCTION("""COMPUTED_VALUE"""),"NA")</f>
        <v>NA</v>
      </c>
      <c r="M605" s="20" t="str">
        <f ca="1">IFERROR(__xludf.DUMMYFUNCTION("""COMPUTED_VALUE"""),"Deporte Adaptado")</f>
        <v>Deporte Adaptado</v>
      </c>
      <c r="N605" s="20" t="str">
        <f ca="1">IFERROR(__xludf.DUMMYFUNCTION("""COMPUTED_VALUE"""),"NA")</f>
        <v>NA</v>
      </c>
      <c r="O605" s="20" t="str">
        <f ca="1">IFERROR(__xludf.DUMMYFUNCTION("""COMPUTED_VALUE"""),"SI")</f>
        <v>SI</v>
      </c>
      <c r="P605" s="20">
        <f ca="1">IFERROR(__xludf.DUMMYFUNCTION("""COMPUTED_VALUE"""),8)</f>
        <v>8</v>
      </c>
      <c r="Q605" s="113" t="str">
        <f ca="1">IFERROR(__xludf.DUMMYFUNCTION("""COMPUTED_VALUE"""),"https://gld.legislaturacba.gob.ar/_cdd/api/Documento/descargar?guid=d496f3c3-1757-43be-b21a-ca6f8c208794&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v>
      </c>
      <c r="R605" s="113" t="str">
        <f ca="1">IFERROR(__xludf.DUMMYFUNCTION("""COMPUTED_VALUE"""),"https://www.youtube.com/watch?v=CjVMI6q8seo")</f>
        <v>https://www.youtube.com/watch?v=CjVMI6q8seo</v>
      </c>
      <c r="S605" s="113" t="str">
        <f ca="1">IFERROR(__xludf.DUMMYFUNCTION("""COMPUTED_VALUE"""),"https://gld.legislaturacba.gob.ar/Publics/Actas.aspx?id=2i2ILyd1Qtg=;https://gld.legislaturacba.gob.ar/Publics/Actas.aspx?id=JFT0eAopAyk=;https://gld.legislaturacba.gob.ar/Publics/Actas.aspx?id=Gr3QIOt_K8I=")</f>
        <v>https://gld.legislaturacba.gob.ar/Publics/Actas.aspx?id=2i2ILyd1Qtg=;https://gld.legislaturacba.gob.ar/Publics/Actas.aspx?id=JFT0eAopAyk=;https://gld.legislaturacba.gob.ar/Publics/Actas.aspx?id=Gr3QIOt_K8I=</v>
      </c>
      <c r="T605" s="99">
        <f t="shared" ca="1" si="0"/>
        <v>0</v>
      </c>
    </row>
    <row r="606" spans="1:20">
      <c r="A606" s="20">
        <f ca="1">IFERROR(__xludf.DUMMYFUNCTION("""COMPUTED_VALUE"""),110)</f>
        <v>110</v>
      </c>
      <c r="B606" s="20">
        <f ca="1">IFERROR(__xludf.DUMMYFUNCTION("""COMPUTED_VALUE"""),2022)</f>
        <v>2022</v>
      </c>
      <c r="C606" s="20" t="str">
        <f ca="1">IFERROR(__xludf.DUMMYFUNCTION("""COMPUTED_VALUE"""),"PRESENCIAL")</f>
        <v>PRESENCIAL</v>
      </c>
      <c r="D606" s="106">
        <f ca="1">IFERROR(__xludf.DUMMYFUNCTION("""COMPUTED_VALUE"""),44777)</f>
        <v>44777</v>
      </c>
      <c r="E606" s="20" t="str">
        <f ca="1">IFERROR(__xludf.DUMMYFUNCTION("""COMPUTED_VALUE"""),"NO")</f>
        <v>NO</v>
      </c>
      <c r="F606" s="20" t="str">
        <f ca="1">IFERROR(__xludf.DUMMYFUNCTION("""COMPUTED_VALUE"""),"EQUIDAD Y LUCHA CONTRA LA VIOLENCIA DE GÉNERO")</f>
        <v>EQUIDAD Y LUCHA CONTRA LA VIOLENCIA DE GÉNERO</v>
      </c>
      <c r="G606" s="20">
        <f ca="1">IFERROR(__xludf.DUMMYFUNCTION("""COMPUTED_VALUE"""),1)</f>
        <v>1</v>
      </c>
      <c r="H606" s="20">
        <f ca="1">IFERROR(__xludf.DUMMYFUNCTION("""COMPUTED_VALUE"""),1)</f>
        <v>1</v>
      </c>
      <c r="I606" s="20">
        <f ca="1">IFERROR(__xludf.DUMMYFUNCTION("""COMPUTED_VALUE"""),1)</f>
        <v>1</v>
      </c>
      <c r="J606" s="20" t="str">
        <f ca="1">IFERROR(__xludf.DUMMYFUNCTION("""COMPUTED_VALUE"""),"NA")</f>
        <v>NA</v>
      </c>
      <c r="K606" s="20" t="str">
        <f ca="1">IFERROR(__xludf.DUMMYFUNCTION("""COMPUTED_VALUE"""),"NA")</f>
        <v>NA</v>
      </c>
      <c r="L606" s="20" t="str">
        <f ca="1">IFERROR(__xludf.DUMMYFUNCTION("""COMPUTED_VALUE"""),"NA")</f>
        <v>NA</v>
      </c>
      <c r="M606" s="20" t="str">
        <f ca="1">IFERROR(__xludf.DUMMYFUNCTION("""COMPUTED_VALUE"""),"Visita al Polo Integral de la Mujer en situación de violencia")</f>
        <v>Visita al Polo Integral de la Mujer en situación de violencia</v>
      </c>
      <c r="N606" s="20" t="str">
        <f ca="1">IFERROR(__xludf.DUMMYFUNCTION("""COMPUTED_VALUE"""),"NA")</f>
        <v>NA</v>
      </c>
      <c r="O606" s="20" t="str">
        <f ca="1">IFERROR(__xludf.DUMMYFUNCTION("""COMPUTED_VALUE"""),"NO")</f>
        <v>NO</v>
      </c>
      <c r="P606" s="20">
        <f ca="1">IFERROR(__xludf.DUMMYFUNCTION("""COMPUTED_VALUE"""),0)</f>
        <v>0</v>
      </c>
      <c r="Q606" s="20" t="str">
        <f ca="1">IFERROR(__xludf.DUMMYFUNCTION("""COMPUTED_VALUE"""),"NA")</f>
        <v>NA</v>
      </c>
      <c r="R606" s="20" t="str">
        <f ca="1">IFERROR(__xludf.DUMMYFUNCTION("""COMPUTED_VALUE"""),"NA")</f>
        <v>NA</v>
      </c>
      <c r="S606" s="113" t="str">
        <f ca="1">IFERROR(__xludf.DUMMYFUNCTION("""COMPUTED_VALUE"""),"https://gld.legislaturacba.gob.ar/Publics/Actas.aspx?id=yZM8oiIEy0k=")</f>
        <v>https://gld.legislaturacba.gob.ar/Publics/Actas.aspx?id=yZM8oiIEy0k=</v>
      </c>
      <c r="T606" s="99">
        <f t="shared" ca="1" si="0"/>
        <v>0</v>
      </c>
    </row>
    <row r="607" spans="1:20">
      <c r="A607" s="20">
        <f ca="1">IFERROR(__xludf.DUMMYFUNCTION("""COMPUTED_VALUE"""),111)</f>
        <v>111</v>
      </c>
      <c r="B607" s="20">
        <f ca="1">IFERROR(__xludf.DUMMYFUNCTION("""COMPUTED_VALUE"""),2022)</f>
        <v>2022</v>
      </c>
      <c r="C607" s="20" t="str">
        <f ca="1">IFERROR(__xludf.DUMMYFUNCTION("""COMPUTED_VALUE"""),"SEMIPRESENCIAL")</f>
        <v>SEMIPRESENCIAL</v>
      </c>
      <c r="D607" s="106">
        <f ca="1">IFERROR(__xludf.DUMMYFUNCTION("""COMPUTED_VALUE"""),44777)</f>
        <v>44777</v>
      </c>
      <c r="E607" s="20" t="str">
        <f ca="1">IFERROR(__xludf.DUMMYFUNCTION("""COMPUTED_VALUE"""),"NO")</f>
        <v>NO</v>
      </c>
      <c r="F607" s="20" t="str">
        <f ca="1">IFERROR(__xludf.DUMMYFUNCTION("""COMPUTED_VALUE"""),"ECONOMÍA, PRESUPUESTO, GESTIÓN PÚBLICA E INNOVACIÓN")</f>
        <v>ECONOMÍA, PRESUPUESTO, GESTIÓN PÚBLICA E INNOVACIÓN</v>
      </c>
      <c r="G607" s="20">
        <f ca="1">IFERROR(__xludf.DUMMYFUNCTION("""COMPUTED_VALUE"""),1)</f>
        <v>1</v>
      </c>
      <c r="H607" s="20">
        <f ca="1">IFERROR(__xludf.DUMMYFUNCTION("""COMPUTED_VALUE"""),1)</f>
        <v>1</v>
      </c>
      <c r="I607" s="20">
        <f ca="1">IFERROR(__xludf.DUMMYFUNCTION("""COMPUTED_VALUE"""),1)</f>
        <v>1</v>
      </c>
      <c r="J607" s="20" t="str">
        <f ca="1">IFERROR(__xludf.DUMMYFUNCTION("""COMPUTED_VALUE"""),"Ley")</f>
        <v>Ley</v>
      </c>
      <c r="K607" s="20">
        <f ca="1">IFERROR(__xludf.DUMMYFUNCTION("""COMPUTED_VALUE"""),35388)</f>
        <v>35388</v>
      </c>
      <c r="L607" s="20" t="str">
        <f ca="1">IFERROR(__xludf.DUMMYFUNCTION("""COMPUTED_VALUE"""),"Poder Ejecutivo Provincial")</f>
        <v>Poder Ejecutivo Provincial</v>
      </c>
      <c r="M607"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 ")</f>
        <v xml:space="preserve">Estableciendo y regulando la Administración Financiera y Control del Sector Público No Financiero de la Provincia, derogando artículos de las leyes Nros. 5901, 7631 y 9086 y modificando artículos de las leyes Nros. 10155 y 10580. </v>
      </c>
      <c r="N607" s="20" t="str">
        <f ca="1">IFERROR(__xludf.DUMMYFUNCTION("""COMPUTED_VALUE"""),"NO")</f>
        <v>NO</v>
      </c>
      <c r="O607" s="20" t="str">
        <f ca="1">IFERROR(__xludf.DUMMYFUNCTION("""COMPUTED_VALUE"""),"SI")</f>
        <v>SI</v>
      </c>
      <c r="P607" s="20">
        <f ca="1">IFERROR(__xludf.DUMMYFUNCTION("""COMPUTED_VALUE"""),8)</f>
        <v>8</v>
      </c>
      <c r="Q607" s="113" t="str">
        <f ca="1">IFERROR(__xludf.DUMMYFUNCTION("""COMPUTED_VALUE"""),"https://gld.legislaturacba.gob.ar/_cdd/api/Documento/descargar?guid=099104be-0076-4520-a8cd-005f0056a191&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v>
      </c>
      <c r="R607" s="113" t="str">
        <f ca="1">IFERROR(__xludf.DUMMYFUNCTION("""COMPUTED_VALUE"""),"https://www.youtube.com/watch?v=oLiAO9mTVSM")</f>
        <v>https://www.youtube.com/watch?v=oLiAO9mTVSM</v>
      </c>
      <c r="S607" s="113" t="str">
        <f ca="1">IFERROR(__xludf.DUMMYFUNCTION("""COMPUTED_VALUE"""),"https://gld.legislaturacba.gob.ar/Publics/Actas.aspx?id=4C4-4UT0dDw=")</f>
        <v>https://gld.legislaturacba.gob.ar/Publics/Actas.aspx?id=4C4-4UT0dDw=</v>
      </c>
      <c r="T607" s="99">
        <f t="shared" ca="1" si="0"/>
        <v>0</v>
      </c>
    </row>
    <row r="608" spans="1:20">
      <c r="A608" s="20">
        <f ca="1">IFERROR(__xludf.DUMMYFUNCTION("""COMPUTED_VALUE"""),112)</f>
        <v>112</v>
      </c>
      <c r="B608" s="20">
        <f ca="1">IFERROR(__xludf.DUMMYFUNCTION("""COMPUTED_VALUE"""),2022)</f>
        <v>2022</v>
      </c>
      <c r="C608" s="20" t="str">
        <f ca="1">IFERROR(__xludf.DUMMYFUNCTION("""COMPUTED_VALUE"""),"VIRTUAL")</f>
        <v>VIRTUAL</v>
      </c>
      <c r="D608" s="106">
        <f ca="1">IFERROR(__xludf.DUMMYFUNCTION("""COMPUTED_VALUE"""),44777)</f>
        <v>44777</v>
      </c>
      <c r="E608" s="20" t="str">
        <f ca="1">IFERROR(__xludf.DUMMYFUNCTION("""COMPUTED_VALUE"""),"NO")</f>
        <v>NO</v>
      </c>
      <c r="F608" s="20" t="str">
        <f ca="1">IFERROR(__xludf.DUMMYFUNCTION("""COMPUTED_VALUE"""),"ASUNTOS INSTITUCIONALES, MUNICIPALES Y COMUNALES")</f>
        <v>ASUNTOS INSTITUCIONALES, MUNICIPALES Y COMUNALES</v>
      </c>
      <c r="G608" s="20">
        <f ca="1">IFERROR(__xludf.DUMMYFUNCTION("""COMPUTED_VALUE"""),1)</f>
        <v>1</v>
      </c>
      <c r="H608" s="20">
        <f ca="1">IFERROR(__xludf.DUMMYFUNCTION("""COMPUTED_VALUE"""),1)</f>
        <v>1</v>
      </c>
      <c r="I608" s="20">
        <f ca="1">IFERROR(__xludf.DUMMYFUNCTION("""COMPUTED_VALUE"""),1)</f>
        <v>1</v>
      </c>
      <c r="J608" s="20" t="str">
        <f ca="1">IFERROR(__xludf.DUMMYFUNCTION("""COMPUTED_VALUE"""),"Ley")</f>
        <v>Ley</v>
      </c>
      <c r="K608" s="20">
        <f ca="1">IFERROR(__xludf.DUMMYFUNCTION("""COMPUTED_VALUE"""),35476)</f>
        <v>35476</v>
      </c>
      <c r="L608" s="20" t="str">
        <f ca="1">IFERROR(__xludf.DUMMYFUNCTION("""COMPUTED_VALUE"""),"Poder Ejecutivo Provincial")</f>
        <v>Poder Ejecutivo Provincial</v>
      </c>
      <c r="M608" s="20" t="str">
        <f ca="1">IFERROR(__xludf.DUMMYFUNCTION("""COMPUTED_VALUE"""),"Modificando el radio municipal de la localidad de Los Cerrillos, Dpto. San Javier")</f>
        <v>Modificando el radio municipal de la localidad de Los Cerrillos, Dpto. San Javier</v>
      </c>
      <c r="N608" s="20" t="str">
        <f ca="1">IFERROR(__xludf.DUMMYFUNCTION("""COMPUTED_VALUE"""),"SI")</f>
        <v>SI</v>
      </c>
      <c r="O608" s="20" t="str">
        <f ca="1">IFERROR(__xludf.DUMMYFUNCTION("""COMPUTED_VALUE"""),"NO")</f>
        <v>NO</v>
      </c>
      <c r="P608" s="20">
        <f ca="1">IFERROR(__xludf.DUMMYFUNCTION("""COMPUTED_VALUE"""),0)</f>
        <v>0</v>
      </c>
      <c r="Q608" s="113" t="str">
        <f ca="1">IFERROR(__xludf.DUMMYFUNCTION("""COMPUTED_VALUE"""),"https://gld.legislaturacba.gob.ar/_cdd/api/Documento/descargar?guid=13b8f79e-0cfb-4358-924b-e6cf2469532f&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v>
      </c>
      <c r="R608" s="113" t="str">
        <f ca="1">IFERROR(__xludf.DUMMYFUNCTION("""COMPUTED_VALUE"""),"https://www.youtube.com/watch?v=3w6OjkrK_iI")</f>
        <v>https://www.youtube.com/watch?v=3w6OjkrK_iI</v>
      </c>
      <c r="S608" s="113" t="str">
        <f ca="1">IFERROR(__xludf.DUMMYFUNCTION("""COMPUTED_VALUE"""),"https://gld.legislaturacba.gob.ar/Publics/Actas.aspx?id=_UwL7fFvCf8=")</f>
        <v>https://gld.legislaturacba.gob.ar/Publics/Actas.aspx?id=_UwL7fFvCf8=</v>
      </c>
      <c r="T608" s="99">
        <f t="shared" ca="1" si="0"/>
        <v>0</v>
      </c>
    </row>
    <row r="609" spans="1:20">
      <c r="A609" s="20">
        <f ca="1">IFERROR(__xludf.DUMMYFUNCTION("""COMPUTED_VALUE"""),113)</f>
        <v>113</v>
      </c>
      <c r="B609" s="20">
        <f ca="1">IFERROR(__xludf.DUMMYFUNCTION("""COMPUTED_VALUE"""),2022)</f>
        <v>2022</v>
      </c>
      <c r="C609" s="20" t="str">
        <f ca="1">IFERROR(__xludf.DUMMYFUNCTION("""COMPUTED_VALUE"""),"VIRTUAL")</f>
        <v>VIRTUAL</v>
      </c>
      <c r="D609" s="106">
        <f ca="1">IFERROR(__xludf.DUMMYFUNCTION("""COMPUTED_VALUE"""),44782)</f>
        <v>44782</v>
      </c>
      <c r="E609" s="20" t="str">
        <f ca="1">IFERROR(__xludf.DUMMYFUNCTION("""COMPUTED_VALUE"""),"NO")</f>
        <v>NO</v>
      </c>
      <c r="F609" s="20" t="str">
        <f ca="1">IFERROR(__xludf.DUMMYFUNCTION("""COMPUTED_VALUE"""),"LEGISLACIÓN GENERAL")</f>
        <v>LEGISLACIÓN GENERAL</v>
      </c>
      <c r="G609" s="20">
        <f ca="1">IFERROR(__xludf.DUMMYFUNCTION("""COMPUTED_VALUE"""),1)</f>
        <v>1</v>
      </c>
      <c r="H609" s="20">
        <f ca="1">IFERROR(__xludf.DUMMYFUNCTION("""COMPUTED_VALUE"""),1)</f>
        <v>1</v>
      </c>
      <c r="I609" s="20">
        <f ca="1">IFERROR(__xludf.DUMMYFUNCTION("""COMPUTED_VALUE"""),1)</f>
        <v>1</v>
      </c>
      <c r="J609" s="20" t="str">
        <f ca="1">IFERROR(__xludf.DUMMYFUNCTION("""COMPUTED_VALUE"""),"Ley")</f>
        <v>Ley</v>
      </c>
      <c r="K609" s="20">
        <f ca="1">IFERROR(__xludf.DUMMYFUNCTION("""COMPUTED_VALUE"""),35476)</f>
        <v>35476</v>
      </c>
      <c r="L609" s="20" t="str">
        <f ca="1">IFERROR(__xludf.DUMMYFUNCTION("""COMPUTED_VALUE"""),"Poder Ejecutivo Provincial")</f>
        <v>Poder Ejecutivo Provincial</v>
      </c>
      <c r="M609" s="20" t="str">
        <f ca="1">IFERROR(__xludf.DUMMYFUNCTION("""COMPUTED_VALUE"""),"Modificando el radio municipal de la localidad de Los Cerrillos, Dpto. San Javier")</f>
        <v>Modificando el radio municipal de la localidad de Los Cerrillos, Dpto. San Javier</v>
      </c>
      <c r="N609" s="20" t="str">
        <f ca="1">IFERROR(__xludf.DUMMYFUNCTION("""COMPUTED_VALUE"""),"NO")</f>
        <v>NO</v>
      </c>
      <c r="O609" s="20" t="str">
        <f ca="1">IFERROR(__xludf.DUMMYFUNCTION("""COMPUTED_VALUE"""),"NO")</f>
        <v>NO</v>
      </c>
      <c r="P609" s="20">
        <f ca="1">IFERROR(__xludf.DUMMYFUNCTION("""COMPUTED_VALUE"""),0)</f>
        <v>0</v>
      </c>
      <c r="Q609" s="113" t="str">
        <f ca="1">IFERROR(__xludf.DUMMYFUNCTION("""COMPUTED_VALUE"""),"https://gld.legislaturacba.gob.ar/_cdd/api/Documento/descargar?guid=3a50c609-d290-4c72-9105-e4499130c3d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v>
      </c>
      <c r="R609" s="113" t="str">
        <f ca="1">IFERROR(__xludf.DUMMYFUNCTION("""COMPUTED_VALUE"""),"https://www.youtube.com/watch?v=kYkxrHKzUco")</f>
        <v>https://www.youtube.com/watch?v=kYkxrHKzUco</v>
      </c>
      <c r="S609" s="113" t="str">
        <f ca="1">IFERROR(__xludf.DUMMYFUNCTION("""COMPUTED_VALUE"""),"https://gld.legislaturacba.gob.ar/Publics/Actas.aspx?id=EWfatZF0hNs=")</f>
        <v>https://gld.legislaturacba.gob.ar/Publics/Actas.aspx?id=EWfatZF0hNs=</v>
      </c>
      <c r="T609" s="99">
        <f t="shared" ca="1" si="0"/>
        <v>0</v>
      </c>
    </row>
    <row r="610" spans="1:20">
      <c r="A610" s="20">
        <f ca="1">IFERROR(__xludf.DUMMYFUNCTION("""COMPUTED_VALUE"""),114)</f>
        <v>114</v>
      </c>
      <c r="B610" s="20">
        <f ca="1">IFERROR(__xludf.DUMMYFUNCTION("""COMPUTED_VALUE"""),2022)</f>
        <v>2022</v>
      </c>
      <c r="C610" s="20" t="str">
        <f ca="1">IFERROR(__xludf.DUMMYFUNCTION("""COMPUTED_VALUE"""),"SEMIPRESENCIAL")</f>
        <v>SEMIPRESENCIAL</v>
      </c>
      <c r="D610" s="106">
        <f ca="1">IFERROR(__xludf.DUMMYFUNCTION("""COMPUTED_VALUE"""),44782)</f>
        <v>44782</v>
      </c>
      <c r="E610" s="20" t="str">
        <f ca="1">IFERROR(__xludf.DUMMYFUNCTION("""COMPUTED_VALUE"""),"SI")</f>
        <v>SI</v>
      </c>
      <c r="F610" s="20" t="str">
        <f ca="1">IFERROR(__xludf.DUMMYFUNCTION("""COMPUTED_VALUE"""),"SALUD HUMANA;PREVENCIÓN, TRATAMIENTO Y CONTROL DE LAS ADICCIONES")</f>
        <v>SALUD HUMANA;PREVENCIÓN, TRATAMIENTO Y CONTROL DE LAS ADICCIONES</v>
      </c>
      <c r="G610" s="20">
        <f ca="1">IFERROR(__xludf.DUMMYFUNCTION("""COMPUTED_VALUE"""),2)</f>
        <v>2</v>
      </c>
      <c r="H610" s="20">
        <f ca="1">IFERROR(__xludf.DUMMYFUNCTION("""COMPUTED_VALUE"""),1)</f>
        <v>1</v>
      </c>
      <c r="I610" s="20">
        <f ca="1">IFERROR(__xludf.DUMMYFUNCTION("""COMPUTED_VALUE"""),1)</f>
        <v>1</v>
      </c>
      <c r="J610" s="20" t="str">
        <f ca="1">IFERROR(__xludf.DUMMYFUNCTION("""COMPUTED_VALUE"""),"NA")</f>
        <v>NA</v>
      </c>
      <c r="K610" s="20" t="str">
        <f ca="1">IFERROR(__xludf.DUMMYFUNCTION("""COMPUTED_VALUE"""),"NA")</f>
        <v>NA</v>
      </c>
      <c r="L610" s="20" t="str">
        <f ca="1">IFERROR(__xludf.DUMMYFUNCTION("""COMPUTED_VALUE"""),"NA")</f>
        <v>NA</v>
      </c>
      <c r="M610" s="20" t="str">
        <f ca="1">IFERROR(__xludf.DUMMYFUNCTION("""COMPUTED_VALUE"""),"Cuarto Congreso RAAC - Congreso de Prevención y Asistencia a las Adicciones")</f>
        <v>Cuarto Congreso RAAC - Congreso de Prevención y Asistencia a las Adicciones</v>
      </c>
      <c r="N610" s="20" t="str">
        <f ca="1">IFERROR(__xludf.DUMMYFUNCTION("""COMPUTED_VALUE"""),"NA")</f>
        <v>NA</v>
      </c>
      <c r="O610" s="20" t="str">
        <f ca="1">IFERROR(__xludf.DUMMYFUNCTION("""COMPUTED_VALUE"""),"SI")</f>
        <v>SI</v>
      </c>
      <c r="P610" s="20">
        <f ca="1">IFERROR(__xludf.DUMMYFUNCTION("""COMPUTED_VALUE"""),2)</f>
        <v>2</v>
      </c>
      <c r="Q610" s="113" t="str">
        <f ca="1">IFERROR(__xludf.DUMMYFUNCTION("""COMPUTED_VALUE"""),"https://gld.legislaturacba.gob.ar/_cdd/api/Documento/descargar?guid=fc635c42-9e61-4777-b7d9-03d12bd3c5d0&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v>
      </c>
      <c r="R610" s="113" t="str">
        <f ca="1">IFERROR(__xludf.DUMMYFUNCTION("""COMPUTED_VALUE"""),"https://www.youtube.com/watch?v=IyJ6SrOKckI")</f>
        <v>https://www.youtube.com/watch?v=IyJ6SrOKckI</v>
      </c>
      <c r="S610" s="113" t="str">
        <f ca="1">IFERROR(__xludf.DUMMYFUNCTION("""COMPUTED_VALUE"""),"https://gld.legislaturacba.gob.ar/Publics/Actas.aspx?id=3zSzz9QKjXA=;https://gld.legislaturacba.gob.ar/Publics/Actas.aspx?id=RYTlmkoMtA8=")</f>
        <v>https://gld.legislaturacba.gob.ar/Publics/Actas.aspx?id=3zSzz9QKjXA=;https://gld.legislaturacba.gob.ar/Publics/Actas.aspx?id=RYTlmkoMtA8=</v>
      </c>
      <c r="T610" s="99">
        <f t="shared" ca="1" si="0"/>
        <v>0</v>
      </c>
    </row>
    <row r="611" spans="1:20">
      <c r="A611" s="20">
        <f ca="1">IFERROR(__xludf.DUMMYFUNCTION("""COMPUTED_VALUE"""),115)</f>
        <v>115</v>
      </c>
      <c r="B611" s="20">
        <f ca="1">IFERROR(__xludf.DUMMYFUNCTION("""COMPUTED_VALUE"""),2022)</f>
        <v>2022</v>
      </c>
      <c r="C611" s="20" t="str">
        <f ca="1">IFERROR(__xludf.DUMMYFUNCTION("""COMPUTED_VALUE"""),"VIRTUAL")</f>
        <v>VIRTUAL</v>
      </c>
      <c r="D611" s="106">
        <f ca="1">IFERROR(__xludf.DUMMYFUNCTION("""COMPUTED_VALUE"""),44782)</f>
        <v>44782</v>
      </c>
      <c r="E611" s="20" t="str">
        <f ca="1">IFERROR(__xludf.DUMMYFUNCTION("""COMPUTED_VALUE"""),"NO")</f>
        <v>NO</v>
      </c>
      <c r="F611" s="20" t="str">
        <f ca="1">IFERROR(__xludf.DUMMYFUNCTION("""COMPUTED_VALUE"""),"OBRAS PÚBLICAS, VIVIENDA Y COMUNICACIONES")</f>
        <v>OBRAS PÚBLICAS, VIVIENDA Y COMUNICACIONES</v>
      </c>
      <c r="G611" s="20">
        <f ca="1">IFERROR(__xludf.DUMMYFUNCTION("""COMPUTED_VALUE"""),1)</f>
        <v>1</v>
      </c>
      <c r="H611" s="20">
        <f ca="1">IFERROR(__xludf.DUMMYFUNCTION("""COMPUTED_VALUE"""),4)</f>
        <v>4</v>
      </c>
      <c r="I611" s="20">
        <f ca="1">IFERROR(__xludf.DUMMYFUNCTION("""COMPUTED_VALUE"""),1)</f>
        <v>1</v>
      </c>
      <c r="J611" s="20" t="str">
        <f ca="1">IFERROR(__xludf.DUMMYFUNCTION("""COMPUTED_VALUE"""),"Resolución")</f>
        <v>Resolución</v>
      </c>
      <c r="K611" s="20">
        <f ca="1">IFERROR(__xludf.DUMMYFUNCTION("""COMPUTED_VALUE"""),33611)</f>
        <v>33611</v>
      </c>
      <c r="L611" s="20" t="str">
        <f ca="1">IFERROR(__xludf.DUMMYFUNCTION("""COMPUTED_VALUE"""),"Poder Legislativo Provincial")</f>
        <v>Poder Legislativo Provincial</v>
      </c>
      <c r="M611" s="20" t="str">
        <f ca="1">IFERROR(__xludf.DUMMYFUNCTION("""COMPUTED_VALUE"""),"Solicitando al Poder Ejecutivo informe (Art. 102 C.P.) sobre el estado de diversas obras relacionadas con Ministerio de Promoción del Empleo y de la Economía Familiar.")</f>
        <v>Solicitando al Poder Ejecutivo informe (Art. 102 C.P.) sobre el estado de diversas obras relacionadas con Ministerio de Promoción del Empleo y de la Economía Familiar.</v>
      </c>
      <c r="N611" s="20" t="str">
        <f ca="1">IFERROR(__xludf.DUMMYFUNCTION("""COMPUTED_VALUE"""),"NO")</f>
        <v>NO</v>
      </c>
      <c r="O611" s="20" t="str">
        <f ca="1">IFERROR(__xludf.DUMMYFUNCTION("""COMPUTED_VALUE"""),"NO")</f>
        <v>NO</v>
      </c>
      <c r="P611" s="20">
        <f ca="1">IFERROR(__xludf.DUMMYFUNCTION("""COMPUTED_VALUE"""),0)</f>
        <v>0</v>
      </c>
      <c r="Q611" s="113" t="str">
        <f ca="1">IFERROR(__xludf.DUMMYFUNCTION("""COMPUTED_VALUE"""),"https://gld.legislaturacba.gob.ar/_cdd/api/Documento/descargar?guid=89d418d0-6f0a-469d-8fce-0cf142ffb35d&amp;token=zjbDGfXbvOchLR3hV5JrrfbdG0Gbm7m9qYGmVu3DMAQrGMDnLrpNSzkQeDV6K0n5G-R3FyFSp69khx4-awpI0SpFUlUEFma3Xv36J9dHVn5d3ezwf4MtfsF7eJcj9EzsXkPgbljSYA6lOvCC"&amp;"9fkC0Y-VrQu9uzRYx5fv3TrNl4cNyWaANVoQA66PiqJVtYTJIAbt6YEkrC5Q6Ye-gMrSTE7WBTNzUJdUDSfc23VYrp0")</f>
        <v>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v>
      </c>
      <c r="R611" s="113" t="str">
        <f ca="1">IFERROR(__xludf.DUMMYFUNCTION("""COMPUTED_VALUE"""),"https://www.youtube.com/watch?v=XvRwezdCAmI")</f>
        <v>https://www.youtube.com/watch?v=XvRwezdCAmI</v>
      </c>
      <c r="S611" s="113" t="str">
        <f ca="1">IFERROR(__xludf.DUMMYFUNCTION("""COMPUTED_VALUE"""),"https://gld.legislaturacba.gob.ar/Publics/Actas.aspx?id=lQRN_lf1RYE=")</f>
        <v>https://gld.legislaturacba.gob.ar/Publics/Actas.aspx?id=lQRN_lf1RYE=</v>
      </c>
      <c r="T611" s="99">
        <f t="shared" ca="1" si="0"/>
        <v>0</v>
      </c>
    </row>
    <row r="612" spans="1:20">
      <c r="A612" s="20">
        <f ca="1">IFERROR(__xludf.DUMMYFUNCTION("""COMPUTED_VALUE"""),116)</f>
        <v>116</v>
      </c>
      <c r="B612" s="20">
        <f ca="1">IFERROR(__xludf.DUMMYFUNCTION("""COMPUTED_VALUE"""),2022)</f>
        <v>2022</v>
      </c>
      <c r="C612" s="20" t="str">
        <f ca="1">IFERROR(__xludf.DUMMYFUNCTION("""COMPUTED_VALUE"""),"SEMIPRESENCIAL")</f>
        <v>SEMIPRESENCIAL</v>
      </c>
      <c r="D612" s="106">
        <f ca="1">IFERROR(__xludf.DUMMYFUNCTION("""COMPUTED_VALUE"""),44783)</f>
        <v>44783</v>
      </c>
      <c r="E612" s="20" t="str">
        <f ca="1">IFERROR(__xludf.DUMMYFUNCTION("""COMPUTED_VALUE"""),"NO")</f>
        <v>NO</v>
      </c>
      <c r="F612" s="20" t="str">
        <f ca="1">IFERROR(__xludf.DUMMYFUNCTION("""COMPUTED_VALUE"""),"AGRICULTURA, GANADERÍA Y RECURSOS RENOVABLES")</f>
        <v>AGRICULTURA, GANADERÍA Y RECURSOS RENOVABLES</v>
      </c>
      <c r="G612" s="20">
        <f ca="1">IFERROR(__xludf.DUMMYFUNCTION("""COMPUTED_VALUE"""),1)</f>
        <v>1</v>
      </c>
      <c r="H612" s="20">
        <f ca="1">IFERROR(__xludf.DUMMYFUNCTION("""COMPUTED_VALUE"""),1)</f>
        <v>1</v>
      </c>
      <c r="I612" s="20">
        <f ca="1">IFERROR(__xludf.DUMMYFUNCTION("""COMPUTED_VALUE"""),1)</f>
        <v>1</v>
      </c>
      <c r="J612" s="20" t="str">
        <f ca="1">IFERROR(__xludf.DUMMYFUNCTION("""COMPUTED_VALUE"""),"NA")</f>
        <v>NA</v>
      </c>
      <c r="K612" s="20" t="str">
        <f ca="1">IFERROR(__xludf.DUMMYFUNCTION("""COMPUTED_VALUE"""),"NA")</f>
        <v>NA</v>
      </c>
      <c r="L612" s="20" t="str">
        <f ca="1">IFERROR(__xludf.DUMMYFUNCTION("""COMPUTED_VALUE"""),"NA")</f>
        <v>NA</v>
      </c>
      <c r="M612" s="20" t="str">
        <f ca="1">IFERROR(__xludf.DUMMYFUNCTION("""COMPUTED_VALUE"""),"Buenas Practicas Agropecuarias (BPAs) 2022")</f>
        <v>Buenas Practicas Agropecuarias (BPAs) 2022</v>
      </c>
      <c r="N612" s="20" t="str">
        <f ca="1">IFERROR(__xludf.DUMMYFUNCTION("""COMPUTED_VALUE"""),"NA")</f>
        <v>NA</v>
      </c>
      <c r="O612" s="20" t="str">
        <f ca="1">IFERROR(__xludf.DUMMYFUNCTION("""COMPUTED_VALUE"""),"SI")</f>
        <v>SI</v>
      </c>
      <c r="P612" s="20">
        <f ca="1">IFERROR(__xludf.DUMMYFUNCTION("""COMPUTED_VALUE"""),1)</f>
        <v>1</v>
      </c>
      <c r="Q612" s="113" t="str">
        <f ca="1">IFERROR(__xludf.DUMMYFUNCTION("""COMPUTED_VALUE"""),"https://gld.legislaturacba.gob.ar/_cdd/api/Documento/descargar?guid=6812c032-6dc6-4431-a679-91ba04e04ad4&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v>
      </c>
      <c r="R612" s="113" t="str">
        <f ca="1">IFERROR(__xludf.DUMMYFUNCTION("""COMPUTED_VALUE"""),"https://www.youtube.com/watch?v=EqnI_CcUMRc")</f>
        <v>https://www.youtube.com/watch?v=EqnI_CcUMRc</v>
      </c>
      <c r="S612" s="113" t="str">
        <f ca="1">IFERROR(__xludf.DUMMYFUNCTION("""COMPUTED_VALUE"""),"https://gld.legislaturacba.gob.ar/Publics/Actas.aspx?id=j7Ra1ri0zhQ=")</f>
        <v>https://gld.legislaturacba.gob.ar/Publics/Actas.aspx?id=j7Ra1ri0zhQ=</v>
      </c>
      <c r="T612" s="99">
        <f t="shared" ca="1" si="0"/>
        <v>0</v>
      </c>
    </row>
    <row r="613" spans="1:20">
      <c r="A613" s="20">
        <f ca="1">IFERROR(__xludf.DUMMYFUNCTION("""COMPUTED_VALUE"""),117)</f>
        <v>117</v>
      </c>
      <c r="B613" s="20">
        <f ca="1">IFERROR(__xludf.DUMMYFUNCTION("""COMPUTED_VALUE"""),2022)</f>
        <v>2022</v>
      </c>
      <c r="C613" s="20" t="str">
        <f ca="1">IFERROR(__xludf.DUMMYFUNCTION("""COMPUTED_VALUE"""),"VIRTUAL")</f>
        <v>VIRTUAL</v>
      </c>
      <c r="D613" s="106">
        <f ca="1">IFERROR(__xludf.DUMMYFUNCTION("""COMPUTED_VALUE"""),44784)</f>
        <v>44784</v>
      </c>
      <c r="E613" s="20" t="str">
        <f ca="1">IFERROR(__xludf.DUMMYFUNCTION("""COMPUTED_VALUE"""),"SI")</f>
        <v>SI</v>
      </c>
      <c r="F613" s="20" t="str">
        <f ca="1">IFERROR(__xludf.DUMMYFUNCTION("""COMPUTED_VALUE"""),"LEGISLACIÓN GENERAL;ECONOMÍA, PRESUPUESTO, GESTIÓN PÚBLICA E INNOVACIÓN")</f>
        <v>LEGISLACIÓN GENERAL;ECONOMÍA, PRESUPUESTO, GESTIÓN PÚBLICA E INNOVACIÓN</v>
      </c>
      <c r="G613" s="20">
        <f ca="1">IFERROR(__xludf.DUMMYFUNCTION("""COMPUTED_VALUE"""),2)</f>
        <v>2</v>
      </c>
      <c r="H613" s="20">
        <f ca="1">IFERROR(__xludf.DUMMYFUNCTION("""COMPUTED_VALUE"""),1)</f>
        <v>1</v>
      </c>
      <c r="I613" s="20">
        <f ca="1">IFERROR(__xludf.DUMMYFUNCTION("""COMPUTED_VALUE"""),1)</f>
        <v>1</v>
      </c>
      <c r="J613" s="20" t="str">
        <f ca="1">IFERROR(__xludf.DUMMYFUNCTION("""COMPUTED_VALUE"""),"Ley")</f>
        <v>Ley</v>
      </c>
      <c r="K613" s="20">
        <f ca="1">IFERROR(__xludf.DUMMYFUNCTION("""COMPUTED_VALUE"""),35388)</f>
        <v>35388</v>
      </c>
      <c r="L613" s="20" t="str">
        <f ca="1">IFERROR(__xludf.DUMMYFUNCTION("""COMPUTED_VALUE"""),"Poder Ejecutivo Provincial")</f>
        <v>Poder Ejecutivo Provincial</v>
      </c>
      <c r="M613"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13" s="20" t="str">
        <f ca="1">IFERROR(__xludf.DUMMYFUNCTION("""COMPUTED_VALUE"""),"NO")</f>
        <v>NO</v>
      </c>
      <c r="O613" s="20" t="str">
        <f ca="1">IFERROR(__xludf.DUMMYFUNCTION("""COMPUTED_VALUE"""),"NO")</f>
        <v>NO</v>
      </c>
      <c r="P613" s="20">
        <f ca="1">IFERROR(__xludf.DUMMYFUNCTION("""COMPUTED_VALUE"""),0)</f>
        <v>0</v>
      </c>
      <c r="Q613" s="113" t="str">
        <f ca="1">IFERROR(__xludf.DUMMYFUNCTION("""COMPUTED_VALUE"""),"https://gld.legislaturacba.gob.ar/_cdd/api/Documento/descargar?guid=26202668-4583-4b74-a83b-ed58b8954bb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v>
      </c>
      <c r="R613" s="113" t="str">
        <f ca="1">IFERROR(__xludf.DUMMYFUNCTION("""COMPUTED_VALUE"""),"https://www.youtube.com/watch?v=Mmrwv4LkWvs")</f>
        <v>https://www.youtube.com/watch?v=Mmrwv4LkWvs</v>
      </c>
      <c r="S613" s="113" t="str">
        <f ca="1">IFERROR(__xludf.DUMMYFUNCTION("""COMPUTED_VALUE"""),"https://gld.legislaturacba.gob.ar/Publics/Actas.aspx?id=RECgEjex-Eg=;https://gld.legislaturacba.gob.ar/Publics/Actas.aspx?id=agmxgj2xeQc=")</f>
        <v>https://gld.legislaturacba.gob.ar/Publics/Actas.aspx?id=RECgEjex-Eg=;https://gld.legislaturacba.gob.ar/Publics/Actas.aspx?id=agmxgj2xeQc=</v>
      </c>
      <c r="T613" s="99">
        <f t="shared" ca="1" si="0"/>
        <v>0</v>
      </c>
    </row>
    <row r="614" spans="1:20">
      <c r="A614" s="20">
        <f ca="1">IFERROR(__xludf.DUMMYFUNCTION("""COMPUTED_VALUE"""),118)</f>
        <v>118</v>
      </c>
      <c r="B614" s="20">
        <f ca="1">IFERROR(__xludf.DUMMYFUNCTION("""COMPUTED_VALUE"""),2022)</f>
        <v>2022</v>
      </c>
      <c r="C614" s="20" t="str">
        <f ca="1">IFERROR(__xludf.DUMMYFUNCTION("""COMPUTED_VALUE"""),"VIRTUAL")</f>
        <v>VIRTUAL</v>
      </c>
      <c r="D614" s="106">
        <f ca="1">IFERROR(__xludf.DUMMYFUNCTION("""COMPUTED_VALUE"""),44784)</f>
        <v>44784</v>
      </c>
      <c r="E614" s="20" t="str">
        <f ca="1">IFERROR(__xludf.DUMMYFUNCTION("""COMPUTED_VALUE"""),"NO")</f>
        <v>NO</v>
      </c>
      <c r="F614" s="20" t="str">
        <f ca="1">IFERROR(__xludf.DUMMYFUNCTION("""COMPUTED_VALUE"""),"AMBIENTE")</f>
        <v>AMBIENTE</v>
      </c>
      <c r="G614" s="20">
        <f ca="1">IFERROR(__xludf.DUMMYFUNCTION("""COMPUTED_VALUE"""),1)</f>
        <v>1</v>
      </c>
      <c r="H614" s="20">
        <f ca="1">IFERROR(__xludf.DUMMYFUNCTION("""COMPUTED_VALUE"""),1)</f>
        <v>1</v>
      </c>
      <c r="I614" s="20">
        <f ca="1">IFERROR(__xludf.DUMMYFUNCTION("""COMPUTED_VALUE"""),1)</f>
        <v>1</v>
      </c>
      <c r="J614" s="20" t="str">
        <f ca="1">IFERROR(__xludf.DUMMYFUNCTION("""COMPUTED_VALUE"""),"Ley")</f>
        <v>Ley</v>
      </c>
      <c r="K614" s="20">
        <f ca="1">IFERROR(__xludf.DUMMYFUNCTION("""COMPUTED_VALUE"""),35497)</f>
        <v>35497</v>
      </c>
      <c r="L614" s="20" t="str">
        <f ca="1">IFERROR(__xludf.DUMMYFUNCTION("""COMPUTED_VALUE"""),"Poder Ejecutivo Provincial")</f>
        <v>Poder Ejecutivo Provincial</v>
      </c>
      <c r="M614" s="20" t="str">
        <f ca="1">IFERROR(__xludf.DUMMYFUNCTION("""COMPUTED_VALUE"""),"Sustituyendo los Anexos I y II de la Ley N° 10208 de Política Ambiental Provincial. ")</f>
        <v xml:space="preserve">Sustituyendo los Anexos I y II de la Ley N° 10208 de Política Ambiental Provincial. </v>
      </c>
      <c r="N614" s="20" t="str">
        <f ca="1">IFERROR(__xludf.DUMMYFUNCTION("""COMPUTED_VALUE"""),"NO")</f>
        <v>NO</v>
      </c>
      <c r="O614" s="20" t="str">
        <f ca="1">IFERROR(__xludf.DUMMYFUNCTION("""COMPUTED_VALUE"""),"SI")</f>
        <v>SI</v>
      </c>
      <c r="P614" s="20">
        <f ca="1">IFERROR(__xludf.DUMMYFUNCTION("""COMPUTED_VALUE"""),2)</f>
        <v>2</v>
      </c>
      <c r="Q614" s="113" t="str">
        <f ca="1">IFERROR(__xludf.DUMMYFUNCTION("""COMPUTED_VALUE"""),"https://gld.legislaturacba.gob.ar/_cdd/api/Documento/descargar?guid=585e7020-d578-4ab8-b2d2-3955a2dbcd38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v>
      </c>
      <c r="R614" s="113" t="str">
        <f ca="1">IFERROR(__xludf.DUMMYFUNCTION("""COMPUTED_VALUE"""),"https://www.youtube.com/watch?v=6n-FCU7M0Rk")</f>
        <v>https://www.youtube.com/watch?v=6n-FCU7M0Rk</v>
      </c>
      <c r="S614" s="113" t="str">
        <f ca="1">IFERROR(__xludf.DUMMYFUNCTION("""COMPUTED_VALUE"""),"https://gld.legislaturacba.gob.ar/Publics/Actas.aspx?id=jWp3de-bQPQ=")</f>
        <v>https://gld.legislaturacba.gob.ar/Publics/Actas.aspx?id=jWp3de-bQPQ=</v>
      </c>
      <c r="T614" s="99">
        <f t="shared" ca="1" si="0"/>
        <v>0</v>
      </c>
    </row>
    <row r="615" spans="1:20">
      <c r="A615" s="20">
        <f ca="1">IFERROR(__xludf.DUMMYFUNCTION("""COMPUTED_VALUE"""),119)</f>
        <v>119</v>
      </c>
      <c r="B615" s="20">
        <f ca="1">IFERROR(__xludf.DUMMYFUNCTION("""COMPUTED_VALUE"""),2022)</f>
        <v>2022</v>
      </c>
      <c r="C615" s="20" t="str">
        <f ca="1">IFERROR(__xludf.DUMMYFUNCTION("""COMPUTED_VALUE"""),"VIRTUAL")</f>
        <v>VIRTUAL</v>
      </c>
      <c r="D615" s="106">
        <f ca="1">IFERROR(__xludf.DUMMYFUNCTION("""COMPUTED_VALUE"""),44784)</f>
        <v>44784</v>
      </c>
      <c r="E615" s="20" t="str">
        <f ca="1">IFERROR(__xludf.DUMMYFUNCTION("""COMPUTED_VALUE"""),"SI")</f>
        <v>SI</v>
      </c>
      <c r="F615" s="20" t="str">
        <f ca="1">IFERROR(__xludf.DUMMYFUNCTION("""COMPUTED_VALUE"""),"EDUCACIÓN, CULTURA, CIENCIA, TECNOLOGÍA E INFORMÁTICA;SALUD HUMANA")</f>
        <v>EDUCACIÓN, CULTURA, CIENCIA, TECNOLOGÍA E INFORMÁTICA;SALUD HUMANA</v>
      </c>
      <c r="G615" s="20">
        <f ca="1">IFERROR(__xludf.DUMMYFUNCTION("""COMPUTED_VALUE"""),2)</f>
        <v>2</v>
      </c>
      <c r="H615" s="20">
        <f ca="1">IFERROR(__xludf.DUMMYFUNCTION("""COMPUTED_VALUE"""),6)</f>
        <v>6</v>
      </c>
      <c r="I615" s="20">
        <f ca="1">IFERROR(__xludf.DUMMYFUNCTION("""COMPUTED_VALUE"""),1)</f>
        <v>1</v>
      </c>
      <c r="J615" s="20" t="str">
        <f ca="1">IFERROR(__xludf.DUMMYFUNCTION("""COMPUTED_VALUE"""),"Ley")</f>
        <v>Ley</v>
      </c>
      <c r="K615" s="20">
        <f ca="1">IFERROR(__xludf.DUMMYFUNCTION("""COMPUTED_VALUE"""),23709)</f>
        <v>23709</v>
      </c>
      <c r="L615" s="20" t="str">
        <f ca="1">IFERROR(__xludf.DUMMYFUNCTION("""COMPUTED_VALUE"""),"Poder Legislativo Provincial")</f>
        <v>Poder Legislativo Provincial</v>
      </c>
      <c r="M615" s="20" t="str">
        <f ca="1">IFERROR(__xludf.DUMMYFUNCTION("""COMPUTED_VALUE"""),"Creando el Programa de Formación Permanente en Técnicas de Reanimación Pulmonar Básicas dirigida a Docentes y adhiriendo a la Ley Nacional Nº 27159, Sistema De Prevención Integral De Muerte Súbita.")</f>
        <v>Creando el Programa de Formación Permanente en Técnicas de Reanimación Pulmonar Básicas dirigida a Docentes y adhiriendo a la Ley Nacional Nº 27159, Sistema De Prevención Integral De Muerte Súbita.</v>
      </c>
      <c r="N615" s="20" t="str">
        <f ca="1">IFERROR(__xludf.DUMMYFUNCTION("""COMPUTED_VALUE"""),"NO")</f>
        <v>NO</v>
      </c>
      <c r="O615" s="20" t="str">
        <f ca="1">IFERROR(__xludf.DUMMYFUNCTION("""COMPUTED_VALUE"""),"NO")</f>
        <v>NO</v>
      </c>
      <c r="P615" s="20">
        <f ca="1">IFERROR(__xludf.DUMMYFUNCTION("""COMPUTED_VALUE"""),0)</f>
        <v>0</v>
      </c>
      <c r="Q615" s="113" t="str">
        <f ca="1">IFERROR(__xludf.DUMMYFUNCTION("""COMPUTED_VALUE"""),"https://gld.legislaturacba.gob.ar/_cdd/api/Documento/descargar?guid=709c3726-7b26-4aca-8634-e4280f770377&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v>
      </c>
      <c r="R615" s="113" t="str">
        <f ca="1">IFERROR(__xludf.DUMMYFUNCTION("""COMPUTED_VALUE"""),"https://www.youtube.com/watch?v=MIgmEFGWL-g")</f>
        <v>https://www.youtube.com/watch?v=MIgmEFGWL-g</v>
      </c>
      <c r="S615" s="113" t="str">
        <f ca="1">IFERROR(__xludf.DUMMYFUNCTION("""COMPUTED_VALUE"""),"https://gld.legislaturacba.gob.ar/Publics/Actas.aspx?id=owHEuLeJVvk=;https://gld.legislaturacba.gob.ar/Publics/Actas.aspx?id=AOg_EHyf6SI=")</f>
        <v>https://gld.legislaturacba.gob.ar/Publics/Actas.aspx?id=owHEuLeJVvk=;https://gld.legislaturacba.gob.ar/Publics/Actas.aspx?id=AOg_EHyf6SI=</v>
      </c>
      <c r="T615" s="99">
        <f t="shared" ca="1" si="0"/>
        <v>0</v>
      </c>
    </row>
    <row r="616" spans="1:20">
      <c r="A616" s="20">
        <f ca="1">IFERROR(__xludf.DUMMYFUNCTION("""COMPUTED_VALUE"""),120)</f>
        <v>120</v>
      </c>
      <c r="B616" s="20">
        <f ca="1">IFERROR(__xludf.DUMMYFUNCTION("""COMPUTED_VALUE"""),2022)</f>
        <v>2022</v>
      </c>
      <c r="C616" s="20" t="str">
        <f ca="1">IFERROR(__xludf.DUMMYFUNCTION("""COMPUTED_VALUE"""),"VIRTUAL")</f>
        <v>VIRTUAL</v>
      </c>
      <c r="D616" s="106">
        <f ca="1">IFERROR(__xludf.DUMMYFUNCTION("""COMPUTED_VALUE"""),44789)</f>
        <v>44789</v>
      </c>
      <c r="E616" s="20" t="str">
        <f ca="1">IFERROR(__xludf.DUMMYFUNCTION("""COMPUTED_VALUE"""),"NO")</f>
        <v>NO</v>
      </c>
      <c r="F616" s="20" t="str">
        <f ca="1">IFERROR(__xludf.DUMMYFUNCTION("""COMPUTED_VALUE"""),"ASUNTOS INSTITUCIONALES, MUNICIPALES Y COMUNALES")</f>
        <v>ASUNTOS INSTITUCIONALES, MUNICIPALES Y COMUNALES</v>
      </c>
      <c r="G616" s="20">
        <f ca="1">IFERROR(__xludf.DUMMYFUNCTION("""COMPUTED_VALUE"""),1)</f>
        <v>1</v>
      </c>
      <c r="H616" s="20">
        <f ca="1">IFERROR(__xludf.DUMMYFUNCTION("""COMPUTED_VALUE"""),1)</f>
        <v>1</v>
      </c>
      <c r="I616" s="20">
        <f ca="1">IFERROR(__xludf.DUMMYFUNCTION("""COMPUTED_VALUE"""),1)</f>
        <v>1</v>
      </c>
      <c r="J616" s="20" t="str">
        <f ca="1">IFERROR(__xludf.DUMMYFUNCTION("""COMPUTED_VALUE"""),"Ley")</f>
        <v>Ley</v>
      </c>
      <c r="K616" s="20">
        <f ca="1">IFERROR(__xludf.DUMMYFUNCTION("""COMPUTED_VALUE"""),35473)</f>
        <v>35473</v>
      </c>
      <c r="L616" s="20" t="str">
        <f ca="1">IFERROR(__xludf.DUMMYFUNCTION("""COMPUTED_VALUE"""),"Poder Ejecutivo Provincial")</f>
        <v>Poder Ejecutivo Provincial</v>
      </c>
      <c r="M616" s="20" t="str">
        <f ca="1">IFERROR(__xludf.DUMMYFUNCTION("""COMPUTED_VALUE"""),"Modificando el radio municipal de la localidad de Carnerillo, Dpto. Juárez Celman, y el límite interdepartamental entre los Departamentos Juárez Celman y Río Cuarto. ")</f>
        <v xml:space="preserve">Modificando el radio municipal de la localidad de Carnerillo, Dpto. Juárez Celman, y el límite interdepartamental entre los Departamentos Juárez Celman y Río Cuarto. </v>
      </c>
      <c r="N616" s="20" t="str">
        <f ca="1">IFERROR(__xludf.DUMMYFUNCTION("""COMPUTED_VALUE"""),"NO")</f>
        <v>NO</v>
      </c>
      <c r="O616" s="20" t="str">
        <f ca="1">IFERROR(__xludf.DUMMYFUNCTION("""COMPUTED_VALUE"""),"NO")</f>
        <v>NO</v>
      </c>
      <c r="P616" s="20">
        <f ca="1">IFERROR(__xludf.DUMMYFUNCTION("""COMPUTED_VALUE"""),0)</f>
        <v>0</v>
      </c>
      <c r="Q616" s="113" t="str">
        <f ca="1">IFERROR(__xludf.DUMMYFUNCTION("""COMPUTED_VALUE"""),"https://gld.legislaturacba.gob.ar/_cdd/api/Documento/descargar?guid=57dd2183-8dc1-421d-902a-441486bbfd1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v>
      </c>
      <c r="R616" s="113" t="str">
        <f ca="1">IFERROR(__xludf.DUMMYFUNCTION("""COMPUTED_VALUE"""),"https://www.youtube.com/watch?v=GJ34d8N-1X4")</f>
        <v>https://www.youtube.com/watch?v=GJ34d8N-1X4</v>
      </c>
      <c r="S616" s="113" t="str">
        <f ca="1">IFERROR(__xludf.DUMMYFUNCTION("""COMPUTED_VALUE"""),"https://gld.legislaturacba.gob.ar/Publics/Actas.aspx?id=NilBp1bstm8=")</f>
        <v>https://gld.legislaturacba.gob.ar/Publics/Actas.aspx?id=NilBp1bstm8=</v>
      </c>
      <c r="T616" s="99">
        <f t="shared" ca="1" si="0"/>
        <v>0</v>
      </c>
    </row>
    <row r="617" spans="1:20">
      <c r="A617" s="20">
        <f ca="1">IFERROR(__xludf.DUMMYFUNCTION("""COMPUTED_VALUE"""),121)</f>
        <v>121</v>
      </c>
      <c r="B617" s="20">
        <f ca="1">IFERROR(__xludf.DUMMYFUNCTION("""COMPUTED_VALUE"""),2022)</f>
        <v>2022</v>
      </c>
      <c r="C617" s="20" t="str">
        <f ca="1">IFERROR(__xludf.DUMMYFUNCTION("""COMPUTED_VALUE"""),"VIRTUAL")</f>
        <v>VIRTUAL</v>
      </c>
      <c r="D617" s="106">
        <f ca="1">IFERROR(__xludf.DUMMYFUNCTION("""COMPUTED_VALUE"""),44789)</f>
        <v>44789</v>
      </c>
      <c r="E617" s="20" t="str">
        <f ca="1">IFERROR(__xludf.DUMMYFUNCTION("""COMPUTED_VALUE"""),"NO")</f>
        <v>NO</v>
      </c>
      <c r="F617" s="20" t="str">
        <f ca="1">IFERROR(__xludf.DUMMYFUNCTION("""COMPUTED_VALUE"""),"EDUCACIÓN, CULTURA, CIENCIA, TECNOLOGÍA E INFORMÁTICA")</f>
        <v>EDUCACIÓN, CULTURA, CIENCIA, TECNOLOGÍA E INFORMÁTICA</v>
      </c>
      <c r="G617" s="20">
        <f ca="1">IFERROR(__xludf.DUMMYFUNCTION("""COMPUTED_VALUE"""),1)</f>
        <v>1</v>
      </c>
      <c r="H617" s="20">
        <f ca="1">IFERROR(__xludf.DUMMYFUNCTION("""COMPUTED_VALUE"""),5)</f>
        <v>5</v>
      </c>
      <c r="I617" s="20">
        <f ca="1">IFERROR(__xludf.DUMMYFUNCTION("""COMPUTED_VALUE"""),1)</f>
        <v>1</v>
      </c>
      <c r="J617" s="20" t="str">
        <f ca="1">IFERROR(__xludf.DUMMYFUNCTION("""COMPUTED_VALUE"""),"Resolución")</f>
        <v>Resolución</v>
      </c>
      <c r="K617" s="20">
        <f ca="1">IFERROR(__xludf.DUMMYFUNCTION("""COMPUTED_VALUE"""),33702)</f>
        <v>33702</v>
      </c>
      <c r="L617" s="20" t="str">
        <f ca="1">IFERROR(__xludf.DUMMYFUNCTION("""COMPUTED_VALUE"""),"Poder Legislativo Provincial")</f>
        <v>Poder Legislativo Provincial</v>
      </c>
      <c r="M617" s="20" t="str">
        <f ca="1">IFERROR(__xludf.DUMMYFUNCTION("""COMPUTED_VALUE"""),"Solicitando la comparecencia del Ministro de Educación (Art. 101 C.P.) para que informe sobre la vuelta a la plena presencialidad en las aulas y las exigencias que esta implica para los docentes. ")</f>
        <v xml:space="preserve">Solicitando la comparecencia del Ministro de Educación (Art. 101 C.P.) para que informe sobre la vuelta a la plena presencialidad en las aulas y las exigencias que esta implica para los docentes. </v>
      </c>
      <c r="N617" s="20" t="str">
        <f ca="1">IFERROR(__xludf.DUMMYFUNCTION("""COMPUTED_VALUE"""),"SI")</f>
        <v>SI</v>
      </c>
      <c r="O617" s="20" t="str">
        <f ca="1">IFERROR(__xludf.DUMMYFUNCTION("""COMPUTED_VALUE"""),"NO")</f>
        <v>NO</v>
      </c>
      <c r="P617" s="20">
        <f ca="1">IFERROR(__xludf.DUMMYFUNCTION("""COMPUTED_VALUE"""),0)</f>
        <v>0</v>
      </c>
      <c r="Q617" s="113" t="str">
        <f ca="1">IFERROR(__xludf.DUMMYFUNCTION("""COMPUTED_VALUE"""),"https://gld.legislaturacba.gob.ar/_cdd/api/Documento/descargar?guid=57dd2183-8dc1-421d-902a-441486bbfd1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v>
      </c>
      <c r="R617" s="113" t="str">
        <f ca="1">IFERROR(__xludf.DUMMYFUNCTION("""COMPUTED_VALUE"""),"https://www.youtube.com/watch?v=Dl_hS7nYie8")</f>
        <v>https://www.youtube.com/watch?v=Dl_hS7nYie8</v>
      </c>
      <c r="S617" s="113" t="str">
        <f ca="1">IFERROR(__xludf.DUMMYFUNCTION("""COMPUTED_VALUE"""),"https://gld.legislaturacba.gob.ar/Publics/Actas.aspx?id=NilBp1bstm8=")</f>
        <v>https://gld.legislaturacba.gob.ar/Publics/Actas.aspx?id=NilBp1bstm8=</v>
      </c>
      <c r="T617" s="99">
        <f t="shared" ca="1" si="0"/>
        <v>0</v>
      </c>
    </row>
    <row r="618" spans="1:20">
      <c r="A618" s="20">
        <f ca="1">IFERROR(__xludf.DUMMYFUNCTION("""COMPUTED_VALUE"""),122)</f>
        <v>122</v>
      </c>
      <c r="B618" s="20">
        <f ca="1">IFERROR(__xludf.DUMMYFUNCTION("""COMPUTED_VALUE"""),2022)</f>
        <v>2022</v>
      </c>
      <c r="C618" s="20" t="str">
        <f ca="1">IFERROR(__xludf.DUMMYFUNCTION("""COMPUTED_VALUE"""),"VIRTUAL")</f>
        <v>VIRTUAL</v>
      </c>
      <c r="D618" s="106">
        <f ca="1">IFERROR(__xludf.DUMMYFUNCTION("""COMPUTED_VALUE"""),44789)</f>
        <v>44789</v>
      </c>
      <c r="E618" s="20" t="str">
        <f ca="1">IFERROR(__xludf.DUMMYFUNCTION("""COMPUTED_VALUE"""),"SI")</f>
        <v>SI</v>
      </c>
      <c r="F618" s="20" t="str">
        <f ca="1">IFERROR(__xludf.DUMMYFUNCTION("""COMPUTED_VALUE"""),"LEGISLACIÓN GENERAL;AMBIENTE")</f>
        <v>LEGISLACIÓN GENERAL;AMBIENTE</v>
      </c>
      <c r="G618" s="20">
        <f ca="1">IFERROR(__xludf.DUMMYFUNCTION("""COMPUTED_VALUE"""),2)</f>
        <v>2</v>
      </c>
      <c r="H618" s="20">
        <f ca="1">IFERROR(__xludf.DUMMYFUNCTION("""COMPUTED_VALUE"""),1)</f>
        <v>1</v>
      </c>
      <c r="I618" s="20">
        <f ca="1">IFERROR(__xludf.DUMMYFUNCTION("""COMPUTED_VALUE"""),1)</f>
        <v>1</v>
      </c>
      <c r="J618" s="20" t="str">
        <f ca="1">IFERROR(__xludf.DUMMYFUNCTION("""COMPUTED_VALUE"""),"Ley")</f>
        <v>Ley</v>
      </c>
      <c r="K618" s="20">
        <f ca="1">IFERROR(__xludf.DUMMYFUNCTION("""COMPUTED_VALUE"""),35497)</f>
        <v>35497</v>
      </c>
      <c r="L618" s="20" t="str">
        <f ca="1">IFERROR(__xludf.DUMMYFUNCTION("""COMPUTED_VALUE"""),"Poder Ejecutivo Provincial")</f>
        <v>Poder Ejecutivo Provincial</v>
      </c>
      <c r="M618" s="20" t="str">
        <f ca="1">IFERROR(__xludf.DUMMYFUNCTION("""COMPUTED_VALUE"""),"Sustituyendo los Anexos I y II de la Ley N° 10208 de Política Ambiental Provincial. ")</f>
        <v xml:space="preserve">Sustituyendo los Anexos I y II de la Ley N° 10208 de Política Ambiental Provincial. </v>
      </c>
      <c r="N618" s="20" t="str">
        <f ca="1">IFERROR(__xludf.DUMMYFUNCTION("""COMPUTED_VALUE"""),"SI")</f>
        <v>SI</v>
      </c>
      <c r="O618" s="20" t="str">
        <f ca="1">IFERROR(__xludf.DUMMYFUNCTION("""COMPUTED_VALUE"""),"NO")</f>
        <v>NO</v>
      </c>
      <c r="P618" s="20">
        <f ca="1">IFERROR(__xludf.DUMMYFUNCTION("""COMPUTED_VALUE"""),0)</f>
        <v>0</v>
      </c>
      <c r="Q618" s="113" t="str">
        <f ca="1">IFERROR(__xludf.DUMMYFUNCTION("""COMPUTED_VALUE"""),"https://gld.legislaturacba.gob.ar/_cdd/api/Documento/descargar?guid=00b5079d-e915-4e69-9d24-56aba3908f2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v>
      </c>
      <c r="R618" s="113" t="str">
        <f ca="1">IFERROR(__xludf.DUMMYFUNCTION("""COMPUTED_VALUE"""),"https://www.youtube.com/watch?v=icnPbW1bkRA")</f>
        <v>https://www.youtube.com/watch?v=icnPbW1bkRA</v>
      </c>
      <c r="S618" s="113" t="str">
        <f ca="1">IFERROR(__xludf.DUMMYFUNCTION("""COMPUTED_VALUE"""),"https://gld.legislaturacba.gob.ar/Publics/Actas.aspx?id=8_8Cx3meStw=;https://gld.legislaturacba.gob.ar/Publics/Actas.aspx?id=gF5e_JUY_3g=")</f>
        <v>https://gld.legislaturacba.gob.ar/Publics/Actas.aspx?id=8_8Cx3meStw=;https://gld.legislaturacba.gob.ar/Publics/Actas.aspx?id=gF5e_JUY_3g=</v>
      </c>
      <c r="T618" s="99">
        <f t="shared" ca="1" si="0"/>
        <v>0</v>
      </c>
    </row>
    <row r="619" spans="1:20">
      <c r="A619" s="20">
        <f ca="1">IFERROR(__xludf.DUMMYFUNCTION("""COMPUTED_VALUE"""),123)</f>
        <v>123</v>
      </c>
      <c r="B619" s="20">
        <f ca="1">IFERROR(__xludf.DUMMYFUNCTION("""COMPUTED_VALUE"""),2022)</f>
        <v>2022</v>
      </c>
      <c r="C619" s="20" t="str">
        <f ca="1">IFERROR(__xludf.DUMMYFUNCTION("""COMPUTED_VALUE"""),"VIRTUAL")</f>
        <v>VIRTUAL</v>
      </c>
      <c r="D619" s="106">
        <f ca="1">IFERROR(__xludf.DUMMYFUNCTION("""COMPUTED_VALUE"""),44791)</f>
        <v>44791</v>
      </c>
      <c r="E619" s="20" t="str">
        <f ca="1">IFERROR(__xludf.DUMMYFUNCTION("""COMPUTED_VALUE"""),"SI")</f>
        <v>SI</v>
      </c>
      <c r="F619" s="20" t="str">
        <f ca="1">IFERROR(__xludf.DUMMYFUNCTION("""COMPUTED_VALUE"""),"LEGISLACIÓN GENERAL;ECONOMÍA, PRESUPUESTO, GESTIÓN PÚBLICA E INNOVACIÓN")</f>
        <v>LEGISLACIÓN GENERAL;ECONOMÍA, PRESUPUESTO, GESTIÓN PÚBLICA E INNOVACIÓN</v>
      </c>
      <c r="G619" s="20">
        <f ca="1">IFERROR(__xludf.DUMMYFUNCTION("""COMPUTED_VALUE"""),2)</f>
        <v>2</v>
      </c>
      <c r="H619" s="20">
        <f ca="1">IFERROR(__xludf.DUMMYFUNCTION("""COMPUTED_VALUE"""),1)</f>
        <v>1</v>
      </c>
      <c r="I619" s="20">
        <f ca="1">IFERROR(__xludf.DUMMYFUNCTION("""COMPUTED_VALUE"""),1)</f>
        <v>1</v>
      </c>
      <c r="J619" s="20" t="str">
        <f ca="1">IFERROR(__xludf.DUMMYFUNCTION("""COMPUTED_VALUE"""),"Ley")</f>
        <v>Ley</v>
      </c>
      <c r="K619" s="20">
        <f ca="1">IFERROR(__xludf.DUMMYFUNCTION("""COMPUTED_VALUE"""),35388)</f>
        <v>35388</v>
      </c>
      <c r="L619" s="20" t="str">
        <f ca="1">IFERROR(__xludf.DUMMYFUNCTION("""COMPUTED_VALUE"""),"Poder Ejecutivo Provincial")</f>
        <v>Poder Ejecutivo Provincial</v>
      </c>
      <c r="M619"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19" s="20" t="str">
        <f ca="1">IFERROR(__xludf.DUMMYFUNCTION("""COMPUTED_VALUE"""),"NO")</f>
        <v>NO</v>
      </c>
      <c r="O619" s="20" t="str">
        <f ca="1">IFERROR(__xludf.DUMMYFUNCTION("""COMPUTED_VALUE"""),"NO")</f>
        <v>NO</v>
      </c>
      <c r="P619" s="20">
        <f ca="1">IFERROR(__xludf.DUMMYFUNCTION("""COMPUTED_VALUE"""),0)</f>
        <v>0</v>
      </c>
      <c r="Q619" s="113" t="str">
        <f ca="1">IFERROR(__xludf.DUMMYFUNCTION("""COMPUTED_VALUE"""),"https://gld.legislaturacba.gob.ar/_cdd/api/Documento/descargar?guid=998fb937-cb00-483e-a25f-84f1c055d97e&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v>
      </c>
      <c r="R619" s="113" t="str">
        <f ca="1">IFERROR(__xludf.DUMMYFUNCTION("""COMPUTED_VALUE"""),"https://www.youtube.com/watch?v=5RqRfDMoJOs")</f>
        <v>https://www.youtube.com/watch?v=5RqRfDMoJOs</v>
      </c>
      <c r="S619" s="113" t="str">
        <f ca="1">IFERROR(__xludf.DUMMYFUNCTION("""COMPUTED_VALUE"""),"https://gld.legislaturacba.gob.ar/Publics/Actas.aspx?id=1bR-qGmG-cw=;https://gld.legislaturacba.gob.ar/Publics/Actas.aspx?id=S5KN3YfHvzA=")</f>
        <v>https://gld.legislaturacba.gob.ar/Publics/Actas.aspx?id=1bR-qGmG-cw=;https://gld.legislaturacba.gob.ar/Publics/Actas.aspx?id=S5KN3YfHvzA=</v>
      </c>
      <c r="T619" s="99">
        <f t="shared" ca="1" si="0"/>
        <v>0</v>
      </c>
    </row>
    <row r="620" spans="1:20">
      <c r="A620" s="20">
        <f ca="1">IFERROR(__xludf.DUMMYFUNCTION("""COMPUTED_VALUE"""),124)</f>
        <v>124</v>
      </c>
      <c r="B620" s="20">
        <f ca="1">IFERROR(__xludf.DUMMYFUNCTION("""COMPUTED_VALUE"""),2022)</f>
        <v>2022</v>
      </c>
      <c r="C620" s="20" t="str">
        <f ca="1">IFERROR(__xludf.DUMMYFUNCTION("""COMPUTED_VALUE"""),"VIRTUAL")</f>
        <v>VIRTUAL</v>
      </c>
      <c r="D620" s="106">
        <f ca="1">IFERROR(__xludf.DUMMYFUNCTION("""COMPUTED_VALUE"""),44796)</f>
        <v>44796</v>
      </c>
      <c r="E620" s="20" t="str">
        <f ca="1">IFERROR(__xludf.DUMMYFUNCTION("""COMPUTED_VALUE"""),"SI")</f>
        <v>SI</v>
      </c>
      <c r="F620" s="20" t="str">
        <f ca="1">IFERROR(__xludf.DUMMYFUNCTION("""COMPUTED_VALUE"""),"LEGISLACIÓN GENERAL;ASUNTOS CONSTITUCIONALES, JUSTICIA Y ACUERDOS")</f>
        <v>LEGISLACIÓN GENERAL;ASUNTOS CONSTITUCIONALES, JUSTICIA Y ACUERDOS</v>
      </c>
      <c r="G620" s="20">
        <f ca="1">IFERROR(__xludf.DUMMYFUNCTION("""COMPUTED_VALUE"""),2)</f>
        <v>2</v>
      </c>
      <c r="H620" s="20">
        <f ca="1">IFERROR(__xludf.DUMMYFUNCTION("""COMPUTED_VALUE"""),2)</f>
        <v>2</v>
      </c>
      <c r="I620" s="20">
        <f ca="1">IFERROR(__xludf.DUMMYFUNCTION("""COMPUTED_VALUE"""),1)</f>
        <v>1</v>
      </c>
      <c r="J620" s="20" t="str">
        <f ca="1">IFERROR(__xludf.DUMMYFUNCTION("""COMPUTED_VALUE"""),"Ley")</f>
        <v>Ley</v>
      </c>
      <c r="K620" s="20">
        <f ca="1">IFERROR(__xludf.DUMMYFUNCTION("""COMPUTED_VALUE"""),35448)</f>
        <v>35448</v>
      </c>
      <c r="L620" s="20" t="str">
        <f ca="1">IFERROR(__xludf.DUMMYFUNCTION("""COMPUTED_VALUE"""),"Poder Ejecutivo Provincial")</f>
        <v>Poder Ejecutivo Provincial</v>
      </c>
      <c r="M620" s="20" t="str">
        <f ca="1">IFERROR(__xludf.DUMMYFUNCTION("""COMPUTED_VALUE"""),"Aprobando el Decreto N° 662/22 por el que se convalidó lo actuado por la Policía de la provincia y se aprobó el ""Acta Acuerdo de Adhesión al Plan de Emergencia Aeroportuaria para la Cooperación en Casos de Emergencia"", celebrado entre la Policía de Córd"&amp;"oba y la Administración Nacional de Aviación Civil. ")</f>
        <v xml:space="preserve">Aprobando el Decreto N° 662/22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 </v>
      </c>
      <c r="N620" s="20" t="str">
        <f ca="1">IFERROR(__xludf.DUMMYFUNCTION("""COMPUTED_VALUE"""),"SI")</f>
        <v>SI</v>
      </c>
      <c r="O620" s="20" t="str">
        <f ca="1">IFERROR(__xludf.DUMMYFUNCTION("""COMPUTED_VALUE"""),"NO")</f>
        <v>NO</v>
      </c>
      <c r="P620" s="20">
        <f ca="1">IFERROR(__xludf.DUMMYFUNCTION("""COMPUTED_VALUE"""),0)</f>
        <v>0</v>
      </c>
      <c r="Q620" s="113" t="str">
        <f ca="1">IFERROR(__xludf.DUMMYFUNCTION("""COMPUTED_VALUE"""),"https://gld.legislaturacba.gob.ar/_cdd/api/Documento/descargar?guid=221e7a77-aabf-4c3e-a5e6-1e00d00d6242&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v>
      </c>
      <c r="R620" s="113" t="str">
        <f ca="1">IFERROR(__xludf.DUMMYFUNCTION("""COMPUTED_VALUE"""),"https://www.youtube.com/watch?v=i1HDtNoEIm0")</f>
        <v>https://www.youtube.com/watch?v=i1HDtNoEIm0</v>
      </c>
      <c r="S620" s="113" t="str">
        <f ca="1">IFERROR(__xludf.DUMMYFUNCTION("""COMPUTED_VALUE"""),"https://gld.legislaturacba.gob.ar/Publics/Actas.aspx?id=EwbBJJuWdE0=;https://gld.legislaturacba.gob.ar/Publics/Actas.aspx?id=hZO9VREcmi4=")</f>
        <v>https://gld.legislaturacba.gob.ar/Publics/Actas.aspx?id=EwbBJJuWdE0=;https://gld.legislaturacba.gob.ar/Publics/Actas.aspx?id=hZO9VREcmi4=</v>
      </c>
      <c r="T620" s="99">
        <f t="shared" ca="1" si="0"/>
        <v>0</v>
      </c>
    </row>
    <row r="621" spans="1:20">
      <c r="A621" s="20">
        <f ca="1">IFERROR(__xludf.DUMMYFUNCTION("""COMPUTED_VALUE"""),125)</f>
        <v>125</v>
      </c>
      <c r="B621" s="20">
        <f ca="1">IFERROR(__xludf.DUMMYFUNCTION("""COMPUTED_VALUE"""),2022)</f>
        <v>2022</v>
      </c>
      <c r="C621" s="20" t="str">
        <f ca="1">IFERROR(__xludf.DUMMYFUNCTION("""COMPUTED_VALUE"""),"VIRTUAL")</f>
        <v>VIRTUAL</v>
      </c>
      <c r="D621" s="106">
        <f ca="1">IFERROR(__xludf.DUMMYFUNCTION("""COMPUTED_VALUE"""),44796)</f>
        <v>44796</v>
      </c>
      <c r="E621" s="20" t="str">
        <f ca="1">IFERROR(__xludf.DUMMYFUNCTION("""COMPUTED_VALUE"""),"NO")</f>
        <v>NO</v>
      </c>
      <c r="F621" s="20" t="str">
        <f ca="1">IFERROR(__xludf.DUMMYFUNCTION("""COMPUTED_VALUE"""),"ASUNTOS INSTITUCIONALES, MUNICIPALES Y COMUNALES")</f>
        <v>ASUNTOS INSTITUCIONALES, MUNICIPALES Y COMUNALES</v>
      </c>
      <c r="G621" s="20">
        <f ca="1">IFERROR(__xludf.DUMMYFUNCTION("""COMPUTED_VALUE"""),1)</f>
        <v>1</v>
      </c>
      <c r="H621" s="20">
        <f ca="1">IFERROR(__xludf.DUMMYFUNCTION("""COMPUTED_VALUE"""),1)</f>
        <v>1</v>
      </c>
      <c r="I621" s="20">
        <f ca="1">IFERROR(__xludf.DUMMYFUNCTION("""COMPUTED_VALUE"""),1)</f>
        <v>1</v>
      </c>
      <c r="J621" s="20" t="str">
        <f ca="1">IFERROR(__xludf.DUMMYFUNCTION("""COMPUTED_VALUE"""),"Ley")</f>
        <v>Ley</v>
      </c>
      <c r="K621" s="20">
        <f ca="1">IFERROR(__xludf.DUMMYFUNCTION("""COMPUTED_VALUE"""),35474)</f>
        <v>35474</v>
      </c>
      <c r="L621" s="20" t="str">
        <f ca="1">IFERROR(__xludf.DUMMYFUNCTION("""COMPUTED_VALUE"""),"Poder Ejecutivo Provincial")</f>
        <v>Poder Ejecutivo Provincial</v>
      </c>
      <c r="M621" s="20" t="str">
        <f ca="1">IFERROR(__xludf.DUMMYFUNCTION("""COMPUTED_VALUE"""),"Modificando el radio municipal de la localidad de Sarmiento, Dpto. Totoral, y el límite interdepartamental entre los Departamentos Ischilín y Totoral. ")</f>
        <v xml:space="preserve">Modificando el radio municipal de la localidad de Sarmiento, Dpto. Totoral, y el límite interdepartamental entre los Departamentos Ischilín y Totoral. </v>
      </c>
      <c r="N621" s="20" t="str">
        <f ca="1">IFERROR(__xludf.DUMMYFUNCTION("""COMPUTED_VALUE"""),"NO")</f>
        <v>NO</v>
      </c>
      <c r="O621" s="20" t="str">
        <f ca="1">IFERROR(__xludf.DUMMYFUNCTION("""COMPUTED_VALUE"""),"NO")</f>
        <v>NO</v>
      </c>
      <c r="P621" s="20">
        <f ca="1">IFERROR(__xludf.DUMMYFUNCTION("""COMPUTED_VALUE"""),0)</f>
        <v>0</v>
      </c>
      <c r="Q621" s="113" t="str">
        <f ca="1">IFERROR(__xludf.DUMMYFUNCTION("""COMPUTED_VALUE"""),"https://gld.legislaturacba.gob.ar/_cdd/api/Documento/descargar?guid=ad0e06b6-9b80-48cb-a27b-b2b1b88d6ac2&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v>
      </c>
      <c r="R621" s="113" t="str">
        <f ca="1">IFERROR(__xludf.DUMMYFUNCTION("""COMPUTED_VALUE"""),"https://www.youtube.com/watch?v=GAn3lentJVw")</f>
        <v>https://www.youtube.com/watch?v=GAn3lentJVw</v>
      </c>
      <c r="S621" s="113" t="str">
        <f ca="1">IFERROR(__xludf.DUMMYFUNCTION("""COMPUTED_VALUE"""),"https://gld.legislaturacba.gob.ar/Publics/Actas.aspx?id=WstocYgW4ao=")</f>
        <v>https://gld.legislaturacba.gob.ar/Publics/Actas.aspx?id=WstocYgW4ao=</v>
      </c>
      <c r="T621" s="99">
        <f t="shared" ca="1" si="0"/>
        <v>0</v>
      </c>
    </row>
    <row r="622" spans="1:20">
      <c r="A622" s="20">
        <f ca="1">IFERROR(__xludf.DUMMYFUNCTION("""COMPUTED_VALUE"""),126)</f>
        <v>126</v>
      </c>
      <c r="B622" s="20">
        <f ca="1">IFERROR(__xludf.DUMMYFUNCTION("""COMPUTED_VALUE"""),2022)</f>
        <v>2022</v>
      </c>
      <c r="C622" s="20" t="str">
        <f ca="1">IFERROR(__xludf.DUMMYFUNCTION("""COMPUTED_VALUE"""),"VIRTUAL")</f>
        <v>VIRTUAL</v>
      </c>
      <c r="D622" s="106">
        <f ca="1">IFERROR(__xludf.DUMMYFUNCTION("""COMPUTED_VALUE"""),44798)</f>
        <v>44798</v>
      </c>
      <c r="E622" s="20" t="str">
        <f ca="1">IFERROR(__xludf.DUMMYFUNCTION("""COMPUTED_VALUE"""),"SI")</f>
        <v>SI</v>
      </c>
      <c r="F622" s="20" t="str">
        <f ca="1">IFERROR(__xludf.DUMMYFUNCTION("""COMPUTED_VALUE"""),"LEGISLACIÓN GENERAL;ECONOMÍA, PRESUPUESTO, GESTIÓN PÚBLICA E INNOVACIÓN")</f>
        <v>LEGISLACIÓN GENERAL;ECONOMÍA, PRESUPUESTO, GESTIÓN PÚBLICA E INNOVACIÓN</v>
      </c>
      <c r="G622" s="20">
        <f ca="1">IFERROR(__xludf.DUMMYFUNCTION("""COMPUTED_VALUE"""),2)</f>
        <v>2</v>
      </c>
      <c r="H622" s="20">
        <f ca="1">IFERROR(__xludf.DUMMYFUNCTION("""COMPUTED_VALUE"""),1)</f>
        <v>1</v>
      </c>
      <c r="I622" s="20">
        <f ca="1">IFERROR(__xludf.DUMMYFUNCTION("""COMPUTED_VALUE"""),1)</f>
        <v>1</v>
      </c>
      <c r="J622" s="20" t="str">
        <f ca="1">IFERROR(__xludf.DUMMYFUNCTION("""COMPUTED_VALUE"""),"Ley")</f>
        <v>Ley</v>
      </c>
      <c r="K622" s="20">
        <f ca="1">IFERROR(__xludf.DUMMYFUNCTION("""COMPUTED_VALUE"""),35388)</f>
        <v>35388</v>
      </c>
      <c r="L622" s="20" t="str">
        <f ca="1">IFERROR(__xludf.DUMMYFUNCTION("""COMPUTED_VALUE"""),"Poder Ejecutivo Provincial")</f>
        <v>Poder Ejecutivo Provincial</v>
      </c>
      <c r="M622"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22" s="20" t="str">
        <f ca="1">IFERROR(__xludf.DUMMYFUNCTION("""COMPUTED_VALUE"""),"NO")</f>
        <v>NO</v>
      </c>
      <c r="O622" s="20" t="str">
        <f ca="1">IFERROR(__xludf.DUMMYFUNCTION("""COMPUTED_VALUE"""),"NO")</f>
        <v>NO</v>
      </c>
      <c r="P622" s="20">
        <f ca="1">IFERROR(__xludf.DUMMYFUNCTION("""COMPUTED_VALUE"""),0)</f>
        <v>0</v>
      </c>
      <c r="Q622" s="113" t="str">
        <f ca="1">IFERROR(__xludf.DUMMYFUNCTION("""COMPUTED_VALUE"""),"https://gld.legislaturacba.gob.ar/_cdd/api/Documento/descargar?guid=b8e5417e-55a9-4fa5-b9d1-1f84a7a96c7e&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v>
      </c>
      <c r="R622" s="113" t="str">
        <f ca="1">IFERROR(__xludf.DUMMYFUNCTION("""COMPUTED_VALUE"""),"https://www.youtube.com/watch?v=bp69RRTvAmk")</f>
        <v>https://www.youtube.com/watch?v=bp69RRTvAmk</v>
      </c>
      <c r="S622" s="113" t="str">
        <f ca="1">IFERROR(__xludf.DUMMYFUNCTION("""COMPUTED_VALUE"""),"https://gld.legislaturacba.gob.ar/Publics/Actas.aspx?id=ms9sIoyQBaQ=;https://gld.legislaturacba.gob.ar/Publics/Actas.aspx?id=JIrowLq7dTM=")</f>
        <v>https://gld.legislaturacba.gob.ar/Publics/Actas.aspx?id=ms9sIoyQBaQ=;https://gld.legislaturacba.gob.ar/Publics/Actas.aspx?id=JIrowLq7dTM=</v>
      </c>
      <c r="T622" s="99">
        <f t="shared" ca="1" si="0"/>
        <v>0</v>
      </c>
    </row>
    <row r="623" spans="1:20">
      <c r="A623" s="20">
        <f ca="1">IFERROR(__xludf.DUMMYFUNCTION("""COMPUTED_VALUE"""),127)</f>
        <v>127</v>
      </c>
      <c r="B623" s="20">
        <f ca="1">IFERROR(__xludf.DUMMYFUNCTION("""COMPUTED_VALUE"""),2022)</f>
        <v>2022</v>
      </c>
      <c r="C623" s="20" t="str">
        <f ca="1">IFERROR(__xludf.DUMMYFUNCTION("""COMPUTED_VALUE"""),"VIRTUAL")</f>
        <v>VIRTUAL</v>
      </c>
      <c r="D623" s="106">
        <f ca="1">IFERROR(__xludf.DUMMYFUNCTION("""COMPUTED_VALUE"""),44798)</f>
        <v>44798</v>
      </c>
      <c r="E623" s="20" t="str">
        <f ca="1">IFERROR(__xludf.DUMMYFUNCTION("""COMPUTED_VALUE"""),"NO")</f>
        <v>NO</v>
      </c>
      <c r="F623" s="20" t="str">
        <f ca="1">IFERROR(__xludf.DUMMYFUNCTION("""COMPUTED_VALUE"""),"OBRAS PÚBLICAS, VIVIENDA Y COMUNICACIONES")</f>
        <v>OBRAS PÚBLICAS, VIVIENDA Y COMUNICACIONES</v>
      </c>
      <c r="G623" s="20">
        <f ca="1">IFERROR(__xludf.DUMMYFUNCTION("""COMPUTED_VALUE"""),1)</f>
        <v>1</v>
      </c>
      <c r="H623" s="20">
        <f ca="1">IFERROR(__xludf.DUMMYFUNCTION("""COMPUTED_VALUE"""),1)</f>
        <v>1</v>
      </c>
      <c r="I623" s="20">
        <f ca="1">IFERROR(__xludf.DUMMYFUNCTION("""COMPUTED_VALUE"""),1)</f>
        <v>1</v>
      </c>
      <c r="J623" s="20" t="str">
        <f ca="1">IFERROR(__xludf.DUMMYFUNCTION("""COMPUTED_VALUE"""),"Ley")</f>
        <v>Ley</v>
      </c>
      <c r="K623" s="20">
        <f ca="1">IFERROR(__xludf.DUMMYFUNCTION("""COMPUTED_VALUE"""),35665)</f>
        <v>35665</v>
      </c>
      <c r="L623" s="20" t="str">
        <f ca="1">IFERROR(__xludf.DUMMYFUNCTION("""COMPUTED_VALUE"""),"Poder Ejecutivo Provincial")</f>
        <v>Poder Ejecutivo Provincial</v>
      </c>
      <c r="M623" s="20" t="str">
        <f ca="1">IFERROR(__xludf.DUMMYFUNCTION("""COMPUTED_VALUE"""),"Declarando de utilidad pública y sujetos a expropiación los inmuebles necesarios para la ejecución de la obra: ""Segundo Anillo de Circunvalación de Córdoba -Tramo: Ruta A-174- Ruta Nacional N° 9, Sur"". ")</f>
        <v xml:space="preserve">Declarando de utilidad pública y sujetos a expropiación los inmuebles necesarios para la ejecución de la obra: "Segundo Anillo de Circunvalación de Córdoba -Tramo: Ruta A-174- Ruta Nacional N° 9, Sur". </v>
      </c>
      <c r="N623" s="20" t="str">
        <f ca="1">IFERROR(__xludf.DUMMYFUNCTION("""COMPUTED_VALUE"""),"SI")</f>
        <v>SI</v>
      </c>
      <c r="O623" s="20" t="str">
        <f ca="1">IFERROR(__xludf.DUMMYFUNCTION("""COMPUTED_VALUE"""),"SI")</f>
        <v>SI</v>
      </c>
      <c r="P623" s="20">
        <f ca="1">IFERROR(__xludf.DUMMYFUNCTION("""COMPUTED_VALUE"""),1)</f>
        <v>1</v>
      </c>
      <c r="Q623" s="113" t="str">
        <f ca="1">IFERROR(__xludf.DUMMYFUNCTION("""COMPUTED_VALUE"""),"https://gld.legislaturacba.gob.ar/_cdd/api/Documento/descargar?guid=265ddc67-fccf-4cd6-939a-0f1aa078f193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v>
      </c>
      <c r="R623" s="113" t="str">
        <f ca="1">IFERROR(__xludf.DUMMYFUNCTION("""COMPUTED_VALUE"""),"https://www.youtube.com/watch?v=wd88zuyLdfQ")</f>
        <v>https://www.youtube.com/watch?v=wd88zuyLdfQ</v>
      </c>
      <c r="S623" s="113" t="str">
        <f ca="1">IFERROR(__xludf.DUMMYFUNCTION("""COMPUTED_VALUE"""),"https://gld.legislaturacba.gob.ar/Publics/Actas.aspx?id=GSwZbLGLyUg=")</f>
        <v>https://gld.legislaturacba.gob.ar/Publics/Actas.aspx?id=GSwZbLGLyUg=</v>
      </c>
      <c r="T623" s="99">
        <f t="shared" ca="1" si="0"/>
        <v>0</v>
      </c>
    </row>
    <row r="624" spans="1:20">
      <c r="A624" s="20">
        <f ca="1">IFERROR(__xludf.DUMMYFUNCTION("""COMPUTED_VALUE"""),128)</f>
        <v>128</v>
      </c>
      <c r="B624" s="20">
        <f ca="1">IFERROR(__xludf.DUMMYFUNCTION("""COMPUTED_VALUE"""),2022)</f>
        <v>2022</v>
      </c>
      <c r="C624" s="20" t="str">
        <f ca="1">IFERROR(__xludf.DUMMYFUNCTION("""COMPUTED_VALUE"""),"SEMIPRESENCIAL")</f>
        <v>SEMIPRESENCIAL</v>
      </c>
      <c r="D624" s="106">
        <f ca="1">IFERROR(__xludf.DUMMYFUNCTION("""COMPUTED_VALUE"""),44803)</f>
        <v>44803</v>
      </c>
      <c r="E624" s="20" t="str">
        <f ca="1">IFERROR(__xludf.DUMMYFUNCTION("""COMPUTED_VALUE"""),"SI")</f>
        <v>SI</v>
      </c>
      <c r="F624" s="20" t="str">
        <f ca="1">IFERROR(__xludf.DUMMYFUNCTION("""COMPUTED_VALUE"""),"LEGISLACIÓN GENERAL;ASUNTOS CONSTITUCIONALES, JUSTICIA Y ACUERDOS")</f>
        <v>LEGISLACIÓN GENERAL;ASUNTOS CONSTITUCIONALES, JUSTICIA Y ACUERDOS</v>
      </c>
      <c r="G624" s="20">
        <f ca="1">IFERROR(__xludf.DUMMYFUNCTION("""COMPUTED_VALUE"""),2)</f>
        <v>2</v>
      </c>
      <c r="H624" s="20">
        <f ca="1">IFERROR(__xludf.DUMMYFUNCTION("""COMPUTED_VALUE"""),1)</f>
        <v>1</v>
      </c>
      <c r="I624" s="20">
        <f ca="1">IFERROR(__xludf.DUMMYFUNCTION("""COMPUTED_VALUE"""),1)</f>
        <v>1</v>
      </c>
      <c r="J624" s="20" t="str">
        <f ca="1">IFERROR(__xludf.DUMMYFUNCTION("""COMPUTED_VALUE"""),"Ley")</f>
        <v>Ley</v>
      </c>
      <c r="K624" s="20">
        <f ca="1">IFERROR(__xludf.DUMMYFUNCTION("""COMPUTED_VALUE"""),35041)</f>
        <v>35041</v>
      </c>
      <c r="L624" s="20" t="str">
        <f ca="1">IFERROR(__xludf.DUMMYFUNCTION("""COMPUTED_VALUE"""),"Poder Legislativo Provincial")</f>
        <v>Poder Legislativo Provincial</v>
      </c>
      <c r="M624" s="20" t="str">
        <f ca="1">IFERROR(__xludf.DUMMYFUNCTION("""COMPUTED_VALUE"""),"Estableciendo la Ley Orgánica del Ministerio Público de la Defensa de la Provincia de Córdoba y de Asistencia Jurídica Gratuita, derogando la Ley Nº 7982 y modificando las leyes Nros. 8435 y 8024. ")</f>
        <v xml:space="preserve">Estableciendo la Ley Orgánica del Ministerio Público de la Defensa de la Provincia de Córdoba y de Asistencia Jurídica Gratuita, derogando la Ley Nº 7982 y modificando las leyes Nros. 8435 y 8024. </v>
      </c>
      <c r="N624" s="20" t="str">
        <f ca="1">IFERROR(__xludf.DUMMYFUNCTION("""COMPUTED_VALUE"""),"NO")</f>
        <v>NO</v>
      </c>
      <c r="O624" s="20" t="str">
        <f ca="1">IFERROR(__xludf.DUMMYFUNCTION("""COMPUTED_VALUE"""),"SI")</f>
        <v>SI</v>
      </c>
      <c r="P624" s="20">
        <f ca="1">IFERROR(__xludf.DUMMYFUNCTION("""COMPUTED_VALUE"""),2)</f>
        <v>2</v>
      </c>
      <c r="Q624" s="113" t="str">
        <f ca="1">IFERROR(__xludf.DUMMYFUNCTION("""COMPUTED_VALUE"""),"https://gld.legislaturacba.gob.ar/_cdd/api/Documento/descargar?guid=0bc9bc76-9749-4bd7-b744-b9885099cdf6&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v>
      </c>
      <c r="R624" s="113" t="str">
        <f ca="1">IFERROR(__xludf.DUMMYFUNCTION("""COMPUTED_VALUE"""),"https://www.youtube.com/watch?v=qiogU2i2LgI")</f>
        <v>https://www.youtube.com/watch?v=qiogU2i2LgI</v>
      </c>
      <c r="S624" s="113" t="str">
        <f ca="1">IFERROR(__xludf.DUMMYFUNCTION("""COMPUTED_VALUE"""),"https://gld.legislaturacba.gob.ar/Publics/Actas.aspx?id=dMQYTl6tzas=;https://gld.legislaturacba.gob.ar/Publics/Actas.aspx?id=F8GQ9bIKoDk=")</f>
        <v>https://gld.legislaturacba.gob.ar/Publics/Actas.aspx?id=dMQYTl6tzas=;https://gld.legislaturacba.gob.ar/Publics/Actas.aspx?id=F8GQ9bIKoDk=</v>
      </c>
      <c r="T624" s="99">
        <f t="shared" ca="1" si="0"/>
        <v>0</v>
      </c>
    </row>
    <row r="625" spans="1:20">
      <c r="A625" s="20">
        <f ca="1">IFERROR(__xludf.DUMMYFUNCTION("""COMPUTED_VALUE"""),129)</f>
        <v>129</v>
      </c>
      <c r="B625" s="20">
        <f ca="1">IFERROR(__xludf.DUMMYFUNCTION("""COMPUTED_VALUE"""),2022)</f>
        <v>2022</v>
      </c>
      <c r="C625" s="20" t="str">
        <f ca="1">IFERROR(__xludf.DUMMYFUNCTION("""COMPUTED_VALUE"""),"VIRTUAL")</f>
        <v>VIRTUAL</v>
      </c>
      <c r="D625" s="106">
        <f ca="1">IFERROR(__xludf.DUMMYFUNCTION("""COMPUTED_VALUE"""),44803)</f>
        <v>44803</v>
      </c>
      <c r="E625" s="20" t="str">
        <f ca="1">IFERROR(__xludf.DUMMYFUNCTION("""COMPUTED_VALUE"""),"NO")</f>
        <v>NO</v>
      </c>
      <c r="F625" s="20" t="str">
        <f ca="1">IFERROR(__xludf.DUMMYFUNCTION("""COMPUTED_VALUE"""),"LEGISLACIÓN GENERAL")</f>
        <v>LEGISLACIÓN GENERAL</v>
      </c>
      <c r="G625" s="20">
        <f ca="1">IFERROR(__xludf.DUMMYFUNCTION("""COMPUTED_VALUE"""),1)</f>
        <v>1</v>
      </c>
      <c r="H625" s="20">
        <f ca="1">IFERROR(__xludf.DUMMYFUNCTION("""COMPUTED_VALUE"""),1)</f>
        <v>1</v>
      </c>
      <c r="I625" s="20">
        <f ca="1">IFERROR(__xludf.DUMMYFUNCTION("""COMPUTED_VALUE"""),1)</f>
        <v>1</v>
      </c>
      <c r="J625" s="20" t="str">
        <f ca="1">IFERROR(__xludf.DUMMYFUNCTION("""COMPUTED_VALUE"""),"Ley")</f>
        <v>Ley</v>
      </c>
      <c r="K625" s="20">
        <f ca="1">IFERROR(__xludf.DUMMYFUNCTION("""COMPUTED_VALUE"""),35474)</f>
        <v>35474</v>
      </c>
      <c r="L625" s="20" t="str">
        <f ca="1">IFERROR(__xludf.DUMMYFUNCTION("""COMPUTED_VALUE"""),"Poder Ejecutivo Provincial")</f>
        <v>Poder Ejecutivo Provincial</v>
      </c>
      <c r="M625" s="20" t="str">
        <f ca="1">IFERROR(__xludf.DUMMYFUNCTION("""COMPUTED_VALUE"""),"Modificando el radio municipal de la localidad de Sarmiento, Dpto. Totoral, y el límite interdepartamental entre los Departamentos Ischilín y Totoral. ")</f>
        <v xml:space="preserve">Modificando el radio municipal de la localidad de Sarmiento, Dpto. Totoral, y el límite interdepartamental entre los Departamentos Ischilín y Totoral. </v>
      </c>
      <c r="N625" s="20" t="str">
        <f ca="1">IFERROR(__xludf.DUMMYFUNCTION("""COMPUTED_VALUE"""),"SI")</f>
        <v>SI</v>
      </c>
      <c r="O625" s="20" t="str">
        <f ca="1">IFERROR(__xludf.DUMMYFUNCTION("""COMPUTED_VALUE"""),"NO")</f>
        <v>NO</v>
      </c>
      <c r="P625" s="20">
        <f ca="1">IFERROR(__xludf.DUMMYFUNCTION("""COMPUTED_VALUE"""),0)</f>
        <v>0</v>
      </c>
      <c r="Q625" s="113" t="str">
        <f ca="1">IFERROR(__xludf.DUMMYFUNCTION("""COMPUTED_VALUE"""),"https://gld.legislaturacba.gob.ar/_cdd/api/Documento/descargar?guid=4725fd3d-a266-470d-afb5-5f1b245ca125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v>
      </c>
      <c r="R625" s="113" t="str">
        <f ca="1">IFERROR(__xludf.DUMMYFUNCTION("""COMPUTED_VALUE"""),"https://www.youtube.com/watch?v=W0ASEBtAbVU")</f>
        <v>https://www.youtube.com/watch?v=W0ASEBtAbVU</v>
      </c>
      <c r="S625" s="113" t="str">
        <f ca="1">IFERROR(__xludf.DUMMYFUNCTION("""COMPUTED_VALUE"""),"https://gld.legislaturacba.gob.ar/Publics/Actas.aspx?id=tV9UXuXnkHU=")</f>
        <v>https://gld.legislaturacba.gob.ar/Publics/Actas.aspx?id=tV9UXuXnkHU=</v>
      </c>
      <c r="T625" s="99">
        <f t="shared" ca="1" si="0"/>
        <v>0</v>
      </c>
    </row>
    <row r="626" spans="1:20">
      <c r="A626" s="20">
        <f ca="1">IFERROR(__xludf.DUMMYFUNCTION("""COMPUTED_VALUE"""),130)</f>
        <v>130</v>
      </c>
      <c r="B626" s="20">
        <f ca="1">IFERROR(__xludf.DUMMYFUNCTION("""COMPUTED_VALUE"""),2022)</f>
        <v>2022</v>
      </c>
      <c r="C626" s="20" t="str">
        <f ca="1">IFERROR(__xludf.DUMMYFUNCTION("""COMPUTED_VALUE"""),"VIRTUAL")</f>
        <v>VIRTUAL</v>
      </c>
      <c r="D626" s="106">
        <f ca="1">IFERROR(__xludf.DUMMYFUNCTION("""COMPUTED_VALUE"""),44803)</f>
        <v>44803</v>
      </c>
      <c r="E626" s="20" t="str">
        <f ca="1">IFERROR(__xludf.DUMMYFUNCTION("""COMPUTED_VALUE"""),"SI")</f>
        <v>SI</v>
      </c>
      <c r="F626" s="20" t="str">
        <f ca="1">IFERROR(__xludf.DUMMYFUNCTION("""COMPUTED_VALUE"""),"ECONOMÍA, PRESUPUESTO, GESTIÓN PÚBLICA E INNOVACIÓN;OBRAS PÚBLICAS, VIVIENDA Y COMUNICACIONES")</f>
        <v>ECONOMÍA, PRESUPUESTO, GESTIÓN PÚBLICA E INNOVACIÓN;OBRAS PÚBLICAS, VIVIENDA Y COMUNICACIONES</v>
      </c>
      <c r="G626" s="20">
        <f ca="1">IFERROR(__xludf.DUMMYFUNCTION("""COMPUTED_VALUE"""),2)</f>
        <v>2</v>
      </c>
      <c r="H626" s="20">
        <f ca="1">IFERROR(__xludf.DUMMYFUNCTION("""COMPUTED_VALUE"""),1)</f>
        <v>1</v>
      </c>
      <c r="I626" s="20">
        <f ca="1">IFERROR(__xludf.DUMMYFUNCTION("""COMPUTED_VALUE"""),1)</f>
        <v>1</v>
      </c>
      <c r="J626" s="20" t="str">
        <f ca="1">IFERROR(__xludf.DUMMYFUNCTION("""COMPUTED_VALUE"""),"Ley")</f>
        <v>Ley</v>
      </c>
      <c r="K626" s="20">
        <f ca="1">IFERROR(__xludf.DUMMYFUNCTION("""COMPUTED_VALUE"""),35665)</f>
        <v>35665</v>
      </c>
      <c r="L626" s="20" t="str">
        <f ca="1">IFERROR(__xludf.DUMMYFUNCTION("""COMPUTED_VALUE"""),"Poder Ejecutivo Provincial")</f>
        <v>Poder Ejecutivo Provincial</v>
      </c>
      <c r="M626" s="20" t="str">
        <f ca="1">IFERROR(__xludf.DUMMYFUNCTION("""COMPUTED_VALUE"""),"Declarando de utilidad pública y sujetos a expropiación los inmuebles necesarios para la ejecución de la obra: ""Segundo Anillo de Circunvalación de Córdoba -Tramo: Ruta A-174- Ruta Nacional N° 9, Sur"". ")</f>
        <v xml:space="preserve">Declarando de utilidad pública y sujetos a expropiación los inmuebles necesarios para la ejecución de la obra: "Segundo Anillo de Circunvalación de Córdoba -Tramo: Ruta A-174- Ruta Nacional N° 9, Sur". </v>
      </c>
      <c r="N626" s="20" t="str">
        <f ca="1">IFERROR(__xludf.DUMMYFUNCTION("""COMPUTED_VALUE"""),"SI")</f>
        <v>SI</v>
      </c>
      <c r="O626" s="20" t="str">
        <f ca="1">IFERROR(__xludf.DUMMYFUNCTION("""COMPUTED_VALUE"""),"NO")</f>
        <v>NO</v>
      </c>
      <c r="P626" s="20">
        <f ca="1">IFERROR(__xludf.DUMMYFUNCTION("""COMPUTED_VALUE"""),0)</f>
        <v>0</v>
      </c>
      <c r="Q626" s="113" t="str">
        <f ca="1">IFERROR(__xludf.DUMMYFUNCTION("""COMPUTED_VALUE"""),"https://gld.legislaturacba.gob.ar/_cdd/api/Documento/descargar?guid=4755adc4-faec-4133-9ed8-612db41efb7f&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v>
      </c>
      <c r="R626" s="113" t="str">
        <f ca="1">IFERROR(__xludf.DUMMYFUNCTION("""COMPUTED_VALUE"""),"https://www.youtube.com/watch?v=YM8qUUW6j6I")</f>
        <v>https://www.youtube.com/watch?v=YM8qUUW6j6I</v>
      </c>
      <c r="S626" s="113" t="str">
        <f ca="1">IFERROR(__xludf.DUMMYFUNCTION("""COMPUTED_VALUE"""),"https://gld.legislaturacba.gob.ar/Publics/Actas.aspx?id=bWA8IRCqhfU=;https://gld.legislaturacba.gob.ar/Publics/Actas.aspx?id=JxF-L9HVCOY=")</f>
        <v>https://gld.legislaturacba.gob.ar/Publics/Actas.aspx?id=bWA8IRCqhfU=;https://gld.legislaturacba.gob.ar/Publics/Actas.aspx?id=JxF-L9HVCOY=</v>
      </c>
      <c r="T626" s="99">
        <f t="shared" ca="1" si="0"/>
        <v>0</v>
      </c>
    </row>
    <row r="627" spans="1:20">
      <c r="A627" s="20">
        <f ca="1">IFERROR(__xludf.DUMMYFUNCTION("""COMPUTED_VALUE"""),131)</f>
        <v>131</v>
      </c>
      <c r="B627" s="20">
        <f ca="1">IFERROR(__xludf.DUMMYFUNCTION("""COMPUTED_VALUE"""),2022)</f>
        <v>2022</v>
      </c>
      <c r="C627" s="20" t="str">
        <f ca="1">IFERROR(__xludf.DUMMYFUNCTION("""COMPUTED_VALUE"""),"SEMIPRESENCIAL")</f>
        <v>SEMIPRESENCIAL</v>
      </c>
      <c r="D627" s="106">
        <f ca="1">IFERROR(__xludf.DUMMYFUNCTION("""COMPUTED_VALUE"""),44803)</f>
        <v>44803</v>
      </c>
      <c r="E627" s="20" t="str">
        <f ca="1">IFERROR(__xludf.DUMMYFUNCTION("""COMPUTED_VALUE"""),"NO")</f>
        <v>NO</v>
      </c>
      <c r="F627" s="20" t="str">
        <f ca="1">IFERROR(__xludf.DUMMYFUNCTION("""COMPUTED_VALUE"""),"SALUD HUMANA")</f>
        <v>SALUD HUMANA</v>
      </c>
      <c r="G627" s="20">
        <f ca="1">IFERROR(__xludf.DUMMYFUNCTION("""COMPUTED_VALUE"""),1)</f>
        <v>1</v>
      </c>
      <c r="H627" s="20">
        <f ca="1">IFERROR(__xludf.DUMMYFUNCTION("""COMPUTED_VALUE"""),1)</f>
        <v>1</v>
      </c>
      <c r="I627" s="20">
        <f ca="1">IFERROR(__xludf.DUMMYFUNCTION("""COMPUTED_VALUE"""),1)</f>
        <v>1</v>
      </c>
      <c r="J627" s="20" t="str">
        <f ca="1">IFERROR(__xludf.DUMMYFUNCTION("""COMPUTED_VALUE"""),"Resolución")</f>
        <v>Resolución</v>
      </c>
      <c r="K627" s="20">
        <f ca="1">IFERROR(__xludf.DUMMYFUNCTION("""COMPUTED_VALUE"""),35727)</f>
        <v>35727</v>
      </c>
      <c r="L627" s="20" t="str">
        <f ca="1">IFERROR(__xludf.DUMMYFUNCTION("""COMPUTED_VALUE"""),"Poder Legislativo Provincial")</f>
        <v>Poder Legislativo Provincial</v>
      </c>
      <c r="M627" s="20" t="str">
        <f ca="1">IFERROR(__xludf.DUMMYFUNCTION("""COMPUTED_VALUE"""),"Solicitando al Poder Ejecutivo informe (Art. 102 C.P.) sobre el pase del Programa Provincial de Prevención y Asistencia al Maltrato Infanto-Juvenil a la órbita de la Secretaría de Salud Mental.")</f>
        <v>Solicitando al Poder Ejecutivo informe (Art. 102 C.P.) sobre el pase del Programa Provincial de Prevención y Asistencia al Maltrato Infanto-Juvenil a la órbita de la Secretaría de Salud Mental.</v>
      </c>
      <c r="N627" s="20" t="str">
        <f ca="1">IFERROR(__xludf.DUMMYFUNCTION("""COMPUTED_VALUE"""),"SI")</f>
        <v>SI</v>
      </c>
      <c r="O627" s="20" t="str">
        <f ca="1">IFERROR(__xludf.DUMMYFUNCTION("""COMPUTED_VALUE"""),"SI")</f>
        <v>SI</v>
      </c>
      <c r="P627" s="20">
        <f ca="1">IFERROR(__xludf.DUMMYFUNCTION("""COMPUTED_VALUE"""),4)</f>
        <v>4</v>
      </c>
      <c r="Q627" s="113" t="str">
        <f ca="1">IFERROR(__xludf.DUMMYFUNCTION("""COMPUTED_VALUE"""),"https://gld.legislaturacba.gob.ar/_cdd/api/Documento/descargar?guid=696f0278-a1e8-4f26-9051-b137d6a3dc45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v>
      </c>
      <c r="R627" s="113" t="str">
        <f ca="1">IFERROR(__xludf.DUMMYFUNCTION("""COMPUTED_VALUE"""),"https://www.youtube.com/watch?v=7FA7qJ9Mor0")</f>
        <v>https://www.youtube.com/watch?v=7FA7qJ9Mor0</v>
      </c>
      <c r="S627" s="113" t="str">
        <f ca="1">IFERROR(__xludf.DUMMYFUNCTION("""COMPUTED_VALUE"""),"https://gld.legislaturacba.gob.ar/Publics/Actas.aspx?id=rm1Kd1pi3I0=")</f>
        <v>https://gld.legislaturacba.gob.ar/Publics/Actas.aspx?id=rm1Kd1pi3I0=</v>
      </c>
      <c r="T627" s="99">
        <f t="shared" ca="1" si="0"/>
        <v>0</v>
      </c>
    </row>
    <row r="628" spans="1:20">
      <c r="A628" s="20">
        <f ca="1">IFERROR(__xludf.DUMMYFUNCTION("""COMPUTED_VALUE"""),132)</f>
        <v>132</v>
      </c>
      <c r="B628" s="20">
        <f ca="1">IFERROR(__xludf.DUMMYFUNCTION("""COMPUTED_VALUE"""),2022)</f>
        <v>2022</v>
      </c>
      <c r="C628" s="20" t="str">
        <f ca="1">IFERROR(__xludf.DUMMYFUNCTION("""COMPUTED_VALUE"""),"VIRTUAL")</f>
        <v>VIRTUAL</v>
      </c>
      <c r="D628" s="106">
        <f ca="1">IFERROR(__xludf.DUMMYFUNCTION("""COMPUTED_VALUE"""),44805)</f>
        <v>44805</v>
      </c>
      <c r="E628" s="20" t="str">
        <f ca="1">IFERROR(__xludf.DUMMYFUNCTION("""COMPUTED_VALUE"""),"SI")</f>
        <v>SI</v>
      </c>
      <c r="F628" s="20" t="str">
        <f ca="1">IFERROR(__xludf.DUMMYFUNCTION("""COMPUTED_VALUE"""),"LEGISLACIÓN GENERAL;ECONOMÍA, PRESUPUESTO, GESTIÓN PÚBLICA E INNOVACIÓN")</f>
        <v>LEGISLACIÓN GENERAL;ECONOMÍA, PRESUPUESTO, GESTIÓN PÚBLICA E INNOVACIÓN</v>
      </c>
      <c r="G628" s="20">
        <f ca="1">IFERROR(__xludf.DUMMYFUNCTION("""COMPUTED_VALUE"""),2)</f>
        <v>2</v>
      </c>
      <c r="H628" s="20">
        <f ca="1">IFERROR(__xludf.DUMMYFUNCTION("""COMPUTED_VALUE"""),1)</f>
        <v>1</v>
      </c>
      <c r="I628" s="20">
        <f ca="1">IFERROR(__xludf.DUMMYFUNCTION("""COMPUTED_VALUE"""),1)</f>
        <v>1</v>
      </c>
      <c r="J628" s="20" t="str">
        <f ca="1">IFERROR(__xludf.DUMMYFUNCTION("""COMPUTED_VALUE"""),"Ley")</f>
        <v>Ley</v>
      </c>
      <c r="K628" s="20">
        <f ca="1">IFERROR(__xludf.DUMMYFUNCTION("""COMPUTED_VALUE"""),35388)</f>
        <v>35388</v>
      </c>
      <c r="L628" s="20" t="str">
        <f ca="1">IFERROR(__xludf.DUMMYFUNCTION("""COMPUTED_VALUE"""),"Poder Ejecutivo Provincial")</f>
        <v>Poder Ejecutivo Provincial</v>
      </c>
      <c r="M628" s="20" t="str">
        <f ca="1">IFERROR(__xludf.DUMMYFUNCTION("""COMPUTED_VALUE"""),"Estableciendo y regulando la Administración Financiera y Control del Sector Público No Financiero de la Provincia, derogando artículos de las leyes Nros. 5901, 7631 y 9086 y modificando artículos de las leyes Nros. 10155 y 10580")</f>
        <v>Estableciendo y regulando la Administración Financiera y Control del Sector Público No Financiero de la Provincia, derogando artículos de las leyes Nros. 5901, 7631 y 9086 y modificando artículos de las leyes Nros. 10155 y 10580</v>
      </c>
      <c r="N628" s="20" t="str">
        <f ca="1">IFERROR(__xludf.DUMMYFUNCTION("""COMPUTED_VALUE"""),"SI")</f>
        <v>SI</v>
      </c>
      <c r="O628" s="20" t="str">
        <f ca="1">IFERROR(__xludf.DUMMYFUNCTION("""COMPUTED_VALUE"""),"NO")</f>
        <v>NO</v>
      </c>
      <c r="P628" s="20">
        <f ca="1">IFERROR(__xludf.DUMMYFUNCTION("""COMPUTED_VALUE"""),0)</f>
        <v>0</v>
      </c>
      <c r="Q628" s="113" t="str">
        <f ca="1">IFERROR(__xludf.DUMMYFUNCTION("""COMPUTED_VALUE"""),"https://gld.legislaturacba.gob.ar/_cdd/api/Documento/descargar?guid=542c5987-57d9-4c7d-a18c-0f99adcc824a&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v>
      </c>
      <c r="R628" s="113" t="str">
        <f ca="1">IFERROR(__xludf.DUMMYFUNCTION("""COMPUTED_VALUE"""),"https://www.youtube.com/watch?v=o_7Fz-4WxlU")</f>
        <v>https://www.youtube.com/watch?v=o_7Fz-4WxlU</v>
      </c>
      <c r="S628" s="113" t="str">
        <f ca="1">IFERROR(__xludf.DUMMYFUNCTION("""COMPUTED_VALUE"""),"https://gld.legislaturacba.gob.ar/Publics/Actas.aspx?id=pVwhKDlCzQ8=;https://gld.legislaturacba.gob.ar/Publics/Actas.aspx?id=nSdSm_HZW1M=")</f>
        <v>https://gld.legislaturacba.gob.ar/Publics/Actas.aspx?id=pVwhKDlCzQ8=;https://gld.legislaturacba.gob.ar/Publics/Actas.aspx?id=nSdSm_HZW1M=</v>
      </c>
      <c r="T628" s="99">
        <f t="shared" ca="1" si="0"/>
        <v>0</v>
      </c>
    </row>
    <row r="629" spans="1:20">
      <c r="A629" s="20">
        <f ca="1">IFERROR(__xludf.DUMMYFUNCTION("""COMPUTED_VALUE"""),133)</f>
        <v>133</v>
      </c>
      <c r="B629" s="20">
        <f ca="1">IFERROR(__xludf.DUMMYFUNCTION("""COMPUTED_VALUE"""),2022)</f>
        <v>2022</v>
      </c>
      <c r="C629" s="20" t="str">
        <f ca="1">IFERROR(__xludf.DUMMYFUNCTION("""COMPUTED_VALUE"""),"VIRTUAL")</f>
        <v>VIRTUAL</v>
      </c>
      <c r="D629" s="106">
        <f ca="1">IFERROR(__xludf.DUMMYFUNCTION("""COMPUTED_VALUE"""),44805)</f>
        <v>44805</v>
      </c>
      <c r="E629" s="20" t="str">
        <f ca="1">IFERROR(__xludf.DUMMYFUNCTION("""COMPUTED_VALUE"""),"NO")</f>
        <v>NO</v>
      </c>
      <c r="F629" s="20" t="str">
        <f ca="1">IFERROR(__xludf.DUMMYFUNCTION("""COMPUTED_VALUE"""),"EQUIDAD Y LUCHA CONTRA LA VIOLENCIA DE GÉNERO")</f>
        <v>EQUIDAD Y LUCHA CONTRA LA VIOLENCIA DE GÉNERO</v>
      </c>
      <c r="G629" s="20">
        <f ca="1">IFERROR(__xludf.DUMMYFUNCTION("""COMPUTED_VALUE"""),1)</f>
        <v>1</v>
      </c>
      <c r="H629" s="20">
        <f ca="1">IFERROR(__xludf.DUMMYFUNCTION("""COMPUTED_VALUE"""),1)</f>
        <v>1</v>
      </c>
      <c r="I629" s="20">
        <f ca="1">IFERROR(__xludf.DUMMYFUNCTION("""COMPUTED_VALUE"""),1)</f>
        <v>1</v>
      </c>
      <c r="J629" s="20" t="str">
        <f ca="1">IFERROR(__xludf.DUMMYFUNCTION("""COMPUTED_VALUE"""),"Ley")</f>
        <v>Ley</v>
      </c>
      <c r="K629" s="20">
        <f ca="1">IFERROR(__xludf.DUMMYFUNCTION("""COMPUTED_VALUE"""),34846)</f>
        <v>34846</v>
      </c>
      <c r="L629" s="20" t="str">
        <f ca="1">IFERROR(__xludf.DUMMYFUNCTION("""COMPUTED_VALUE"""),"Poder Legislativo Provincial")</f>
        <v>Poder Legislativo Provincial</v>
      </c>
      <c r="M629" s="20" t="str">
        <f ca="1">IFERROR(__xludf.DUMMYFUNCTION("""COMPUTED_VALUE"""),"Incorporando diversos artículos a la Ley N° 10.326, Código de Convivencia de la provincia de Córdoba")</f>
        <v>Incorporando diversos artículos a la Ley N° 10.326, Código de Convivencia de la provincia de Córdoba</v>
      </c>
      <c r="N629" s="20" t="str">
        <f ca="1">IFERROR(__xludf.DUMMYFUNCTION("""COMPUTED_VALUE"""),"NO")</f>
        <v>NO</v>
      </c>
      <c r="O629" s="20" t="str">
        <f ca="1">IFERROR(__xludf.DUMMYFUNCTION("""COMPUTED_VALUE"""),"NO")</f>
        <v>NO</v>
      </c>
      <c r="P629" s="20">
        <f ca="1">IFERROR(__xludf.DUMMYFUNCTION("""COMPUTED_VALUE"""),0)</f>
        <v>0</v>
      </c>
      <c r="Q629" s="113" t="str">
        <f ca="1">IFERROR(__xludf.DUMMYFUNCTION("""COMPUTED_VALUE"""),"https://gld.legislaturacba.gob.ar/_cdd/api/Documento/descargar?guid=0fa1ae07-0b31-4b92-afd5-513af0ff7d0b&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v>
      </c>
      <c r="R629" s="113" t="str">
        <f ca="1">IFERROR(__xludf.DUMMYFUNCTION("""COMPUTED_VALUE"""),"https://www.youtube.com/watch?v=BCbaBFNxRDQ")</f>
        <v>https://www.youtube.com/watch?v=BCbaBFNxRDQ</v>
      </c>
      <c r="S629" s="113" t="str">
        <f ca="1">IFERROR(__xludf.DUMMYFUNCTION("""COMPUTED_VALUE"""),"https://gld.legislaturacba.gob.ar/Publics/Actas.aspx?id=TgM7hWb4I1I=")</f>
        <v>https://gld.legislaturacba.gob.ar/Publics/Actas.aspx?id=TgM7hWb4I1I=</v>
      </c>
      <c r="T629" s="99">
        <f t="shared" ca="1" si="0"/>
        <v>0</v>
      </c>
    </row>
    <row r="630" spans="1:20">
      <c r="A630" s="20">
        <f ca="1">IFERROR(__xludf.DUMMYFUNCTION("""COMPUTED_VALUE"""),134)</f>
        <v>134</v>
      </c>
      <c r="B630" s="20">
        <f ca="1">IFERROR(__xludf.DUMMYFUNCTION("""COMPUTED_VALUE"""),2022)</f>
        <v>2022</v>
      </c>
      <c r="C630" s="20" t="str">
        <f ca="1">IFERROR(__xludf.DUMMYFUNCTION("""COMPUTED_VALUE"""),"VIRTUAL")</f>
        <v>VIRTUAL</v>
      </c>
      <c r="D630" s="106">
        <f ca="1">IFERROR(__xludf.DUMMYFUNCTION("""COMPUTED_VALUE"""),44805)</f>
        <v>44805</v>
      </c>
      <c r="E630" s="20" t="str">
        <f ca="1">IFERROR(__xludf.DUMMYFUNCTION("""COMPUTED_VALUE"""),"NO")</f>
        <v>NO</v>
      </c>
      <c r="F630" s="20" t="str">
        <f ca="1">IFERROR(__xludf.DUMMYFUNCTION("""COMPUTED_VALUE"""),"ASUNTOS INSTITUCIONALES, MUNICIPALES Y COMUNALES")</f>
        <v>ASUNTOS INSTITUCIONALES, MUNICIPALES Y COMUNALES</v>
      </c>
      <c r="G630" s="20">
        <f ca="1">IFERROR(__xludf.DUMMYFUNCTION("""COMPUTED_VALUE"""),1)</f>
        <v>1</v>
      </c>
      <c r="H630" s="20">
        <f ca="1">IFERROR(__xludf.DUMMYFUNCTION("""COMPUTED_VALUE"""),1)</f>
        <v>1</v>
      </c>
      <c r="I630" s="20">
        <f ca="1">IFERROR(__xludf.DUMMYFUNCTION("""COMPUTED_VALUE"""),1)</f>
        <v>1</v>
      </c>
      <c r="J630" s="20" t="str">
        <f ca="1">IFERROR(__xludf.DUMMYFUNCTION("""COMPUTED_VALUE"""),"Ley")</f>
        <v>Ley</v>
      </c>
      <c r="K630" s="20">
        <f ca="1">IFERROR(__xludf.DUMMYFUNCTION("""COMPUTED_VALUE"""),35475)</f>
        <v>35475</v>
      </c>
      <c r="L630" s="20" t="str">
        <f ca="1">IFERROR(__xludf.DUMMYFUNCTION("""COMPUTED_VALUE"""),"Poder Ejecutivo Provincial")</f>
        <v>Poder Ejecutivo Provincial</v>
      </c>
      <c r="M630" s="20" t="str">
        <f ca="1">IFERROR(__xludf.DUMMYFUNCTION("""COMPUTED_VALUE"""),"Modificando el radio comunal de la localidad de Onagoity, Dpto. General Roca. ")</f>
        <v xml:space="preserve">Modificando el radio comunal de la localidad de Onagoity, Dpto. General Roca. </v>
      </c>
      <c r="N630" s="20" t="str">
        <f ca="1">IFERROR(__xludf.DUMMYFUNCTION("""COMPUTED_VALUE"""),"SI")</f>
        <v>SI</v>
      </c>
      <c r="O630" s="20" t="str">
        <f ca="1">IFERROR(__xludf.DUMMYFUNCTION("""COMPUTED_VALUE"""),"NO")</f>
        <v>NO</v>
      </c>
      <c r="P630" s="20">
        <f ca="1">IFERROR(__xludf.DUMMYFUNCTION("""COMPUTED_VALUE"""),0)</f>
        <v>0</v>
      </c>
      <c r="Q630" s="113" t="str">
        <f ca="1">IFERROR(__xludf.DUMMYFUNCTION("""COMPUTED_VALUE"""),"https://gld.legislaturacba.gob.ar/_cdd/api/Documento/descargar?guid=fcb90f1e-aa63-481e-aa9d-e3999365082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v>
      </c>
      <c r="R630" s="113" t="str">
        <f ca="1">IFERROR(__xludf.DUMMYFUNCTION("""COMPUTED_VALUE"""),"https://www.youtube.com/watch?v=Y32O3zV28Rc")</f>
        <v>https://www.youtube.com/watch?v=Y32O3zV28Rc</v>
      </c>
      <c r="S630" s="113" t="str">
        <f ca="1">IFERROR(__xludf.DUMMYFUNCTION("""COMPUTED_VALUE"""),"https://gld.legislaturacba.gob.ar/Publics/Actas.aspx?id=XCZYIU5xg-s=")</f>
        <v>https://gld.legislaturacba.gob.ar/Publics/Actas.aspx?id=XCZYIU5xg-s=</v>
      </c>
      <c r="T630" s="99">
        <f t="shared" ca="1" si="0"/>
        <v>0</v>
      </c>
    </row>
    <row r="631" spans="1:20">
      <c r="A631" s="20">
        <f ca="1">IFERROR(__xludf.DUMMYFUNCTION("""COMPUTED_VALUE"""),135)</f>
        <v>135</v>
      </c>
      <c r="B631" s="20">
        <f ca="1">IFERROR(__xludf.DUMMYFUNCTION("""COMPUTED_VALUE"""),2022)</f>
        <v>2022</v>
      </c>
      <c r="C631" s="20" t="str">
        <f ca="1">IFERROR(__xludf.DUMMYFUNCTION("""COMPUTED_VALUE"""),"VIRTUAL")</f>
        <v>VIRTUAL</v>
      </c>
      <c r="D631" s="106">
        <f ca="1">IFERROR(__xludf.DUMMYFUNCTION("""COMPUTED_VALUE"""),44810)</f>
        <v>44810</v>
      </c>
      <c r="E631" s="20" t="str">
        <f ca="1">IFERROR(__xludf.DUMMYFUNCTION("""COMPUTED_VALUE"""),"NO")</f>
        <v>NO</v>
      </c>
      <c r="F631" s="20" t="str">
        <f ca="1">IFERROR(__xludf.DUMMYFUNCTION("""COMPUTED_VALUE"""),"LEGISLACIÓN DEL TRABAJO, PREVISIÓN Y SEGURIDAD SOCIAL")</f>
        <v>LEGISLACIÓN DEL TRABAJO, PREVISIÓN Y SEGURIDAD SOCIAL</v>
      </c>
      <c r="G631" s="20">
        <f ca="1">IFERROR(__xludf.DUMMYFUNCTION("""COMPUTED_VALUE"""),1)</f>
        <v>1</v>
      </c>
      <c r="H631" s="20">
        <f ca="1">IFERROR(__xludf.DUMMYFUNCTION("""COMPUTED_VALUE"""),3)</f>
        <v>3</v>
      </c>
      <c r="I631" s="20">
        <f ca="1">IFERROR(__xludf.DUMMYFUNCTION("""COMPUTED_VALUE"""),1)</f>
        <v>1</v>
      </c>
      <c r="J631" s="20" t="str">
        <f ca="1">IFERROR(__xludf.DUMMYFUNCTION("""COMPUTED_VALUE"""),"Ley")</f>
        <v>Ley</v>
      </c>
      <c r="K631" s="20">
        <f ca="1">IFERROR(__xludf.DUMMYFUNCTION("""COMPUTED_VALUE"""),33946)</f>
        <v>33946</v>
      </c>
      <c r="L631" s="20" t="str">
        <f ca="1">IFERROR(__xludf.DUMMYFUNCTION("""COMPUTED_VALUE"""),"Poder Legislativo Provincial")</f>
        <v>Poder Legislativo Provincial</v>
      </c>
      <c r="M631" s="20" t="str">
        <f ca="1">IFERROR(__xludf.DUMMYFUNCTION("""COMPUTED_VALUE"""),"Estableciendo un procedimiento administrativo para abordar, prevenir, controlar y sancionar la violencia laboral ejercida contra trabajadoras y trabajadores tanto del sector público como privado; así como brindar protección a los/las víctimas, los/las den"&amp;"unciantes y/o testigos de los hechos. ")</f>
        <v xml:space="preserve">Estableciendo un procedimiento administrativo para abordar, prevenir, controlar y sancionar la violencia laboral ejercida contra trabajadoras y trabajadores tanto del sector público como privado; así como brindar protección a los/las víctimas, los/las denunciantes y/o testigos de los hechos. </v>
      </c>
      <c r="N631" s="20" t="str">
        <f ca="1">IFERROR(__xludf.DUMMYFUNCTION("""COMPUTED_VALUE"""),"NO")</f>
        <v>NO</v>
      </c>
      <c r="O631" s="20" t="str">
        <f ca="1">IFERROR(__xludf.DUMMYFUNCTION("""COMPUTED_VALUE"""),"NO")</f>
        <v>NO</v>
      </c>
      <c r="P631" s="20">
        <f ca="1">IFERROR(__xludf.DUMMYFUNCTION("""COMPUTED_VALUE"""),0)</f>
        <v>0</v>
      </c>
      <c r="Q631" s="113" t="str">
        <f ca="1">IFERROR(__xludf.DUMMYFUNCTION("""COMPUTED_VALUE"""),"https://gld.legislaturacba.gob.ar/_cdd/api/Documento/descargar?guid=1965d5be-b0b9-4d0e-b415-2377efbee985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v>
      </c>
      <c r="R631" s="113" t="str">
        <f ca="1">IFERROR(__xludf.DUMMYFUNCTION("""COMPUTED_VALUE"""),"https://www.youtube.com/watch?v=iKNBbxQpsSo")</f>
        <v>https://www.youtube.com/watch?v=iKNBbxQpsSo</v>
      </c>
      <c r="S631" s="113" t="str">
        <f ca="1">IFERROR(__xludf.DUMMYFUNCTION("""COMPUTED_VALUE"""),"https://gld.legislaturacba.gob.ar/Publics/Actas.aspx?id=apidZIVzDd4=")</f>
        <v>https://gld.legislaturacba.gob.ar/Publics/Actas.aspx?id=apidZIVzDd4=</v>
      </c>
      <c r="T631" s="99">
        <f t="shared" ca="1" si="0"/>
        <v>0</v>
      </c>
    </row>
    <row r="632" spans="1:20">
      <c r="A632" s="20">
        <f ca="1">IFERROR(__xludf.DUMMYFUNCTION("""COMPUTED_VALUE"""),136)</f>
        <v>136</v>
      </c>
      <c r="B632" s="20">
        <f ca="1">IFERROR(__xludf.DUMMYFUNCTION("""COMPUTED_VALUE"""),2022)</f>
        <v>2022</v>
      </c>
      <c r="C632" s="20" t="str">
        <f ca="1">IFERROR(__xludf.DUMMYFUNCTION("""COMPUTED_VALUE"""),"SEMIPRESENCIAL")</f>
        <v>SEMIPRESENCIAL</v>
      </c>
      <c r="D632" s="106">
        <f ca="1">IFERROR(__xludf.DUMMYFUNCTION("""COMPUTED_VALUE"""),44810)</f>
        <v>44810</v>
      </c>
      <c r="E632" s="20" t="str">
        <f ca="1">IFERROR(__xludf.DUMMYFUNCTION("""COMPUTED_VALUE"""),"SI")</f>
        <v>SI</v>
      </c>
      <c r="F632" s="20" t="str">
        <f ca="1">IFERROR(__xludf.DUMMYFUNCTION("""COMPUTED_VALUE"""),"AMBIENTE;AGRICULTURA, GANADERÍA Y RECURSOS RENOVABLES")</f>
        <v>AMBIENTE;AGRICULTURA, GANADERÍA Y RECURSOS RENOVABLES</v>
      </c>
      <c r="G632" s="20">
        <f ca="1">IFERROR(__xludf.DUMMYFUNCTION("""COMPUTED_VALUE"""),2)</f>
        <v>2</v>
      </c>
      <c r="H632" s="20">
        <f ca="1">IFERROR(__xludf.DUMMYFUNCTION("""COMPUTED_VALUE"""),1)</f>
        <v>1</v>
      </c>
      <c r="I632" s="20">
        <f ca="1">IFERROR(__xludf.DUMMYFUNCTION("""COMPUTED_VALUE"""),1)</f>
        <v>1</v>
      </c>
      <c r="J632" s="20" t="str">
        <f ca="1">IFERROR(__xludf.DUMMYFUNCTION("""COMPUTED_VALUE"""),"Ley")</f>
        <v>Ley</v>
      </c>
      <c r="K632" s="20">
        <f ca="1">IFERROR(__xludf.DUMMYFUNCTION("""COMPUTED_VALUE"""),35730)</f>
        <v>35730</v>
      </c>
      <c r="L632" s="20" t="str">
        <f ca="1">IFERROR(__xludf.DUMMYFUNCTION("""COMPUTED_VALUE"""),"Poder Ejecutivo Provincial")</f>
        <v>Poder Ejecutivo Provincial</v>
      </c>
      <c r="M632" s="20" t="str">
        <f ca="1">IFERROR(__xludf.DUMMYFUNCTION("""COMPUTED_VALUE"""),"Adhiriendo la provincia a la Ley Nacional N° 27487, de “Inversiones Forestales”, en la que se introducen modificaciones a la Ley Nacional N° 25080, de “Inversiones para Bosques Cultivados”, a la que se adhirió oportunamente por Ley Nº 8855. ")</f>
        <v xml:space="preserve">Adhiriendo la provincia a la Ley Nacional N° 27487, de “Inversiones Forestales”, en la que se introducen modificaciones a la Ley Nacional N° 25080, de “Inversiones para Bosques Cultivados”, a la que se adhirió oportunamente por Ley Nº 8855. </v>
      </c>
      <c r="N632" s="20" t="str">
        <f ca="1">IFERROR(__xludf.DUMMYFUNCTION("""COMPUTED_VALUE"""),"NO")</f>
        <v>NO</v>
      </c>
      <c r="O632" s="20" t="str">
        <f ca="1">IFERROR(__xludf.DUMMYFUNCTION("""COMPUTED_VALUE"""),"SI")</f>
        <v>SI</v>
      </c>
      <c r="P632" s="20">
        <f ca="1">IFERROR(__xludf.DUMMYFUNCTION("""COMPUTED_VALUE"""),1)</f>
        <v>1</v>
      </c>
      <c r="Q632" s="113" t="str">
        <f ca="1">IFERROR(__xludf.DUMMYFUNCTION("""COMPUTED_VALUE"""),"https://gld.legislaturacba.gob.ar/_cdd/api/Documento/descargar?guid=7ba28601-e3c7-4ed8-b89b-f1a78da08fc6&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v>
      </c>
      <c r="R632" s="113" t="str">
        <f ca="1">IFERROR(__xludf.DUMMYFUNCTION("""COMPUTED_VALUE"""),"https://www.youtube.com/watch?v=dxIrppte6aM")</f>
        <v>https://www.youtube.com/watch?v=dxIrppte6aM</v>
      </c>
      <c r="S632" s="113" t="str">
        <f ca="1">IFERROR(__xludf.DUMMYFUNCTION("""COMPUTED_VALUE"""),"https://gld.legislaturacba.gob.ar/Publics/Actas.aspx?id=4I2A3AGxQk0=;https://gld.legislaturacba.gob.ar/Publics/Actas.aspx?id=1sI1d-Xo0TE=")</f>
        <v>https://gld.legislaturacba.gob.ar/Publics/Actas.aspx?id=4I2A3AGxQk0=;https://gld.legislaturacba.gob.ar/Publics/Actas.aspx?id=1sI1d-Xo0TE=</v>
      </c>
      <c r="T632" s="99">
        <f t="shared" ca="1" si="0"/>
        <v>0</v>
      </c>
    </row>
    <row r="633" spans="1:20">
      <c r="A633" s="20">
        <f ca="1">IFERROR(__xludf.DUMMYFUNCTION("""COMPUTED_VALUE"""),137)</f>
        <v>137</v>
      </c>
      <c r="B633" s="20">
        <f ca="1">IFERROR(__xludf.DUMMYFUNCTION("""COMPUTED_VALUE"""),2022)</f>
        <v>2022</v>
      </c>
      <c r="C633" s="20" t="str">
        <f ca="1">IFERROR(__xludf.DUMMYFUNCTION("""COMPUTED_VALUE"""),"VIRTUAL")</f>
        <v>VIRTUAL</v>
      </c>
      <c r="D633" s="106">
        <f ca="1">IFERROR(__xludf.DUMMYFUNCTION("""COMPUTED_VALUE"""),44810)</f>
        <v>44810</v>
      </c>
      <c r="E633" s="20" t="str">
        <f ca="1">IFERROR(__xludf.DUMMYFUNCTION("""COMPUTED_VALUE"""),"NO")</f>
        <v>NO</v>
      </c>
      <c r="F633" s="20" t="str">
        <f ca="1">IFERROR(__xludf.DUMMYFUNCTION("""COMPUTED_VALUE"""),"SALUD HUMANA")</f>
        <v>SALUD HUMANA</v>
      </c>
      <c r="G633" s="20">
        <f ca="1">IFERROR(__xludf.DUMMYFUNCTION("""COMPUTED_VALUE"""),1)</f>
        <v>1</v>
      </c>
      <c r="H633" s="20">
        <f ca="1">IFERROR(__xludf.DUMMYFUNCTION("""COMPUTED_VALUE"""),5)</f>
        <v>5</v>
      </c>
      <c r="I633" s="20">
        <f ca="1">IFERROR(__xludf.DUMMYFUNCTION("""COMPUTED_VALUE"""),1)</f>
        <v>1</v>
      </c>
      <c r="J633" s="20" t="str">
        <f ca="1">IFERROR(__xludf.DUMMYFUNCTION("""COMPUTED_VALUE"""),"Resolución")</f>
        <v>Resolución</v>
      </c>
      <c r="K633" s="20">
        <f ca="1">IFERROR(__xludf.DUMMYFUNCTION("""COMPUTED_VALUE"""),33822)</f>
        <v>33822</v>
      </c>
      <c r="L633" s="20" t="str">
        <f ca="1">IFERROR(__xludf.DUMMYFUNCTION("""COMPUTED_VALUE"""),"Poder Legislativo Provincial")</f>
        <v>Poder Legislativo Provincial</v>
      </c>
      <c r="M633" s="20" t="str">
        <f ca="1">IFERROR(__xludf.DUMMYFUNCTION("""COMPUTED_VALUE"""),"Solicitando al Poder Ejecutivo informe (Art. 102 C.P.) sobre diversos aspectos relacionados a la práctica de Interrupción Voluntaria del Embarazo durante el primer semestre de año 2021")</f>
        <v>Solicitando al Poder Ejecutivo informe (Art. 102 C.P.) sobre diversos aspectos relacionados a la práctica de Interrupción Voluntaria del Embarazo durante el primer semestre de año 2021</v>
      </c>
      <c r="N633" s="20" t="str">
        <f ca="1">IFERROR(__xludf.DUMMYFUNCTION("""COMPUTED_VALUE"""),"SI")</f>
        <v>SI</v>
      </c>
      <c r="O633" s="20" t="str">
        <f ca="1">IFERROR(__xludf.DUMMYFUNCTION("""COMPUTED_VALUE"""),"NO")</f>
        <v>NO</v>
      </c>
      <c r="P633" s="20">
        <f ca="1">IFERROR(__xludf.DUMMYFUNCTION("""COMPUTED_VALUE"""),0)</f>
        <v>0</v>
      </c>
      <c r="Q633" s="113" t="str">
        <f ca="1">IFERROR(__xludf.DUMMYFUNCTION("""COMPUTED_VALUE"""),"https://gld.legislaturacba.gob.ar/_cdd/api/Documento/descargar?guid=afa1db7d-d921-4916-a86f-f50550a989f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v>
      </c>
      <c r="R633" s="20" t="str">
        <f ca="1">IFERROR(__xludf.DUMMYFUNCTION("""COMPUTED_VALUE"""),"NA")</f>
        <v>NA</v>
      </c>
      <c r="S633" s="113" t="str">
        <f ca="1">IFERROR(__xludf.DUMMYFUNCTION("""COMPUTED_VALUE"""),"https://gld.legislaturacba.gob.ar/Publics/Actas.aspx?id=yCAgq-cindo=")</f>
        <v>https://gld.legislaturacba.gob.ar/Publics/Actas.aspx?id=yCAgq-cindo=</v>
      </c>
      <c r="T633" s="99">
        <f t="shared" ca="1" si="0"/>
        <v>0</v>
      </c>
    </row>
    <row r="634" spans="1:20">
      <c r="A634" s="20">
        <f ca="1">IFERROR(__xludf.DUMMYFUNCTION("""COMPUTED_VALUE"""),138)</f>
        <v>138</v>
      </c>
      <c r="B634" s="20">
        <f ca="1">IFERROR(__xludf.DUMMYFUNCTION("""COMPUTED_VALUE"""),2022)</f>
        <v>2022</v>
      </c>
      <c r="C634" s="20" t="str">
        <f ca="1">IFERROR(__xludf.DUMMYFUNCTION("""COMPUTED_VALUE"""),"SEMIPRESENCIAL")</f>
        <v>SEMIPRESENCIAL</v>
      </c>
      <c r="D634" s="106">
        <f ca="1">IFERROR(__xludf.DUMMYFUNCTION("""COMPUTED_VALUE"""),44811)</f>
        <v>44811</v>
      </c>
      <c r="E634" s="20" t="str">
        <f ca="1">IFERROR(__xludf.DUMMYFUNCTION("""COMPUTED_VALUE"""),"SI")</f>
        <v>SI</v>
      </c>
      <c r="F634" s="20" t="str">
        <f ca="1">IFERROR(__xludf.DUMMYFUNCTION("""COMPUTED_VALUE"""),"LEGISLACIÓN GENERAL;ASUNTOS CONSTITUCIONALES, JUSTICIA Y ACUERDOS")</f>
        <v>LEGISLACIÓN GENERAL;ASUNTOS CONSTITUCIONALES, JUSTICIA Y ACUERDOS</v>
      </c>
      <c r="G634" s="20">
        <f ca="1">IFERROR(__xludf.DUMMYFUNCTION("""COMPUTED_VALUE"""),2)</f>
        <v>2</v>
      </c>
      <c r="H634" s="20">
        <f ca="1">IFERROR(__xludf.DUMMYFUNCTION("""COMPUTED_VALUE"""),1)</f>
        <v>1</v>
      </c>
      <c r="I634" s="20">
        <f ca="1">IFERROR(__xludf.DUMMYFUNCTION("""COMPUTED_VALUE"""),1)</f>
        <v>1</v>
      </c>
      <c r="J634" s="20" t="str">
        <f ca="1">IFERROR(__xludf.DUMMYFUNCTION("""COMPUTED_VALUE"""),"Ley")</f>
        <v>Ley</v>
      </c>
      <c r="K634" s="20">
        <f ca="1">IFERROR(__xludf.DUMMYFUNCTION("""COMPUTED_VALUE"""),35041)</f>
        <v>35041</v>
      </c>
      <c r="L634" s="20" t="str">
        <f ca="1">IFERROR(__xludf.DUMMYFUNCTION("""COMPUTED_VALUE"""),"Poder Legislativo Provincial")</f>
        <v>Poder Legislativo Provincial</v>
      </c>
      <c r="M634" s="20" t="str">
        <f ca="1">IFERROR(__xludf.DUMMYFUNCTION("""COMPUTED_VALUE"""),"Estableciendo la Ley Orgánica del Ministerio Público de la Defensa de la Provincia de Córdoba y de Asistencia Jurídica Gratuita, derogando la Ley Nº 7982 y modificando las leyes Nros. 8435 y 8024.")</f>
        <v>Estableciendo la Ley Orgánica del Ministerio Público de la Defensa de la Provincia de Córdoba y de Asistencia Jurídica Gratuita, derogando la Ley Nº 7982 y modificando las leyes Nros. 8435 y 8024.</v>
      </c>
      <c r="N634" s="20" t="str">
        <f ca="1">IFERROR(__xludf.DUMMYFUNCTION("""COMPUTED_VALUE"""),"NO")</f>
        <v>NO</v>
      </c>
      <c r="O634" s="20" t="str">
        <f ca="1">IFERROR(__xludf.DUMMYFUNCTION("""COMPUTED_VALUE"""),"SI")</f>
        <v>SI</v>
      </c>
      <c r="P634" s="20">
        <f ca="1">IFERROR(__xludf.DUMMYFUNCTION("""COMPUTED_VALUE"""),5)</f>
        <v>5</v>
      </c>
      <c r="Q634" s="113" t="str">
        <f ca="1">IFERROR(__xludf.DUMMYFUNCTION("""COMPUTED_VALUE"""),"https://gld.legislaturacba.gob.ar/_cdd/api/Documento/descargar?guid=00990eec-f137-482c-8d6c-f62e4fb0beb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v>
      </c>
      <c r="R634" s="113" t="str">
        <f ca="1">IFERROR(__xludf.DUMMYFUNCTION("""COMPUTED_VALUE"""),"https://www.youtube.com/watch?v=4Qt3gpG6ifY")</f>
        <v>https://www.youtube.com/watch?v=4Qt3gpG6ifY</v>
      </c>
      <c r="S634" s="113" t="str">
        <f ca="1">IFERROR(__xludf.DUMMYFUNCTION("""COMPUTED_VALUE"""),"https://gld.legislaturacba.gob.ar/Publics/Actas.aspx?id=waoITHmxHTg=;https://gld.legislaturacba.gob.ar/Publics/Actas.aspx?id=LkvP2ayX5fY=")</f>
        <v>https://gld.legislaturacba.gob.ar/Publics/Actas.aspx?id=waoITHmxHTg=;https://gld.legislaturacba.gob.ar/Publics/Actas.aspx?id=LkvP2ayX5fY=</v>
      </c>
      <c r="T634" s="99">
        <f t="shared" ca="1" si="0"/>
        <v>0</v>
      </c>
    </row>
    <row r="635" spans="1:20">
      <c r="A635" s="20">
        <f ca="1">IFERROR(__xludf.DUMMYFUNCTION("""COMPUTED_VALUE"""),139)</f>
        <v>139</v>
      </c>
      <c r="B635" s="20">
        <f ca="1">IFERROR(__xludf.DUMMYFUNCTION("""COMPUTED_VALUE"""),2022)</f>
        <v>2022</v>
      </c>
      <c r="C635" s="20" t="str">
        <f ca="1">IFERROR(__xludf.DUMMYFUNCTION("""COMPUTED_VALUE"""),"VIRTUAL")</f>
        <v>VIRTUAL</v>
      </c>
      <c r="D635" s="106">
        <f ca="1">IFERROR(__xludf.DUMMYFUNCTION("""COMPUTED_VALUE"""),44811)</f>
        <v>44811</v>
      </c>
      <c r="E635" s="20" t="str">
        <f ca="1">IFERROR(__xludf.DUMMYFUNCTION("""COMPUTED_VALUE"""),"NO")</f>
        <v>NO</v>
      </c>
      <c r="F635" s="20" t="str">
        <f ca="1">IFERROR(__xludf.DUMMYFUNCTION("""COMPUTED_VALUE"""),"RELACIONES INTERNACIONALES, MERCOSUR Y COMERCIO EXTERIOR")</f>
        <v>RELACIONES INTERNACIONALES, MERCOSUR Y COMERCIO EXTERIOR</v>
      </c>
      <c r="G635" s="20">
        <f ca="1">IFERROR(__xludf.DUMMYFUNCTION("""COMPUTED_VALUE"""),1)</f>
        <v>1</v>
      </c>
      <c r="H635" s="20">
        <f ca="1">IFERROR(__xludf.DUMMYFUNCTION("""COMPUTED_VALUE"""),1)</f>
        <v>1</v>
      </c>
      <c r="I635" s="20">
        <f ca="1">IFERROR(__xludf.DUMMYFUNCTION("""COMPUTED_VALUE"""),1)</f>
        <v>1</v>
      </c>
      <c r="J635" s="20" t="str">
        <f ca="1">IFERROR(__xludf.DUMMYFUNCTION("""COMPUTED_VALUE"""),"Resolución")</f>
        <v>Resolución</v>
      </c>
      <c r="K635" s="20">
        <f ca="1">IFERROR(__xludf.DUMMYFUNCTION("""COMPUTED_VALUE"""),35408)</f>
        <v>35408</v>
      </c>
      <c r="L635" s="20" t="str">
        <f ca="1">IFERROR(__xludf.DUMMYFUNCTION("""COMPUTED_VALUE"""),"Poder Legislativo Provincial")</f>
        <v>Poder Legislativo Provincial</v>
      </c>
      <c r="M635" s="20" t="str">
        <f ca="1">IFERROR(__xludf.DUMMYFUNCTION("""COMPUTED_VALUE"""),"Solicitando al Poder Ejecutivo informe (Art. 102 C.P.) sobre diversos aspectos referidos a la visita del Sr. Gobernador y su comitiva al País Vasco.")</f>
        <v>Solicitando al Poder Ejecutivo informe (Art. 102 C.P.) sobre diversos aspectos referidos a la visita del Sr. Gobernador y su comitiva al País Vasco.</v>
      </c>
      <c r="N635" s="20" t="str">
        <f ca="1">IFERROR(__xludf.DUMMYFUNCTION("""COMPUTED_VALUE"""),"NO")</f>
        <v>NO</v>
      </c>
      <c r="O635" s="20" t="str">
        <f ca="1">IFERROR(__xludf.DUMMYFUNCTION("""COMPUTED_VALUE"""),"NO")</f>
        <v>NO</v>
      </c>
      <c r="P635" s="20">
        <f ca="1">IFERROR(__xludf.DUMMYFUNCTION("""COMPUTED_VALUE"""),0)</f>
        <v>0</v>
      </c>
      <c r="Q635" s="113" t="str">
        <f ca="1">IFERROR(__xludf.DUMMYFUNCTION("""COMPUTED_VALUE"""),"https://gld.legislaturacba.gob.ar/_cdd/api/Documento/descargar?guid=e1bc6afa-1e89-45bb-b41b-0a9c7d3b73e7&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v>
      </c>
      <c r="R635" s="113" t="str">
        <f ca="1">IFERROR(__xludf.DUMMYFUNCTION("""COMPUTED_VALUE"""),"https://www.youtube.com/watch?v=srBgr7eai9E")</f>
        <v>https://www.youtube.com/watch?v=srBgr7eai9E</v>
      </c>
      <c r="S635" s="113" t="str">
        <f ca="1">IFERROR(__xludf.DUMMYFUNCTION("""COMPUTED_VALUE"""),"https://gld.legislaturacba.gob.ar/Publics/Actas.aspx?id=ucQHjYrRsEA=")</f>
        <v>https://gld.legislaturacba.gob.ar/Publics/Actas.aspx?id=ucQHjYrRsEA=</v>
      </c>
      <c r="T635" s="99">
        <f t="shared" ca="1" si="0"/>
        <v>0</v>
      </c>
    </row>
    <row r="636" spans="1:20">
      <c r="A636" s="20">
        <f ca="1">IFERROR(__xludf.DUMMYFUNCTION("""COMPUTED_VALUE"""),140)</f>
        <v>140</v>
      </c>
      <c r="B636" s="20">
        <f ca="1">IFERROR(__xludf.DUMMYFUNCTION("""COMPUTED_VALUE"""),2022)</f>
        <v>2022</v>
      </c>
      <c r="C636" s="20" t="str">
        <f ca="1">IFERROR(__xludf.DUMMYFUNCTION("""COMPUTED_VALUE"""),"PRESENCIAL")</f>
        <v>PRESENCIAL</v>
      </c>
      <c r="D636" s="106">
        <f ca="1">IFERROR(__xludf.DUMMYFUNCTION("""COMPUTED_VALUE"""),44812)</f>
        <v>44812</v>
      </c>
      <c r="E636" s="20" t="str">
        <f ca="1">IFERROR(__xludf.DUMMYFUNCTION("""COMPUTED_VALUE"""),"SI")</f>
        <v>SI</v>
      </c>
      <c r="F636" s="20" t="str">
        <f ca="1">IFERROR(__xludf.DUMMYFUNCTION("""COMPUTED_VALUE"""),"AMBIENTE;ECONOMÍA, PRESUPUESTO, GESTIÓN PÚBLICA E INNOVACIÓN;SERVICIOS PÚBLICOS;AGRICULTURA, GANADERÍA Y RECURSOS RENOVABLES;INDUSTRIA Y MINERÍA;PROMOCIÓN Y DESARROLLO DE LAS COMUNIDADES REGIONALES")</f>
        <v>AMBIENTE;ECONOMÍA, PRESUPUESTO, GESTIÓN PÚBLICA E INNOVACIÓN;SERVICIOS PÚBLICOS;AGRICULTURA, GANADERÍA Y RECURSOS RENOVABLES;INDUSTRIA Y MINERÍA;PROMOCIÓN Y DESARROLLO DE LAS COMUNIDADES REGIONALES</v>
      </c>
      <c r="G636" s="20">
        <f ca="1">IFERROR(__xludf.DUMMYFUNCTION("""COMPUTED_VALUE"""),6)</f>
        <v>6</v>
      </c>
      <c r="H636" s="20">
        <f ca="1">IFERROR(__xludf.DUMMYFUNCTION("""COMPUTED_VALUE"""),3)</f>
        <v>3</v>
      </c>
      <c r="I636" s="20">
        <f ca="1">IFERROR(__xludf.DUMMYFUNCTION("""COMPUTED_VALUE"""),1)</f>
        <v>1</v>
      </c>
      <c r="J636" s="20" t="str">
        <f ca="1">IFERROR(__xludf.DUMMYFUNCTION("""COMPUTED_VALUE"""),"NA")</f>
        <v>NA</v>
      </c>
      <c r="K636" s="20" t="str">
        <f ca="1">IFERROR(__xludf.DUMMYFUNCTION("""COMPUTED_VALUE"""),"NA")</f>
        <v>NA</v>
      </c>
      <c r="L636" s="20" t="str">
        <f ca="1">IFERROR(__xludf.DUMMYFUNCTION("""COMPUTED_VALUE"""),"NA")</f>
        <v>NA</v>
      </c>
      <c r="M636" s="20" t="str">
        <f ca="1">IFERROR(__xludf.DUMMYFUNCTION("""COMPUTED_VALUE"""),"Visita a la Fábrica Porta Hnos. y a la Estación de Carga de Biocombustibles B20 ubicada en la Central Ingeniero Francisco Bazán de esta ciudad.")</f>
        <v>Visita a la Fábrica Porta Hnos. y a la Estación de Carga de Biocombustibles B20 ubicada en la Central Ingeniero Francisco Bazán de esta ciudad.</v>
      </c>
      <c r="N636" s="20" t="str">
        <f ca="1">IFERROR(__xludf.DUMMYFUNCTION("""COMPUTED_VALUE"""),"NA")</f>
        <v>NA</v>
      </c>
      <c r="O636" s="20" t="str">
        <f ca="1">IFERROR(__xludf.DUMMYFUNCTION("""COMPUTED_VALUE"""),"NO")</f>
        <v>NO</v>
      </c>
      <c r="P636" s="20">
        <f ca="1">IFERROR(__xludf.DUMMYFUNCTION("""COMPUTED_VALUE"""),0)</f>
        <v>0</v>
      </c>
      <c r="Q636" s="20" t="str">
        <f ca="1">IFERROR(__xludf.DUMMYFUNCTION("""COMPUTED_VALUE"""),"NA")</f>
        <v>NA</v>
      </c>
      <c r="R636" s="20" t="str">
        <f ca="1">IFERROR(__xludf.DUMMYFUNCTION("""COMPUTED_VALUE"""),"NA")</f>
        <v>NA</v>
      </c>
      <c r="S636" s="113" t="str">
        <f ca="1">IFERROR(__xludf.DUMMYFUNCTION("""COMPUTED_VALUE"""),"https://gld.legislaturacba.gob.ar/Publics/Actas.aspx?id=D2rR86DtKYU=;https://gld.legislaturacba.gob.ar/Publics/Actas.aspx?id=6nywbM637iY=;https://gld.legislaturacba.gob.ar/Publics/Actas.aspx?id=VDkpyQobIrc=;https://gld.legislaturacba.gob.ar/Publics/Actas."&amp;"aspx?id=5MKpOmHuOV8=;https://gld.legislaturacba.gob.ar/Publics/Actas.aspx?id=IraGCNjnjrA=;https://gld.legislaturacba.gob.ar/Publics/Actas.aspx?id=283_Li1d8Sc=")</f>
        <v>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v>
      </c>
      <c r="T636" s="99">
        <f t="shared" ca="1" si="0"/>
        <v>0</v>
      </c>
    </row>
    <row r="637" spans="1:20">
      <c r="A637" s="20">
        <f ca="1">IFERROR(__xludf.DUMMYFUNCTION("""COMPUTED_VALUE"""),141)</f>
        <v>141</v>
      </c>
      <c r="B637" s="20">
        <f ca="1">IFERROR(__xludf.DUMMYFUNCTION("""COMPUTED_VALUE"""),2022)</f>
        <v>2022</v>
      </c>
      <c r="C637" s="20" t="str">
        <f ca="1">IFERROR(__xludf.DUMMYFUNCTION("""COMPUTED_VALUE"""),"VIRTUAL")</f>
        <v>VIRTUAL</v>
      </c>
      <c r="D637" s="106">
        <f ca="1">IFERROR(__xludf.DUMMYFUNCTION("""COMPUTED_VALUE"""),44812)</f>
        <v>44812</v>
      </c>
      <c r="E637" s="20" t="str">
        <f ca="1">IFERROR(__xludf.DUMMYFUNCTION("""COMPUTED_VALUE"""),"SI")</f>
        <v>SI</v>
      </c>
      <c r="F637" s="20" t="str">
        <f ca="1">IFERROR(__xludf.DUMMYFUNCTION("""COMPUTED_VALUE"""),"ECONOMÍA, PRESUPUESTO, GESTIÓN PÚBLICA E INNOVACIÓN;DERECHOS HUMANOS Y DESARROLLO SOCIAL")</f>
        <v>ECONOMÍA, PRESUPUESTO, GESTIÓN PÚBLICA E INNOVACIÓN;DERECHOS HUMANOS Y DESARROLLO SOCIAL</v>
      </c>
      <c r="G637" s="20">
        <f ca="1">IFERROR(__xludf.DUMMYFUNCTION("""COMPUTED_VALUE"""),2)</f>
        <v>2</v>
      </c>
      <c r="H637" s="20">
        <f ca="1">IFERROR(__xludf.DUMMYFUNCTION("""COMPUTED_VALUE"""),1)</f>
        <v>1</v>
      </c>
      <c r="I637" s="20">
        <f ca="1">IFERROR(__xludf.DUMMYFUNCTION("""COMPUTED_VALUE"""),1)</f>
        <v>1</v>
      </c>
      <c r="J637" s="20" t="str">
        <f ca="1">IFERROR(__xludf.DUMMYFUNCTION("""COMPUTED_VALUE"""),"Ley")</f>
        <v>Ley</v>
      </c>
      <c r="K637" s="20">
        <f ca="1">IFERROR(__xludf.DUMMYFUNCTION("""COMPUTED_VALUE"""),35729)</f>
        <v>35729</v>
      </c>
      <c r="L637" s="20" t="str">
        <f ca="1">IFERROR(__xludf.DUMMYFUNCTION("""COMPUTED_VALUE"""),"Poder Ejecutivo Provincial")</f>
        <v>Poder Ejecutivo Provincial</v>
      </c>
      <c r="M637" s="20" t="str">
        <f ca="1">IFERROR(__xludf.DUMMYFUNCTION("""COMPUTED_VALUE"""),"Declarando de utilidad pública y sujetos a expropiación los inmuebles ubicados en barrio La Toma, en el asentamiento denominado “La Toma” de la ciudad de Córdoba, para la regularización dominial y saneamiento de títulos.")</f>
        <v>Declarando de utilidad pública y sujetos a expropiación los inmuebles ubicados en barrio La Toma, en el asentamiento denominado “La Toma” de la ciudad de Córdoba, para la regularización dominial y saneamiento de títulos.</v>
      </c>
      <c r="N637" s="20" t="str">
        <f ca="1">IFERROR(__xludf.DUMMYFUNCTION("""COMPUTED_VALUE"""),"SI")</f>
        <v>SI</v>
      </c>
      <c r="O637" s="20" t="str">
        <f ca="1">IFERROR(__xludf.DUMMYFUNCTION("""COMPUTED_VALUE"""),"SI")</f>
        <v>SI</v>
      </c>
      <c r="P637" s="20">
        <f ca="1">IFERROR(__xludf.DUMMYFUNCTION("""COMPUTED_VALUE"""),2)</f>
        <v>2</v>
      </c>
      <c r="Q637" s="113" t="str">
        <f ca="1">IFERROR(__xludf.DUMMYFUNCTION("""COMPUTED_VALUE"""),"https://gld.legislaturacba.gob.ar/_cdd/api/Documento/descargar?guid=1de9453a-3d6e-4271-9996-4460c159944d&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v>
      </c>
      <c r="R637" s="113" t="str">
        <f ca="1">IFERROR(__xludf.DUMMYFUNCTION("""COMPUTED_VALUE"""),"https://www.youtube.com/watch?v=QSUCghIEIkU")</f>
        <v>https://www.youtube.com/watch?v=QSUCghIEIkU</v>
      </c>
      <c r="S637" s="113" t="str">
        <f ca="1">IFERROR(__xludf.DUMMYFUNCTION("""COMPUTED_VALUE"""),"https://gld.legislaturacba.gob.ar/Publics/Actas.aspx?id=UoWdxo7lXGQ=;https://gld.legislaturacba.gob.ar/Publics/Actas.aspx?id=HjsGx7ytAVI=")</f>
        <v>https://gld.legislaturacba.gob.ar/Publics/Actas.aspx?id=UoWdxo7lXGQ=;https://gld.legislaturacba.gob.ar/Publics/Actas.aspx?id=HjsGx7ytAVI=</v>
      </c>
      <c r="T637" s="99">
        <f t="shared" ca="1" si="0"/>
        <v>0</v>
      </c>
    </row>
    <row r="638" spans="1:20">
      <c r="A638" s="20">
        <f ca="1">IFERROR(__xludf.DUMMYFUNCTION("""COMPUTED_VALUE"""),142)</f>
        <v>142</v>
      </c>
      <c r="B638" s="20">
        <f ca="1">IFERROR(__xludf.DUMMYFUNCTION("""COMPUTED_VALUE"""),2022)</f>
        <v>2022</v>
      </c>
      <c r="C638" s="20" t="str">
        <f ca="1">IFERROR(__xludf.DUMMYFUNCTION("""COMPUTED_VALUE"""),"SEMIPRESENCIAL")</f>
        <v>SEMIPRESENCIAL</v>
      </c>
      <c r="D638" s="106">
        <f ca="1">IFERROR(__xludf.DUMMYFUNCTION("""COMPUTED_VALUE"""),44817)</f>
        <v>44817</v>
      </c>
      <c r="E638" s="20" t="str">
        <f ca="1">IFERROR(__xludf.DUMMYFUNCTION("""COMPUTED_VALUE"""),"NO")</f>
        <v>NO</v>
      </c>
      <c r="F638" s="20" t="str">
        <f ca="1">IFERROR(__xludf.DUMMYFUNCTION("""COMPUTED_VALUE"""),"SALUD HUMANA")</f>
        <v>SALUD HUMANA</v>
      </c>
      <c r="G638" s="20">
        <f ca="1">IFERROR(__xludf.DUMMYFUNCTION("""COMPUTED_VALUE"""),1)</f>
        <v>1</v>
      </c>
      <c r="H638" s="20">
        <f ca="1">IFERROR(__xludf.DUMMYFUNCTION("""COMPUTED_VALUE"""),2)</f>
        <v>2</v>
      </c>
      <c r="I638" s="20">
        <f ca="1">IFERROR(__xludf.DUMMYFUNCTION("""COMPUTED_VALUE"""),1)</f>
        <v>1</v>
      </c>
      <c r="J638" s="20" t="str">
        <f ca="1">IFERROR(__xludf.DUMMYFUNCTION("""COMPUTED_VALUE"""),"Resolución")</f>
        <v>Resolución</v>
      </c>
      <c r="K638" s="20">
        <f ca="1">IFERROR(__xludf.DUMMYFUNCTION("""COMPUTED_VALUE"""),35447)</f>
        <v>35447</v>
      </c>
      <c r="L638" s="20" t="str">
        <f ca="1">IFERROR(__xludf.DUMMYFUNCTION("""COMPUTED_VALUE"""),"Poder Legislativo Provincial")</f>
        <v>Poder Legislativo Provincial</v>
      </c>
      <c r="M638" s="20" t="str">
        <f ca="1">IFERROR(__xludf.DUMMYFUNCTION("""COMPUTED_VALUE"""),"Solicitando al Poder Ejecutivo informe (Art. 102 C.P.) detalladamente sobre diversos aspectos referidos a la Ley N° 9021, que crea el Programa Asistencial de Cuidados Paliativos y Tratamientos del Dolor.")</f>
        <v>Solicitando al Poder Ejecutivo informe (Art. 102 C.P.) detalladamente sobre diversos aspectos referidos a la Ley N° 9021, que crea el Programa Asistencial de Cuidados Paliativos y Tratamientos del Dolor.</v>
      </c>
      <c r="N638" s="20" t="str">
        <f ca="1">IFERROR(__xludf.DUMMYFUNCTION("""COMPUTED_VALUE"""),"SI")</f>
        <v>SI</v>
      </c>
      <c r="O638" s="20" t="str">
        <f ca="1">IFERROR(__xludf.DUMMYFUNCTION("""COMPUTED_VALUE"""),"SI")</f>
        <v>SI</v>
      </c>
      <c r="P638" s="20">
        <f ca="1">IFERROR(__xludf.DUMMYFUNCTION("""COMPUTED_VALUE"""),5)</f>
        <v>5</v>
      </c>
      <c r="Q638" s="113" t="str">
        <f ca="1">IFERROR(__xludf.DUMMYFUNCTION("""COMPUTED_VALUE"""),"https://gld.legislaturacba.gob.ar/_cdd/api/Documento/descargar?guid=4e1a7ad1-7374-4b99-82bb-5e15422e12b4&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v>
      </c>
      <c r="R638" s="113" t="str">
        <f ca="1">IFERROR(__xludf.DUMMYFUNCTION("""COMPUTED_VALUE"""),"https://www.youtube.com/watch?v=Gu4w2Rw0CgY")</f>
        <v>https://www.youtube.com/watch?v=Gu4w2Rw0CgY</v>
      </c>
      <c r="S638" s="113" t="str">
        <f ca="1">IFERROR(__xludf.DUMMYFUNCTION("""COMPUTED_VALUE"""),"https://gld.legislaturacba.gob.ar/Publics/Actas.aspx?id=h1at5mCX-YI=")</f>
        <v>https://gld.legislaturacba.gob.ar/Publics/Actas.aspx?id=h1at5mCX-YI=</v>
      </c>
      <c r="T638" s="99">
        <f t="shared" ca="1" si="0"/>
        <v>0</v>
      </c>
    </row>
    <row r="639" spans="1:20">
      <c r="A639" s="20">
        <f ca="1">IFERROR(__xludf.DUMMYFUNCTION("""COMPUTED_VALUE"""),143)</f>
        <v>143</v>
      </c>
      <c r="B639" s="20">
        <f ca="1">IFERROR(__xludf.DUMMYFUNCTION("""COMPUTED_VALUE"""),2022)</f>
        <v>2022</v>
      </c>
      <c r="C639" s="20" t="str">
        <f ca="1">IFERROR(__xludf.DUMMYFUNCTION("""COMPUTED_VALUE"""),"VIRTUAL")</f>
        <v>VIRTUAL</v>
      </c>
      <c r="D639" s="106">
        <f ca="1">IFERROR(__xludf.DUMMYFUNCTION("""COMPUTED_VALUE"""),44817)</f>
        <v>44817</v>
      </c>
      <c r="E639" s="20" t="str">
        <f ca="1">IFERROR(__xludf.DUMMYFUNCTION("""COMPUTED_VALUE"""),"NO")</f>
        <v>NO</v>
      </c>
      <c r="F639" s="20" t="str">
        <f ca="1">IFERROR(__xludf.DUMMYFUNCTION("""COMPUTED_VALUE"""),"LEGISLACIÓN GENERAL")</f>
        <v>LEGISLACIÓN GENERAL</v>
      </c>
      <c r="G639" s="20">
        <f ca="1">IFERROR(__xludf.DUMMYFUNCTION("""COMPUTED_VALUE"""),1)</f>
        <v>1</v>
      </c>
      <c r="H639" s="20">
        <f ca="1">IFERROR(__xludf.DUMMYFUNCTION("""COMPUTED_VALUE"""),1)</f>
        <v>1</v>
      </c>
      <c r="I639" s="20">
        <f ca="1">IFERROR(__xludf.DUMMYFUNCTION("""COMPUTED_VALUE"""),1)</f>
        <v>1</v>
      </c>
      <c r="J639" s="20" t="str">
        <f ca="1">IFERROR(__xludf.DUMMYFUNCTION("""COMPUTED_VALUE"""),"Ley")</f>
        <v>Ley</v>
      </c>
      <c r="K639" s="20">
        <f ca="1">IFERROR(__xludf.DUMMYFUNCTION("""COMPUTED_VALUE"""),35475)</f>
        <v>35475</v>
      </c>
      <c r="L639" s="20" t="str">
        <f ca="1">IFERROR(__xludf.DUMMYFUNCTION("""COMPUTED_VALUE"""),"Poder Ejecutivo Provincial")</f>
        <v>Poder Ejecutivo Provincial</v>
      </c>
      <c r="M639" s="20" t="str">
        <f ca="1">IFERROR(__xludf.DUMMYFUNCTION("""COMPUTED_VALUE"""),"Modificando el radio comunal de la localidad de Onagoity, Dpto. General Roca.")</f>
        <v>Modificando el radio comunal de la localidad de Onagoity, Dpto. General Roca.</v>
      </c>
      <c r="N639" s="20" t="str">
        <f ca="1">IFERROR(__xludf.DUMMYFUNCTION("""COMPUTED_VALUE"""),"NO")</f>
        <v>NO</v>
      </c>
      <c r="O639" s="20" t="str">
        <f ca="1">IFERROR(__xludf.DUMMYFUNCTION("""COMPUTED_VALUE"""),"NO")</f>
        <v>NO</v>
      </c>
      <c r="P639" s="20">
        <f ca="1">IFERROR(__xludf.DUMMYFUNCTION("""COMPUTED_VALUE"""),0)</f>
        <v>0</v>
      </c>
      <c r="Q639" s="113" t="str">
        <f ca="1">IFERROR(__xludf.DUMMYFUNCTION("""COMPUTED_VALUE"""),"https://gld.legislaturacba.gob.ar/_cdd/api/Documento/descargar?guid=57e85792-e036-4989-9c93-9a4816a9b693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v>
      </c>
      <c r="R639" s="20" t="str">
        <f ca="1">IFERROR(__xludf.DUMMYFUNCTION("""COMPUTED_VALUE"""),"NA")</f>
        <v>NA</v>
      </c>
      <c r="S639" s="113" t="str">
        <f ca="1">IFERROR(__xludf.DUMMYFUNCTION("""COMPUTED_VALUE"""),"https://gld.legislaturacba.gob.ar/Publics/Actas.aspx?id=5TyD928e9g0=")</f>
        <v>https://gld.legislaturacba.gob.ar/Publics/Actas.aspx?id=5TyD928e9g0=</v>
      </c>
      <c r="T639" s="99">
        <f t="shared" ca="1" si="0"/>
        <v>0</v>
      </c>
    </row>
    <row r="640" spans="1:20">
      <c r="A640" s="20">
        <f ca="1">IFERROR(__xludf.DUMMYFUNCTION("""COMPUTED_VALUE"""),144)</f>
        <v>144</v>
      </c>
      <c r="B640" s="20">
        <f ca="1">IFERROR(__xludf.DUMMYFUNCTION("""COMPUTED_VALUE"""),2022)</f>
        <v>2022</v>
      </c>
      <c r="C640" s="20" t="str">
        <f ca="1">IFERROR(__xludf.DUMMYFUNCTION("""COMPUTED_VALUE"""),"VIRTUAL")</f>
        <v>VIRTUAL</v>
      </c>
      <c r="D640" s="106">
        <f ca="1">IFERROR(__xludf.DUMMYFUNCTION("""COMPUTED_VALUE"""),44817)</f>
        <v>44817</v>
      </c>
      <c r="E640" s="20" t="str">
        <f ca="1">IFERROR(__xludf.DUMMYFUNCTION("""COMPUTED_VALUE"""),"SI")</f>
        <v>SI</v>
      </c>
      <c r="F640" s="20" t="str">
        <f ca="1">IFERROR(__xludf.DUMMYFUNCTION("""COMPUTED_VALUE"""),"LEGISLACIÓN GENERAL;AMBIENTE;AGRICULTURA, GANADERÍA Y RECURSOS RENOVABLES")</f>
        <v>LEGISLACIÓN GENERAL;AMBIENTE;AGRICULTURA, GANADERÍA Y RECURSOS RENOVABLES</v>
      </c>
      <c r="G640" s="20">
        <f ca="1">IFERROR(__xludf.DUMMYFUNCTION("""COMPUTED_VALUE"""),3)</f>
        <v>3</v>
      </c>
      <c r="H640" s="20">
        <f ca="1">IFERROR(__xludf.DUMMYFUNCTION("""COMPUTED_VALUE"""),1)</f>
        <v>1</v>
      </c>
      <c r="I640" s="20">
        <f ca="1">IFERROR(__xludf.DUMMYFUNCTION("""COMPUTED_VALUE"""),1)</f>
        <v>1</v>
      </c>
      <c r="J640" s="20" t="str">
        <f ca="1">IFERROR(__xludf.DUMMYFUNCTION("""COMPUTED_VALUE"""),"Ley")</f>
        <v>Ley</v>
      </c>
      <c r="K640" s="20">
        <f ca="1">IFERROR(__xludf.DUMMYFUNCTION("""COMPUTED_VALUE"""),35730)</f>
        <v>35730</v>
      </c>
      <c r="L640" s="20" t="str">
        <f ca="1">IFERROR(__xludf.DUMMYFUNCTION("""COMPUTED_VALUE"""),"Poder Ejecutivo Provincial")</f>
        <v>Poder Ejecutivo Provincial</v>
      </c>
      <c r="M640" s="20" t="str">
        <f ca="1">IFERROR(__xludf.DUMMYFUNCTION("""COMPUTED_VALUE"""),"Adhiriendo la provincia a la Ley Nacional N° 27487, de “Inversiones Forestales”, en la que se introducen modificaciones a la Ley Nacional N° 25080, de “Inversiones para Bosques Cultivados”, a la que se adhirió oportunamente por Ley Nº 8855.")</f>
        <v>Adhiriendo la provincia a la Ley Nacional N° 27487, de “Inversiones Forestales”, en la que se introducen modificaciones a la Ley Nacional N° 25080, de “Inversiones para Bosques Cultivados”, a la que se adhirió oportunamente por Ley Nº 8855.</v>
      </c>
      <c r="N640" s="20" t="str">
        <f ca="1">IFERROR(__xludf.DUMMYFUNCTION("""COMPUTED_VALUE"""),"SI")</f>
        <v>SI</v>
      </c>
      <c r="O640" s="20" t="str">
        <f ca="1">IFERROR(__xludf.DUMMYFUNCTION("""COMPUTED_VALUE"""),"NO")</f>
        <v>NO</v>
      </c>
      <c r="P640" s="20">
        <f ca="1">IFERROR(__xludf.DUMMYFUNCTION("""COMPUTED_VALUE"""),0)</f>
        <v>0</v>
      </c>
      <c r="Q640" s="113" t="str">
        <f ca="1">IFERROR(__xludf.DUMMYFUNCTION("""COMPUTED_VALUE"""),"https://gld.legislaturacba.gob.ar/_cdd/api/Documento/descargar?guid=0b8b6717-8616-4645-a115-fccc6d6babf1&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v>
      </c>
      <c r="R640" s="113" t="str">
        <f ca="1">IFERROR(__xludf.DUMMYFUNCTION("""COMPUTED_VALUE"""),"https://www.youtube.com/watch?v=lmUSzXF2a1Q")</f>
        <v>https://www.youtube.com/watch?v=lmUSzXF2a1Q</v>
      </c>
      <c r="S640" s="113" t="str">
        <f ca="1">IFERROR(__xludf.DUMMYFUNCTION("""COMPUTED_VALUE"""),"https://gld.legislaturacba.gob.ar/Publics/Actas.aspx?id=MlojQ7y89cY=;https://gld.legislaturacba.gob.ar/Publics/Actas.aspx?id=iMpAe8aVd2Y=;https://gld.legislaturacba.gob.ar/Publics/Actas.aspx?id=tl4CvXDQuWA=")</f>
        <v>https://gld.legislaturacba.gob.ar/Publics/Actas.aspx?id=MlojQ7y89cY=;https://gld.legislaturacba.gob.ar/Publics/Actas.aspx?id=iMpAe8aVd2Y=;https://gld.legislaturacba.gob.ar/Publics/Actas.aspx?id=tl4CvXDQuWA=</v>
      </c>
      <c r="T640" s="99">
        <f t="shared" ca="1" si="0"/>
        <v>0</v>
      </c>
    </row>
    <row r="641" spans="1:20">
      <c r="A641" s="20">
        <f ca="1">IFERROR(__xludf.DUMMYFUNCTION("""COMPUTED_VALUE"""),145)</f>
        <v>145</v>
      </c>
      <c r="B641" s="20">
        <f ca="1">IFERROR(__xludf.DUMMYFUNCTION("""COMPUTED_VALUE"""),2022)</f>
        <v>2022</v>
      </c>
      <c r="C641" s="20" t="str">
        <f ca="1">IFERROR(__xludf.DUMMYFUNCTION("""COMPUTED_VALUE"""),"VIRTUAL")</f>
        <v>VIRTUAL</v>
      </c>
      <c r="D641" s="106">
        <f ca="1">IFERROR(__xludf.DUMMYFUNCTION("""COMPUTED_VALUE"""),44819)</f>
        <v>44819</v>
      </c>
      <c r="E641" s="20" t="str">
        <f ca="1">IFERROR(__xludf.DUMMYFUNCTION("""COMPUTED_VALUE"""),"SI")</f>
        <v>SI</v>
      </c>
      <c r="F641" s="20" t="str">
        <f ca="1">IFERROR(__xludf.DUMMYFUNCTION("""COMPUTED_VALUE"""),"ASUNTOS INSTITUCIONALES, MUNICIPALES Y COMUNALES;INDUSTRIA Y MINERÍA;PROMOCIÓN Y DESARROLLO DE LAS ECONOMÍAS REGIONALES Y PYMES")</f>
        <v>ASUNTOS INSTITUCIONALES, MUNICIPALES Y COMUNALES;INDUSTRIA Y MINERÍA;PROMOCIÓN Y DESARROLLO DE LAS ECONOMÍAS REGIONALES Y PYMES</v>
      </c>
      <c r="G641" s="20">
        <f ca="1">IFERROR(__xludf.DUMMYFUNCTION("""COMPUTED_VALUE"""),3)</f>
        <v>3</v>
      </c>
      <c r="H641" s="20">
        <f ca="1">IFERROR(__xludf.DUMMYFUNCTION("""COMPUTED_VALUE"""),1)</f>
        <v>1</v>
      </c>
      <c r="I641" s="20">
        <f ca="1">IFERROR(__xludf.DUMMYFUNCTION("""COMPUTED_VALUE"""),1)</f>
        <v>1</v>
      </c>
      <c r="J641" s="20" t="str">
        <f ca="1">IFERROR(__xludf.DUMMYFUNCTION("""COMPUTED_VALUE"""),"Ley")</f>
        <v>Ley</v>
      </c>
      <c r="K641" s="20">
        <f ca="1">IFERROR(__xludf.DUMMYFUNCTION("""COMPUTED_VALUE"""),34398)</f>
        <v>34398</v>
      </c>
      <c r="L641" s="20" t="str">
        <f ca="1">IFERROR(__xludf.DUMMYFUNCTION("""COMPUTED_VALUE"""),"Poder Legislativo Provincial")</f>
        <v>Poder Legislativo Provincial</v>
      </c>
      <c r="M641" s="20" t="str">
        <f ca="1">IFERROR(__xludf.DUMMYFUNCTION("""COMPUTED_VALUE"""),"Modificando los artículos 3° y 9° de la Ley N° 8652, Régimen de las Personas Jurídicas de la Provincia de Córdoba, incorporando la figura de Protocolo de Empresas Familiares.")</f>
        <v>Modificando los artículos 3° y 9° de la Ley N° 8652, Régimen de las Personas Jurídicas de la Provincia de Córdoba, incorporando la figura de Protocolo de Empresas Familiares.</v>
      </c>
      <c r="N641" s="20" t="str">
        <f ca="1">IFERROR(__xludf.DUMMYFUNCTION("""COMPUTED_VALUE"""),"NO")</f>
        <v>NO</v>
      </c>
      <c r="O641" s="20" t="str">
        <f ca="1">IFERROR(__xludf.DUMMYFUNCTION("""COMPUTED_VALUE"""),"NO")</f>
        <v>NO</v>
      </c>
      <c r="P641" s="20">
        <f ca="1">IFERROR(__xludf.DUMMYFUNCTION("""COMPUTED_VALUE"""),0)</f>
        <v>0</v>
      </c>
      <c r="Q641" s="113" t="str">
        <f ca="1">IFERROR(__xludf.DUMMYFUNCTION("""COMPUTED_VALUE"""),"https://gld.legislaturacba.gob.ar/_cdd/api/Documento/descargar?guid=8f9b7560-0f88-4ecc-9331-6b066a520988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v>
      </c>
      <c r="R641" s="113" t="str">
        <f ca="1">IFERROR(__xludf.DUMMYFUNCTION("""COMPUTED_VALUE"""),"https://www.youtube.com/watch?v=2-mU6HTUtU0")</f>
        <v>https://www.youtube.com/watch?v=2-mU6HTUtU0</v>
      </c>
      <c r="S641" s="113" t="str">
        <f ca="1">IFERROR(__xludf.DUMMYFUNCTION("""COMPUTED_VALUE"""),"https://gld.legislaturacba.gob.ar/Publics/Actas.aspx?id=Rjy_yq3iBcY=;https://gld.legislaturacba.gob.ar/Publics/Actas.aspx?id=DyukL9KCKOU=;https://gld.legislaturacba.gob.ar/Publics/Actas.aspx?id=h2h_-4AVn4M=")</f>
        <v>https://gld.legislaturacba.gob.ar/Publics/Actas.aspx?id=Rjy_yq3iBcY=;https://gld.legislaturacba.gob.ar/Publics/Actas.aspx?id=DyukL9KCKOU=;https://gld.legislaturacba.gob.ar/Publics/Actas.aspx?id=h2h_-4AVn4M=</v>
      </c>
      <c r="T641" s="99">
        <f t="shared" ca="1" si="0"/>
        <v>0</v>
      </c>
    </row>
    <row r="642" spans="1:20">
      <c r="A642" s="20">
        <f ca="1">IFERROR(__xludf.DUMMYFUNCTION("""COMPUTED_VALUE"""),146)</f>
        <v>146</v>
      </c>
      <c r="B642" s="20">
        <f ca="1">IFERROR(__xludf.DUMMYFUNCTION("""COMPUTED_VALUE"""),2022)</f>
        <v>2022</v>
      </c>
      <c r="C642" s="20" t="str">
        <f ca="1">IFERROR(__xludf.DUMMYFUNCTION("""COMPUTED_VALUE"""),"PRESENCIAL")</f>
        <v>PRESENCIAL</v>
      </c>
      <c r="D642" s="106">
        <f ca="1">IFERROR(__xludf.DUMMYFUNCTION("""COMPUTED_VALUE"""),44824)</f>
        <v>44824</v>
      </c>
      <c r="E642" s="20" t="str">
        <f ca="1">IFERROR(__xludf.DUMMYFUNCTION("""COMPUTED_VALUE"""),"SI")</f>
        <v>SI</v>
      </c>
      <c r="F642" s="20" t="str">
        <f ca="1">IFERROR(__xludf.DUMMYFUNCTION("""COMPUTED_VALUE"""),"SALUD HUMANA;DERECHOS HUMANOS Y DESARROLLO SOCIAL;DEPORTES Y RECREACIÓN")</f>
        <v>SALUD HUMANA;DERECHOS HUMANOS Y DESARROLLO SOCIAL;DEPORTES Y RECREACIÓN</v>
      </c>
      <c r="G642" s="20">
        <f ca="1">IFERROR(__xludf.DUMMYFUNCTION("""COMPUTED_VALUE"""),3)</f>
        <v>3</v>
      </c>
      <c r="H642" s="20">
        <f ca="1">IFERROR(__xludf.DUMMYFUNCTION("""COMPUTED_VALUE"""),1)</f>
        <v>1</v>
      </c>
      <c r="I642" s="20">
        <f ca="1">IFERROR(__xludf.DUMMYFUNCTION("""COMPUTED_VALUE"""),1)</f>
        <v>1</v>
      </c>
      <c r="J642" s="20" t="str">
        <f ca="1">IFERROR(__xludf.DUMMYFUNCTION("""COMPUTED_VALUE"""),"NA")</f>
        <v>NA</v>
      </c>
      <c r="K642" s="20" t="str">
        <f ca="1">IFERROR(__xludf.DUMMYFUNCTION("""COMPUTED_VALUE"""),"NA")</f>
        <v>NA</v>
      </c>
      <c r="L642" s="20" t="str">
        <f ca="1">IFERROR(__xludf.DUMMYFUNCTION("""COMPUTED_VALUE"""),"NA")</f>
        <v>NA</v>
      </c>
      <c r="M642" s="20" t="str">
        <f ca="1">IFERROR(__xludf.DUMMYFUNCTION("""COMPUTED_VALUE"""),"Visita al Estadio Mario Kempes en el marco del programa provincial ""Córdoba Juega Adaptado 2022""")</f>
        <v>Visita al Estadio Mario Kempes en el marco del programa provincial "Córdoba Juega Adaptado 2022"</v>
      </c>
      <c r="N642" s="20" t="str">
        <f ca="1">IFERROR(__xludf.DUMMYFUNCTION("""COMPUTED_VALUE"""),"NA")</f>
        <v>NA</v>
      </c>
      <c r="O642" s="20" t="str">
        <f ca="1">IFERROR(__xludf.DUMMYFUNCTION("""COMPUTED_VALUE"""),"NO")</f>
        <v>NO</v>
      </c>
      <c r="P642" s="20">
        <f ca="1">IFERROR(__xludf.DUMMYFUNCTION("""COMPUTED_VALUE"""),0)</f>
        <v>0</v>
      </c>
      <c r="Q642" s="20" t="str">
        <f ca="1">IFERROR(__xludf.DUMMYFUNCTION("""COMPUTED_VALUE"""),"NA")</f>
        <v>NA</v>
      </c>
      <c r="R642" s="113" t="str">
        <f ca="1">IFERROR(__xludf.DUMMYFUNCTION("""COMPUTED_VALUE"""),"https://www.youtube.com/watch?v=wWQ8e95Bd0k")</f>
        <v>https://www.youtube.com/watch?v=wWQ8e95Bd0k</v>
      </c>
      <c r="S642" s="113" t="str">
        <f ca="1">IFERROR(__xludf.DUMMYFUNCTION("""COMPUTED_VALUE"""),"https://gld.legislaturacba.gob.ar/Publics/Actas.aspx?id=PbfUWTwq3FI=;https://gld.legislaturacba.gob.ar/Publics/Actas.aspx?id=ZGlc3ZVej5M=;https://gld.legislaturacba.gob.ar/Publics/Actas.aspx?id=imgwDfsyw1w=")</f>
        <v>https://gld.legislaturacba.gob.ar/Publics/Actas.aspx?id=PbfUWTwq3FI=;https://gld.legislaturacba.gob.ar/Publics/Actas.aspx?id=ZGlc3ZVej5M=;https://gld.legislaturacba.gob.ar/Publics/Actas.aspx?id=imgwDfsyw1w=</v>
      </c>
      <c r="T642" s="99">
        <f t="shared" ca="1" si="0"/>
        <v>0</v>
      </c>
    </row>
    <row r="643" spans="1:20">
      <c r="A643" s="20">
        <f ca="1">IFERROR(__xludf.DUMMYFUNCTION("""COMPUTED_VALUE"""),147)</f>
        <v>147</v>
      </c>
      <c r="B643" s="20">
        <f ca="1">IFERROR(__xludf.DUMMYFUNCTION("""COMPUTED_VALUE"""),2022)</f>
        <v>2022</v>
      </c>
      <c r="C643" s="20" t="str">
        <f ca="1">IFERROR(__xludf.DUMMYFUNCTION("""COMPUTED_VALUE"""),"VIRTUAL")</f>
        <v>VIRTUAL</v>
      </c>
      <c r="D643" s="106">
        <f ca="1">IFERROR(__xludf.DUMMYFUNCTION("""COMPUTED_VALUE"""),44824)</f>
        <v>44824</v>
      </c>
      <c r="E643" s="20" t="str">
        <f ca="1">IFERROR(__xludf.DUMMYFUNCTION("""COMPUTED_VALUE"""),"NO")</f>
        <v>NO</v>
      </c>
      <c r="F643" s="20" t="str">
        <f ca="1">IFERROR(__xludf.DUMMYFUNCTION("""COMPUTED_VALUE"""),"EDUCACIÓN, CULTURA, CIENCIA, TECNOLOGÍA E INFORMÁTICA")</f>
        <v>EDUCACIÓN, CULTURA, CIENCIA, TECNOLOGÍA E INFORMÁTICA</v>
      </c>
      <c r="G643" s="20">
        <f ca="1">IFERROR(__xludf.DUMMYFUNCTION("""COMPUTED_VALUE"""),1)</f>
        <v>1</v>
      </c>
      <c r="H643" s="20">
        <f ca="1">IFERROR(__xludf.DUMMYFUNCTION("""COMPUTED_VALUE"""),1)</f>
        <v>1</v>
      </c>
      <c r="I643" s="20">
        <f ca="1">IFERROR(__xludf.DUMMYFUNCTION("""COMPUTED_VALUE"""),1)</f>
        <v>1</v>
      </c>
      <c r="J643" s="20" t="str">
        <f ca="1">IFERROR(__xludf.DUMMYFUNCTION("""COMPUTED_VALUE"""),"Ley")</f>
        <v>Ley</v>
      </c>
      <c r="K643" s="20">
        <f ca="1">IFERROR(__xludf.DUMMYFUNCTION("""COMPUTED_VALUE"""),35813)</f>
        <v>35813</v>
      </c>
      <c r="L643" s="20" t="str">
        <f ca="1">IFERROR(__xludf.DUMMYFUNCTION("""COMPUTED_VALUE"""),"Poder Legislativo Provincial")</f>
        <v>Poder Legislativo Provincial</v>
      </c>
      <c r="M643" s="20" t="str">
        <f ca="1">IFERROR(__xludf.DUMMYFUNCTION("""COMPUTED_VALUE"""),"Declarando de Interés Provincial los Activos Digitales Gubernamentales que forman parte del dominio del Estado como bienes inmateriales, regulando el uso, administración, protección, resguardo y traspaso de los mismos, con el objeto de evitar la pérdida d"&amp;"e información pública.")</f>
        <v>Declarando de Interés Provincial los Activos Digitales Gubernamentales que forman parte del dominio del Estado como bienes inmateriales, regulando el uso, administración, protección, resguardo y traspaso de los mismos, con el objeto de evitar la pérdida de información pública.</v>
      </c>
      <c r="N643" s="20" t="str">
        <f ca="1">IFERROR(__xludf.DUMMYFUNCTION("""COMPUTED_VALUE"""),"NO")</f>
        <v>NO</v>
      </c>
      <c r="O643" s="20" t="str">
        <f ca="1">IFERROR(__xludf.DUMMYFUNCTION("""COMPUTED_VALUE"""),"NO")</f>
        <v>NO</v>
      </c>
      <c r="P643" s="20">
        <f ca="1">IFERROR(__xludf.DUMMYFUNCTION("""COMPUTED_VALUE"""),0)</f>
        <v>0</v>
      </c>
      <c r="Q643" s="113" t="str">
        <f ca="1">IFERROR(__xludf.DUMMYFUNCTION("""COMPUTED_VALUE"""),"https://gld.legislaturacba.gob.ar/_cdd/api/Documento/descargar?guid=8362646f-67af-4bbf-93b8-11746aa33d28&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v>
      </c>
      <c r="R643" s="113" t="str">
        <f ca="1">IFERROR(__xludf.DUMMYFUNCTION("""COMPUTED_VALUE"""),"https://www.youtube.com/watch?v=PeuApIFXz6Y")</f>
        <v>https://www.youtube.com/watch?v=PeuApIFXz6Y</v>
      </c>
      <c r="S643" s="113" t="str">
        <f ca="1">IFERROR(__xludf.DUMMYFUNCTION("""COMPUTED_VALUE"""),"https://gld.legislaturacba.gob.ar/Publics/Actas.aspx?id=2mHZrhfaxvI=")</f>
        <v>https://gld.legislaturacba.gob.ar/Publics/Actas.aspx?id=2mHZrhfaxvI=</v>
      </c>
      <c r="T643" s="99">
        <f t="shared" ca="1" si="0"/>
        <v>0</v>
      </c>
    </row>
    <row r="644" spans="1:20">
      <c r="A644" s="20">
        <f ca="1">IFERROR(__xludf.DUMMYFUNCTION("""COMPUTED_VALUE"""),148)</f>
        <v>148</v>
      </c>
      <c r="B644" s="20">
        <f ca="1">IFERROR(__xludf.DUMMYFUNCTION("""COMPUTED_VALUE"""),2022)</f>
        <v>2022</v>
      </c>
      <c r="C644" s="20" t="str">
        <f ca="1">IFERROR(__xludf.DUMMYFUNCTION("""COMPUTED_VALUE"""),"VIRTUAL")</f>
        <v>VIRTUAL</v>
      </c>
      <c r="D644" s="106">
        <f ca="1">IFERROR(__xludf.DUMMYFUNCTION("""COMPUTED_VALUE"""),44824)</f>
        <v>44824</v>
      </c>
      <c r="E644" s="20" t="str">
        <f ca="1">IFERROR(__xludf.DUMMYFUNCTION("""COMPUTED_VALUE"""),"NO")</f>
        <v>NO</v>
      </c>
      <c r="F644" s="20" t="str">
        <f ca="1">IFERROR(__xludf.DUMMYFUNCTION("""COMPUTED_VALUE"""),"EQUIDAD Y LUCHA CONTRA LA VIOLENCIA DE GÉNERO")</f>
        <v>EQUIDAD Y LUCHA CONTRA LA VIOLENCIA DE GÉNERO</v>
      </c>
      <c r="G644" s="20">
        <f ca="1">IFERROR(__xludf.DUMMYFUNCTION("""COMPUTED_VALUE"""),1)</f>
        <v>1</v>
      </c>
      <c r="H644" s="20">
        <f ca="1">IFERROR(__xludf.DUMMYFUNCTION("""COMPUTED_VALUE"""),1)</f>
        <v>1</v>
      </c>
      <c r="I644" s="20">
        <f ca="1">IFERROR(__xludf.DUMMYFUNCTION("""COMPUTED_VALUE"""),1)</f>
        <v>1</v>
      </c>
      <c r="J644" s="20" t="str">
        <f ca="1">IFERROR(__xludf.DUMMYFUNCTION("""COMPUTED_VALUE"""),"Ley")</f>
        <v>Ley</v>
      </c>
      <c r="K644" s="20">
        <f ca="1">IFERROR(__xludf.DUMMYFUNCTION("""COMPUTED_VALUE"""),34846)</f>
        <v>34846</v>
      </c>
      <c r="L644" s="20" t="str">
        <f ca="1">IFERROR(__xludf.DUMMYFUNCTION("""COMPUTED_VALUE"""),"Poder Legislativo Provincial")</f>
        <v>Poder Legislativo Provincial</v>
      </c>
      <c r="M644" s="20" t="str">
        <f ca="1">IFERROR(__xludf.DUMMYFUNCTION("""COMPUTED_VALUE"""),"Incorporando diversos artículos a la Ley N° 10.326, Código de Convivencia de la provincia de Córdoba")</f>
        <v>Incorporando diversos artículos a la Ley N° 10.326, Código de Convivencia de la provincia de Córdoba</v>
      </c>
      <c r="N644" s="20" t="str">
        <f ca="1">IFERROR(__xludf.DUMMYFUNCTION("""COMPUTED_VALUE"""),"NO")</f>
        <v>NO</v>
      </c>
      <c r="O644" s="20" t="str">
        <f ca="1">IFERROR(__xludf.DUMMYFUNCTION("""COMPUTED_VALUE"""),"SI")</f>
        <v>SI</v>
      </c>
      <c r="P644" s="20">
        <f ca="1">IFERROR(__xludf.DUMMYFUNCTION("""COMPUTED_VALUE"""),3)</f>
        <v>3</v>
      </c>
      <c r="Q644" s="113" t="str">
        <f ca="1">IFERROR(__xludf.DUMMYFUNCTION("""COMPUTED_VALUE"""),"https://gld.legislaturacba.gob.ar/_cdd/api/Documento/descargar?guid=4a2e2a6a-99fa-4f08-a283-3c1890aee765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v>
      </c>
      <c r="R644" s="113" t="str">
        <f ca="1">IFERROR(__xludf.DUMMYFUNCTION("""COMPUTED_VALUE"""),"https://www.youtube.com/watch?v=ovaHFXT0mis")</f>
        <v>https://www.youtube.com/watch?v=ovaHFXT0mis</v>
      </c>
      <c r="S644" s="113" t="str">
        <f ca="1">IFERROR(__xludf.DUMMYFUNCTION("""COMPUTED_VALUE"""),"https://gld.legislaturacba.gob.ar/Publics/Actas.aspx?id=UQ6HEuuKFc8=")</f>
        <v>https://gld.legislaturacba.gob.ar/Publics/Actas.aspx?id=UQ6HEuuKFc8=</v>
      </c>
      <c r="T644" s="99">
        <f t="shared" ca="1" si="0"/>
        <v>0</v>
      </c>
    </row>
    <row r="645" spans="1:20">
      <c r="A645" s="20">
        <f ca="1">IFERROR(__xludf.DUMMYFUNCTION("""COMPUTED_VALUE"""),149)</f>
        <v>149</v>
      </c>
      <c r="B645" s="20">
        <f ca="1">IFERROR(__xludf.DUMMYFUNCTION("""COMPUTED_VALUE"""),2022)</f>
        <v>2022</v>
      </c>
      <c r="C645" s="20" t="str">
        <f ca="1">IFERROR(__xludf.DUMMYFUNCTION("""COMPUTED_VALUE"""),"VIRTUAL")</f>
        <v>VIRTUAL</v>
      </c>
      <c r="D645" s="106">
        <f ca="1">IFERROR(__xludf.DUMMYFUNCTION("""COMPUTED_VALUE"""),44825)</f>
        <v>44825</v>
      </c>
      <c r="E645" s="20" t="str">
        <f ca="1">IFERROR(__xludf.DUMMYFUNCTION("""COMPUTED_VALUE"""),"NO")</f>
        <v>NO</v>
      </c>
      <c r="F645" s="20" t="str">
        <f ca="1">IFERROR(__xludf.DUMMYFUNCTION("""COMPUTED_VALUE"""),"ASUNTOS CONSTITUCIONALES, JUSTICIA Y ACUERDOS")</f>
        <v>ASUNTOS CONSTITUCIONALES, JUSTICIA Y ACUERDOS</v>
      </c>
      <c r="G645" s="20">
        <f ca="1">IFERROR(__xludf.DUMMYFUNCTION("""COMPUTED_VALUE"""),1)</f>
        <v>1</v>
      </c>
      <c r="H645" s="20">
        <f ca="1">IFERROR(__xludf.DUMMYFUNCTION("""COMPUTED_VALUE"""),3)</f>
        <v>3</v>
      </c>
      <c r="I645" s="20">
        <f ca="1">IFERROR(__xludf.DUMMYFUNCTION("""COMPUTED_VALUE"""),1)</f>
        <v>1</v>
      </c>
      <c r="J645" s="20" t="str">
        <f ca="1">IFERROR(__xludf.DUMMYFUNCTION("""COMPUTED_VALUE"""),"Pliego")</f>
        <v>Pliego</v>
      </c>
      <c r="K645" s="20">
        <f ca="1">IFERROR(__xludf.DUMMYFUNCTION("""COMPUTED_VALUE"""),35927)</f>
        <v>35927</v>
      </c>
      <c r="L645" s="20" t="str">
        <f ca="1">IFERROR(__xludf.DUMMYFUNCTION("""COMPUTED_VALUE"""),"Poder Ejecutivo Provincial")</f>
        <v>Poder Ejecutivo Provincial</v>
      </c>
      <c r="M645" s="20" t="str">
        <f ca="1">IFERROR(__xludf.DUMMYFUNCTION("""COMPUTED_VALUE"""),"Solicitando acuerdo para designar al abogado Julián Nicolás Daghero, como Vocal de Cámara en la Sala Quinta de la Cámara del Trabajo, perteneciente a la Primera Circunscripción Judicial con asiento en la ciudad de Córdoba.")</f>
        <v>Solicitando acuerdo para designar al abogado Julián Nicolás Daghero, como Vocal de Cámara en la Sala Quinta de la Cámara del Trabajo, perteneciente a la Primera Circunscripción Judicial con asiento en la ciudad de Córdoba.</v>
      </c>
      <c r="N645" s="20" t="str">
        <f ca="1">IFERROR(__xludf.DUMMYFUNCTION("""COMPUTED_VALUE"""),"SI")</f>
        <v>SI</v>
      </c>
      <c r="O645" s="20" t="str">
        <f ca="1">IFERROR(__xludf.DUMMYFUNCTION("""COMPUTED_VALUE"""),"SI")</f>
        <v>SI</v>
      </c>
      <c r="P645" s="20">
        <f ca="1">IFERROR(__xludf.DUMMYFUNCTION("""COMPUTED_VALUE"""),1)</f>
        <v>1</v>
      </c>
      <c r="Q645" s="113" t="str">
        <f ca="1">IFERROR(__xludf.DUMMYFUNCTION("""COMPUTED_VALUE"""),"https://gld.legislaturacba.gob.ar/_cdd/api/Documento/descargar?guid=cc5901c9-4378-4c4c-b6d2-0ce2d0c001b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v>
      </c>
      <c r="R645" s="20" t="str">
        <f ca="1">IFERROR(__xludf.DUMMYFUNCTION("""COMPUTED_VALUE"""),"NA")</f>
        <v>NA</v>
      </c>
      <c r="S645" s="113" t="str">
        <f ca="1">IFERROR(__xludf.DUMMYFUNCTION("""COMPUTED_VALUE"""),"https://gld.legislaturacba.gob.ar/Publics/Actas.aspx?id=OGqfME3idG4=")</f>
        <v>https://gld.legislaturacba.gob.ar/Publics/Actas.aspx?id=OGqfME3idG4=</v>
      </c>
      <c r="T645" s="99">
        <f t="shared" ca="1" si="0"/>
        <v>0</v>
      </c>
    </row>
    <row r="646" spans="1:20">
      <c r="A646" s="20">
        <f ca="1">IFERROR(__xludf.DUMMYFUNCTION("""COMPUTED_VALUE"""),150)</f>
        <v>150</v>
      </c>
      <c r="B646" s="20">
        <f ca="1">IFERROR(__xludf.DUMMYFUNCTION("""COMPUTED_VALUE"""),2022)</f>
        <v>2022</v>
      </c>
      <c r="C646" s="20" t="str">
        <f ca="1">IFERROR(__xludf.DUMMYFUNCTION("""COMPUTED_VALUE"""),"SEMIPRESENCIAL")</f>
        <v>SEMIPRESENCIAL</v>
      </c>
      <c r="D646" s="106">
        <f ca="1">IFERROR(__xludf.DUMMYFUNCTION("""COMPUTED_VALUE"""),44831)</f>
        <v>44831</v>
      </c>
      <c r="E646" s="20" t="str">
        <f ca="1">IFERROR(__xludf.DUMMYFUNCTION("""COMPUTED_VALUE"""),"NO")</f>
        <v>NO</v>
      </c>
      <c r="F646" s="20" t="str">
        <f ca="1">IFERROR(__xludf.DUMMYFUNCTION("""COMPUTED_VALUE"""),"RELACIONES INTERNACIONALES, MERCOSUR Y COMERCIO EXTERIOR")</f>
        <v>RELACIONES INTERNACIONALES, MERCOSUR Y COMERCIO EXTERIOR</v>
      </c>
      <c r="G646" s="20">
        <f ca="1">IFERROR(__xludf.DUMMYFUNCTION("""COMPUTED_VALUE"""),1)</f>
        <v>1</v>
      </c>
      <c r="H646" s="20">
        <f ca="1">IFERROR(__xludf.DUMMYFUNCTION("""COMPUTED_VALUE"""),1)</f>
        <v>1</v>
      </c>
      <c r="I646" s="20">
        <f ca="1">IFERROR(__xludf.DUMMYFUNCTION("""COMPUTED_VALUE"""),1)</f>
        <v>1</v>
      </c>
      <c r="J646" s="20" t="str">
        <f ca="1">IFERROR(__xludf.DUMMYFUNCTION("""COMPUTED_VALUE"""),"NA")</f>
        <v>NA</v>
      </c>
      <c r="K646" s="20" t="str">
        <f ca="1">IFERROR(__xludf.DUMMYFUNCTION("""COMPUTED_VALUE"""),"NA")</f>
        <v>NA</v>
      </c>
      <c r="L646" s="20" t="str">
        <f ca="1">IFERROR(__xludf.DUMMYFUNCTION("""COMPUTED_VALUE"""),"NA")</f>
        <v>NA</v>
      </c>
      <c r="M646" s="20" t="str">
        <f ca="1">IFERROR(__xludf.DUMMYFUNCTION("""COMPUTED_VALUE"""),"Las coberturas de guerra en un mundo en conflicto")</f>
        <v>Las coberturas de guerra en un mundo en conflicto</v>
      </c>
      <c r="N646" s="20" t="str">
        <f ca="1">IFERROR(__xludf.DUMMYFUNCTION("""COMPUTED_VALUE"""),"NA")</f>
        <v>NA</v>
      </c>
      <c r="O646" s="20" t="str">
        <f ca="1">IFERROR(__xludf.DUMMYFUNCTION("""COMPUTED_VALUE"""),"SI")</f>
        <v>SI</v>
      </c>
      <c r="P646" s="20">
        <f ca="1">IFERROR(__xludf.DUMMYFUNCTION("""COMPUTED_VALUE"""),1)</f>
        <v>1</v>
      </c>
      <c r="Q646" s="113" t="str">
        <f ca="1">IFERROR(__xludf.DUMMYFUNCTION("""COMPUTED_VALUE"""),"https://gld.legislaturacba.gob.ar/_cdd/api/Documento/descargar?guid=351d9499-ede1-4aca-a2b8-6745438a48b1&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v>
      </c>
      <c r="R646" s="113" t="str">
        <f ca="1">IFERROR(__xludf.DUMMYFUNCTION("""COMPUTED_VALUE"""),"https://www.youtube.com/watch?v=HuVeWCA3Iqc")</f>
        <v>https://www.youtube.com/watch?v=HuVeWCA3Iqc</v>
      </c>
      <c r="S646" s="113" t="str">
        <f ca="1">IFERROR(__xludf.DUMMYFUNCTION("""COMPUTED_VALUE"""),"https://gld.legislaturacba.gob.ar/Publics/Actas.aspx?id=usc1x2lZowM=")</f>
        <v>https://gld.legislaturacba.gob.ar/Publics/Actas.aspx?id=usc1x2lZowM=</v>
      </c>
      <c r="T646" s="99">
        <f t="shared" ca="1" si="0"/>
        <v>0</v>
      </c>
    </row>
    <row r="647" spans="1:20">
      <c r="A647" s="20">
        <f ca="1">IFERROR(__xludf.DUMMYFUNCTION("""COMPUTED_VALUE"""),151)</f>
        <v>151</v>
      </c>
      <c r="B647" s="20">
        <f ca="1">IFERROR(__xludf.DUMMYFUNCTION("""COMPUTED_VALUE"""),2022)</f>
        <v>2022</v>
      </c>
      <c r="C647" s="20" t="str">
        <f ca="1">IFERROR(__xludf.DUMMYFUNCTION("""COMPUTED_VALUE"""),"SEMIPRESENCIAL")</f>
        <v>SEMIPRESENCIAL</v>
      </c>
      <c r="D647" s="106">
        <f ca="1">IFERROR(__xludf.DUMMYFUNCTION("""COMPUTED_VALUE"""),44831)</f>
        <v>44831</v>
      </c>
      <c r="E647" s="20" t="str">
        <f ca="1">IFERROR(__xludf.DUMMYFUNCTION("""COMPUTED_VALUE"""),"SI")</f>
        <v>SI</v>
      </c>
      <c r="F647" s="20" t="str">
        <f ca="1">IFERROR(__xludf.DUMMYFUNCTION("""COMPUTED_VALUE"""),"LEGISLACIÓN GENERAL;AMBIENTE")</f>
        <v>LEGISLACIÓN GENERAL;AMBIENTE</v>
      </c>
      <c r="G647" s="20">
        <f ca="1">IFERROR(__xludf.DUMMYFUNCTION("""COMPUTED_VALUE"""),2)</f>
        <v>2</v>
      </c>
      <c r="H647" s="20">
        <f ca="1">IFERROR(__xludf.DUMMYFUNCTION("""COMPUTED_VALUE"""),2)</f>
        <v>2</v>
      </c>
      <c r="I647" s="20">
        <f ca="1">IFERROR(__xludf.DUMMYFUNCTION("""COMPUTED_VALUE"""),1)</f>
        <v>1</v>
      </c>
      <c r="J647" s="20" t="str">
        <f ca="1">IFERROR(__xludf.DUMMYFUNCTION("""COMPUTED_VALUE"""),"NA")</f>
        <v>NA</v>
      </c>
      <c r="K647" s="20">
        <f ca="1">IFERROR(__xludf.DUMMYFUNCTION("""COMPUTED_VALUE"""),35449)</f>
        <v>35449</v>
      </c>
      <c r="L647" s="20" t="str">
        <f ca="1">IFERROR(__xludf.DUMMYFUNCTION("""COMPUTED_VALUE"""),"Poder Ejecutivo Provincial")</f>
        <v>Poder Ejecutivo Provincial</v>
      </c>
      <c r="M647" s="20" t="str">
        <f ca="1">IFERROR(__xludf.DUMMYFUNCTION("""COMPUTED_VALUE"""),"Aprobando el Decreto N° 611/22 por el que se aprobó el Convenio Marco de Colaboración N° 101/2021 celebrado entre el Ministerio de Seguridad y el Instituto Nacional del Agua. ")</f>
        <v xml:space="preserve">Aprobando el Decreto N° 611/22 por el que se aprobó el Convenio Marco de Colaboración N° 101/2021 celebrado entre el Ministerio de Seguridad y el Instituto Nacional del Agua. </v>
      </c>
      <c r="N647" s="20" t="str">
        <f ca="1">IFERROR(__xludf.DUMMYFUNCTION("""COMPUTED_VALUE"""),"SI")</f>
        <v>SI</v>
      </c>
      <c r="O647" s="20" t="str">
        <f ca="1">IFERROR(__xludf.DUMMYFUNCTION("""COMPUTED_VALUE"""),"SI")</f>
        <v>SI</v>
      </c>
      <c r="P647" s="20">
        <f ca="1">IFERROR(__xludf.DUMMYFUNCTION("""COMPUTED_VALUE"""),1)</f>
        <v>1</v>
      </c>
      <c r="Q647" s="113" t="str">
        <f ca="1">IFERROR(__xludf.DUMMYFUNCTION("""COMPUTED_VALUE"""),"https://gld.legislaturacba.gob.ar/_cdd/api/Documento/descargar?guid=a3fef849-7eb3-4bee-8348-aafe4b704d6e&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v>
      </c>
      <c r="R647" s="113" t="str">
        <f ca="1">IFERROR(__xludf.DUMMYFUNCTION("""COMPUTED_VALUE"""),"https://www.youtube.com/watch?v=LHWEconwuiM")</f>
        <v>https://www.youtube.com/watch?v=LHWEconwuiM</v>
      </c>
      <c r="S647" s="113" t="str">
        <f ca="1">IFERROR(__xludf.DUMMYFUNCTION("""COMPUTED_VALUE"""),"https://gld.legislaturacba.gob.ar/Publics/Actas.aspx?id=fVJtVgKnKZw=;https://gld.legislaturacba.gob.ar/Publics/Actas.aspx?id=gAhhvPd7vVg=")</f>
        <v>https://gld.legislaturacba.gob.ar/Publics/Actas.aspx?id=fVJtVgKnKZw=;https://gld.legislaturacba.gob.ar/Publics/Actas.aspx?id=gAhhvPd7vVg=</v>
      </c>
      <c r="T647" s="99">
        <f t="shared" ca="1" si="0"/>
        <v>0</v>
      </c>
    </row>
    <row r="648" spans="1:20">
      <c r="A648" s="20">
        <f ca="1">IFERROR(__xludf.DUMMYFUNCTION("""COMPUTED_VALUE"""),152)</f>
        <v>152</v>
      </c>
      <c r="B648" s="20">
        <f ca="1">IFERROR(__xludf.DUMMYFUNCTION("""COMPUTED_VALUE"""),2022)</f>
        <v>2022</v>
      </c>
      <c r="C648" s="20" t="str">
        <f ca="1">IFERROR(__xludf.DUMMYFUNCTION("""COMPUTED_VALUE"""),"VIRTUAL")</f>
        <v>VIRTUAL</v>
      </c>
      <c r="D648" s="106">
        <f ca="1">IFERROR(__xludf.DUMMYFUNCTION("""COMPUTED_VALUE"""),44831)</f>
        <v>44831</v>
      </c>
      <c r="E648" s="20" t="str">
        <f ca="1">IFERROR(__xludf.DUMMYFUNCTION("""COMPUTED_VALUE"""),"SI")</f>
        <v>SI</v>
      </c>
      <c r="F648" s="20" t="str">
        <f ca="1">IFERROR(__xludf.DUMMYFUNCTION("""COMPUTED_VALUE"""),"ASUNTOS INSTITUCIONALES, MUNICIPALES Y COMUNALES;ECONOMÍA, PRESUPUESTO, GESTIÓN PÚBLICA E INNOVACIÓN;OBRAS PÚBLICAS, VIVIENDA Y COMUNICACIONES")</f>
        <v>ASUNTOS INSTITUCIONALES, MUNICIPALES Y COMUNALES;ECONOMÍA, PRESUPUESTO, GESTIÓN PÚBLICA E INNOVACIÓN;OBRAS PÚBLICAS, VIVIENDA Y COMUNICACIONES</v>
      </c>
      <c r="G648" s="20">
        <f ca="1">IFERROR(__xludf.DUMMYFUNCTION("""COMPUTED_VALUE"""),3)</f>
        <v>3</v>
      </c>
      <c r="H648" s="20">
        <f ca="1">IFERROR(__xludf.DUMMYFUNCTION("""COMPUTED_VALUE"""),1)</f>
        <v>1</v>
      </c>
      <c r="I648" s="20">
        <f ca="1">IFERROR(__xludf.DUMMYFUNCTION("""COMPUTED_VALUE"""),1)</f>
        <v>1</v>
      </c>
      <c r="J648" s="20" t="str">
        <f ca="1">IFERROR(__xludf.DUMMYFUNCTION("""COMPUTED_VALUE"""),"Ley")</f>
        <v>Ley</v>
      </c>
      <c r="K648" s="20">
        <f ca="1">IFERROR(__xludf.DUMMYFUNCTION("""COMPUTED_VALUE"""),35728)</f>
        <v>35728</v>
      </c>
      <c r="L648" s="20" t="str">
        <f ca="1">IFERROR(__xludf.DUMMYFUNCTION("""COMPUTED_VALUE"""),"Poder Legislativo Provincial")</f>
        <v>Poder Legislativo Provincial</v>
      </c>
      <c r="M648" s="20" t="str">
        <f ca="1">IFERROR(__xludf.DUMMYFUNCTION("""COMPUTED_VALUE"""),"Declarando de utilidad pública y sujetos a expropiación los inmuebles ubicados en la localidad de Miramar de Ansenuza, Dpto. San Justo, destinados a la realización de obras para contener las variantes de nivel de la Laguna Mar Chiquita, espacios públicos,"&amp;" la sistematización de las lagunas de retardo y regularización de viviendas particulares bajo el agua. ")</f>
        <v xml:space="preserve">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 </v>
      </c>
      <c r="N648" s="20" t="str">
        <f ca="1">IFERROR(__xludf.DUMMYFUNCTION("""COMPUTED_VALUE"""),"NO")</f>
        <v>NO</v>
      </c>
      <c r="O648" s="20" t="str">
        <f ca="1">IFERROR(__xludf.DUMMYFUNCTION("""COMPUTED_VALUE"""),"SI")</f>
        <v>SI</v>
      </c>
      <c r="P648" s="20">
        <f ca="1">IFERROR(__xludf.DUMMYFUNCTION("""COMPUTED_VALUE"""),2)</f>
        <v>2</v>
      </c>
      <c r="Q648" s="113" t="str">
        <f ca="1">IFERROR(__xludf.DUMMYFUNCTION("""COMPUTED_VALUE"""),"https://gld.legislaturacba.gob.ar/_cdd/api/Documento/descargar?guid=0f345203-7d13-42d1-8080-d478fb162113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v>
      </c>
      <c r="R648" s="113" t="str">
        <f ca="1">IFERROR(__xludf.DUMMYFUNCTION("""COMPUTED_VALUE"""),"https://www.youtube.com/watch?v=FD23kQOoKOk")</f>
        <v>https://www.youtube.com/watch?v=FD23kQOoKOk</v>
      </c>
      <c r="S648" s="113" t="str">
        <f ca="1">IFERROR(__xludf.DUMMYFUNCTION("""COMPUTED_VALUE"""),"https://gld.legislaturacba.gob.ar/Publics/Actas.aspx?id=Bu9XMDWgVRE=;https://gld.legislaturacba.gob.ar/Publics/Actas.aspx?id=9kZf_tkSv9I=;https://gld.legislaturacba.gob.ar/Publics/Actas.aspx?id=0jXDObisALs=")</f>
        <v>https://gld.legislaturacba.gob.ar/Publics/Actas.aspx?id=Bu9XMDWgVRE=;https://gld.legislaturacba.gob.ar/Publics/Actas.aspx?id=9kZf_tkSv9I=;https://gld.legislaturacba.gob.ar/Publics/Actas.aspx?id=0jXDObisALs=</v>
      </c>
      <c r="T648" s="99">
        <f t="shared" ca="1" si="0"/>
        <v>0</v>
      </c>
    </row>
    <row r="649" spans="1:20">
      <c r="A649" s="20">
        <f ca="1">IFERROR(__xludf.DUMMYFUNCTION("""COMPUTED_VALUE"""),153)</f>
        <v>153</v>
      </c>
      <c r="B649" s="20">
        <f ca="1">IFERROR(__xludf.DUMMYFUNCTION("""COMPUTED_VALUE"""),2022)</f>
        <v>2022</v>
      </c>
      <c r="C649" s="20" t="str">
        <f ca="1">IFERROR(__xludf.DUMMYFUNCTION("""COMPUTED_VALUE"""),"SEMIPRESENCIAL")</f>
        <v>SEMIPRESENCIAL</v>
      </c>
      <c r="D649" s="106">
        <f ca="1">IFERROR(__xludf.DUMMYFUNCTION("""COMPUTED_VALUE"""),44832)</f>
        <v>44832</v>
      </c>
      <c r="E649" s="20" t="str">
        <f ca="1">IFERROR(__xludf.DUMMYFUNCTION("""COMPUTED_VALUE"""),"NO")</f>
        <v>NO</v>
      </c>
      <c r="F649" s="20" t="str">
        <f ca="1">IFERROR(__xludf.DUMMYFUNCTION("""COMPUTED_VALUE"""),"RELACIONES INTERNACIONALES, MERCOSUR Y COMERCIO EXTERIOR")</f>
        <v>RELACIONES INTERNACIONALES, MERCOSUR Y COMERCIO EXTERIOR</v>
      </c>
      <c r="G649" s="20">
        <f ca="1">IFERROR(__xludf.DUMMYFUNCTION("""COMPUTED_VALUE"""),1)</f>
        <v>1</v>
      </c>
      <c r="H649" s="20">
        <f ca="1">IFERROR(__xludf.DUMMYFUNCTION("""COMPUTED_VALUE"""),1)</f>
        <v>1</v>
      </c>
      <c r="I649" s="20">
        <f ca="1">IFERROR(__xludf.DUMMYFUNCTION("""COMPUTED_VALUE"""),1)</f>
        <v>1</v>
      </c>
      <c r="J649" s="20" t="str">
        <f ca="1">IFERROR(__xludf.DUMMYFUNCTION("""COMPUTED_VALUE"""),"NA")</f>
        <v>NA</v>
      </c>
      <c r="K649" s="20" t="str">
        <f ca="1">IFERROR(__xludf.DUMMYFUNCTION("""COMPUTED_VALUE"""),"NA")</f>
        <v>NA</v>
      </c>
      <c r="L649" s="20" t="str">
        <f ca="1">IFERROR(__xludf.DUMMYFUNCTION("""COMPUTED_VALUE"""),"NA")</f>
        <v>NA</v>
      </c>
      <c r="M649" s="20" t="str">
        <f ca="1">IFERROR(__xludf.DUMMYFUNCTION("""COMPUTED_VALUE"""),"Analisis de la situación de las empresas exportadoras de la Provincia de Córdoba")</f>
        <v>Analisis de la situación de las empresas exportadoras de la Provincia de Córdoba</v>
      </c>
      <c r="N649" s="20" t="str">
        <f ca="1">IFERROR(__xludf.DUMMYFUNCTION("""COMPUTED_VALUE"""),"NA")</f>
        <v>NA</v>
      </c>
      <c r="O649" s="20" t="str">
        <f ca="1">IFERROR(__xludf.DUMMYFUNCTION("""COMPUTED_VALUE"""),"SI")</f>
        <v>SI</v>
      </c>
      <c r="P649" s="20">
        <f ca="1">IFERROR(__xludf.DUMMYFUNCTION("""COMPUTED_VALUE"""),3)</f>
        <v>3</v>
      </c>
      <c r="Q649" s="113" t="str">
        <f ca="1">IFERROR(__xludf.DUMMYFUNCTION("""COMPUTED_VALUE"""),"https://gld.legislaturacba.gob.ar/_cdd/api/Documento/descargar?guid=816fe7fc-3daa-44d2-bc0e-2143bf014c99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v>
      </c>
      <c r="R649" s="113" t="str">
        <f ca="1">IFERROR(__xludf.DUMMYFUNCTION("""COMPUTED_VALUE"""),"https://www.youtube.com/watch?v=9ddfgBNtvag")</f>
        <v>https://www.youtube.com/watch?v=9ddfgBNtvag</v>
      </c>
      <c r="S649" s="113" t="str">
        <f ca="1">IFERROR(__xludf.DUMMYFUNCTION("""COMPUTED_VALUE"""),"https://gld.legislaturacba.gob.ar/Publics/Actas.aspx?id=i40HrDp3sfU=")</f>
        <v>https://gld.legislaturacba.gob.ar/Publics/Actas.aspx?id=i40HrDp3sfU=</v>
      </c>
      <c r="T649" s="99">
        <f t="shared" ca="1" si="0"/>
        <v>0</v>
      </c>
    </row>
    <row r="650" spans="1:20">
      <c r="A650" s="20">
        <f ca="1">IFERROR(__xludf.DUMMYFUNCTION("""COMPUTED_VALUE"""),154)</f>
        <v>154</v>
      </c>
      <c r="B650" s="20">
        <f ca="1">IFERROR(__xludf.DUMMYFUNCTION("""COMPUTED_VALUE"""),2022)</f>
        <v>2022</v>
      </c>
      <c r="C650" s="20" t="str">
        <f ca="1">IFERROR(__xludf.DUMMYFUNCTION("""COMPUTED_VALUE"""),"VIRTUAL")</f>
        <v>VIRTUAL</v>
      </c>
      <c r="D650" s="106">
        <f ca="1">IFERROR(__xludf.DUMMYFUNCTION("""COMPUTED_VALUE"""),44838)</f>
        <v>44838</v>
      </c>
      <c r="E650" s="20" t="str">
        <f ca="1">IFERROR(__xludf.DUMMYFUNCTION("""COMPUTED_VALUE"""),"NO")</f>
        <v>NO</v>
      </c>
      <c r="F650" s="20" t="str">
        <f ca="1">IFERROR(__xludf.DUMMYFUNCTION("""COMPUTED_VALUE"""),"PROMOCIÓN Y DEFENSA DE LOS DERECHOS DE LA NIÑEZ, ADOLESCENCIA Y FAMILIA")</f>
        <v>PROMOCIÓN Y DEFENSA DE LOS DERECHOS DE LA NIÑEZ, ADOLESCENCIA Y FAMILIA</v>
      </c>
      <c r="G650" s="20">
        <f ca="1">IFERROR(__xludf.DUMMYFUNCTION("""COMPUTED_VALUE"""),1)</f>
        <v>1</v>
      </c>
      <c r="H650" s="20">
        <f ca="1">IFERROR(__xludf.DUMMYFUNCTION("""COMPUTED_VALUE"""),4)</f>
        <v>4</v>
      </c>
      <c r="I650" s="20">
        <f ca="1">IFERROR(__xludf.DUMMYFUNCTION("""COMPUTED_VALUE"""),1)</f>
        <v>1</v>
      </c>
      <c r="J650" s="20" t="str">
        <f ca="1">IFERROR(__xludf.DUMMYFUNCTION("""COMPUTED_VALUE"""),"Resolución")</f>
        <v>Resolución</v>
      </c>
      <c r="K650" s="20">
        <f ca="1">IFERROR(__xludf.DUMMYFUNCTION("""COMPUTED_VALUE"""),35731)</f>
        <v>35731</v>
      </c>
      <c r="L650" s="20" t="str">
        <f ca="1">IFERROR(__xludf.DUMMYFUNCTION("""COMPUTED_VALUE"""),"Poder Legislativo Provincial")</f>
        <v>Poder Legislativo Provincial</v>
      </c>
      <c r="M650" s="20" t="str">
        <f ca="1">IFERROR(__xludf.DUMMYFUNCTION("""COMPUTED_VALUE"""),"Solicitando al Poder Ejecutivo informe (Art. 102 C.P.) sobre diversos aspectos relacionados a las acciones implementadas por la Defensoria de los Derechos de las Niñas, Niños y Adolescentes de Córdoba, respecto a su función de supervisión de instituciones"&amp;" públicas y privadas que se dedican a la atención de niños, niñas y adolescentes, durante el año 2022")</f>
        <v>Solicitando al Poder Ejecutivo informe (Art. 102 C.P.) sobre diversos aspectos relacionados a las acciones implementadas por la Defensoria de los Derechos de las Niñas, Niños y Adolescentes de Córdoba, respecto a su función de supervisión de instituciones públicas y privadas que se dedican a la atención de niños, niñas y adolescentes, durante el año 2022</v>
      </c>
      <c r="N650" s="20" t="str">
        <f ca="1">IFERROR(__xludf.DUMMYFUNCTION("""COMPUTED_VALUE"""),"SI")</f>
        <v>SI</v>
      </c>
      <c r="O650" s="20" t="str">
        <f ca="1">IFERROR(__xludf.DUMMYFUNCTION("""COMPUTED_VALUE"""),"NO")</f>
        <v>NO</v>
      </c>
      <c r="P650" s="20">
        <f ca="1">IFERROR(__xludf.DUMMYFUNCTION("""COMPUTED_VALUE"""),0)</f>
        <v>0</v>
      </c>
      <c r="Q650" s="113" t="str">
        <f ca="1">IFERROR(__xludf.DUMMYFUNCTION("""COMPUTED_VALUE"""),"https://gld.legislaturacba.gob.ar/_cdd/api/Documento/descargar?guid=81f6bba9-ba1c-4cef-9de6-e888fb4bd0c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v>
      </c>
      <c r="R650" s="113" t="str">
        <f ca="1">IFERROR(__xludf.DUMMYFUNCTION("""COMPUTED_VALUE"""),"https://www.youtube.com/watch?v=NROZfnalITM")</f>
        <v>https://www.youtube.com/watch?v=NROZfnalITM</v>
      </c>
      <c r="S650" s="113" t="str">
        <f ca="1">IFERROR(__xludf.DUMMYFUNCTION("""COMPUTED_VALUE"""),"https://gld.legislaturacba.gob.ar/Publics/Actas.aspx?id=dTEncuLgz1Y=")</f>
        <v>https://gld.legislaturacba.gob.ar/Publics/Actas.aspx?id=dTEncuLgz1Y=</v>
      </c>
      <c r="T650" s="99">
        <f t="shared" ca="1" si="0"/>
        <v>0</v>
      </c>
    </row>
    <row r="651" spans="1:20">
      <c r="A651" s="20">
        <f ca="1">IFERROR(__xludf.DUMMYFUNCTION("""COMPUTED_VALUE"""),155)</f>
        <v>155</v>
      </c>
      <c r="B651" s="20">
        <f ca="1">IFERROR(__xludf.DUMMYFUNCTION("""COMPUTED_VALUE"""),2022)</f>
        <v>2022</v>
      </c>
      <c r="C651" s="20" t="str">
        <f ca="1">IFERROR(__xludf.DUMMYFUNCTION("""COMPUTED_VALUE"""),"VIRTUAL")</f>
        <v>VIRTUAL</v>
      </c>
      <c r="D651" s="106">
        <f ca="1">IFERROR(__xludf.DUMMYFUNCTION("""COMPUTED_VALUE"""),44838)</f>
        <v>44838</v>
      </c>
      <c r="E651" s="20" t="str">
        <f ca="1">IFERROR(__xludf.DUMMYFUNCTION("""COMPUTED_VALUE"""),"NO")</f>
        <v>NO</v>
      </c>
      <c r="F651" s="20" t="str">
        <f ca="1">IFERROR(__xludf.DUMMYFUNCTION("""COMPUTED_VALUE"""),"EDUCACIÓN, CULTURA, CIENCIA, TECNOLOGÍA E INFORMÁTICA")</f>
        <v>EDUCACIÓN, CULTURA, CIENCIA, TECNOLOGÍA E INFORMÁTICA</v>
      </c>
      <c r="G651" s="20">
        <f ca="1">IFERROR(__xludf.DUMMYFUNCTION("""COMPUTED_VALUE"""),1)</f>
        <v>1</v>
      </c>
      <c r="H651" s="20">
        <f ca="1">IFERROR(__xludf.DUMMYFUNCTION("""COMPUTED_VALUE"""),7)</f>
        <v>7</v>
      </c>
      <c r="I651" s="20">
        <f ca="1">IFERROR(__xludf.DUMMYFUNCTION("""COMPUTED_VALUE"""),1)</f>
        <v>1</v>
      </c>
      <c r="J651" s="20" t="str">
        <f ca="1">IFERROR(__xludf.DUMMYFUNCTION("""COMPUTED_VALUE"""),"Ley")</f>
        <v>Ley</v>
      </c>
      <c r="K651" s="20">
        <f ca="1">IFERROR(__xludf.DUMMYFUNCTION("""COMPUTED_VALUE"""),23709)</f>
        <v>23709</v>
      </c>
      <c r="L651" s="20" t="str">
        <f ca="1">IFERROR(__xludf.DUMMYFUNCTION("""COMPUTED_VALUE"""),"Poder Legislativo Provincial")</f>
        <v>Poder Legislativo Provincial</v>
      </c>
      <c r="M651" s="20" t="str">
        <f ca="1">IFERROR(__xludf.DUMMYFUNCTION("""COMPUTED_VALUE"""),"Creando el Programa de Formación Permanente en Técnicas de Reanimación Pulmonar Básicas dirigida a Docentes y adhiriendo a la Ley Nacional Nº 27159, Sistema De Prevención Integral De Muerte Súbita.")</f>
        <v>Creando el Programa de Formación Permanente en Técnicas de Reanimación Pulmonar Básicas dirigida a Docentes y adhiriendo a la Ley Nacional Nº 27159, Sistema De Prevención Integral De Muerte Súbita.</v>
      </c>
      <c r="N651" s="20" t="str">
        <f ca="1">IFERROR(__xludf.DUMMYFUNCTION("""COMPUTED_VALUE"""),"NO")</f>
        <v>NO</v>
      </c>
      <c r="O651" s="20" t="str">
        <f ca="1">IFERROR(__xludf.DUMMYFUNCTION("""COMPUTED_VALUE"""),"NO")</f>
        <v>NO</v>
      </c>
      <c r="P651" s="20">
        <f ca="1">IFERROR(__xludf.DUMMYFUNCTION("""COMPUTED_VALUE"""),0)</f>
        <v>0</v>
      </c>
      <c r="Q651" s="113" t="str">
        <f ca="1">IFERROR(__xludf.DUMMYFUNCTION("""COMPUTED_VALUE"""),"https://gld.legislaturacba.gob.ar/_cdd/api/Documento/descargar?guid=21dfa256-c362-4d6c-b55e-a56c9162f4c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v>
      </c>
      <c r="R651" s="113" t="str">
        <f ca="1">IFERROR(__xludf.DUMMYFUNCTION("""COMPUTED_VALUE"""),"https://www.youtube.com/watch?v=r8vcTNFJJAE")</f>
        <v>https://www.youtube.com/watch?v=r8vcTNFJJAE</v>
      </c>
      <c r="S651" s="113" t="str">
        <f ca="1">IFERROR(__xludf.DUMMYFUNCTION("""COMPUTED_VALUE"""),"https://gld.legislaturacba.gob.ar/Publics/Actas.aspx?id=ulVFAk5IeYs=")</f>
        <v>https://gld.legislaturacba.gob.ar/Publics/Actas.aspx?id=ulVFAk5IeYs=</v>
      </c>
      <c r="T651" s="99">
        <f t="shared" ca="1" si="0"/>
        <v>0</v>
      </c>
    </row>
    <row r="652" spans="1:20">
      <c r="A652" s="20">
        <f ca="1">IFERROR(__xludf.DUMMYFUNCTION("""COMPUTED_VALUE"""),156)</f>
        <v>156</v>
      </c>
      <c r="B652" s="20">
        <f ca="1">IFERROR(__xludf.DUMMYFUNCTION("""COMPUTED_VALUE"""),2022)</f>
        <v>2022</v>
      </c>
      <c r="C652" s="20" t="str">
        <f ca="1">IFERROR(__xludf.DUMMYFUNCTION("""COMPUTED_VALUE"""),"VIRTUAL")</f>
        <v>VIRTUAL</v>
      </c>
      <c r="D652" s="106">
        <f ca="1">IFERROR(__xludf.DUMMYFUNCTION("""COMPUTED_VALUE"""),44838)</f>
        <v>44838</v>
      </c>
      <c r="E652" s="20" t="str">
        <f ca="1">IFERROR(__xludf.DUMMYFUNCTION("""COMPUTED_VALUE"""),"NO")</f>
        <v>NO</v>
      </c>
      <c r="F652" s="20" t="str">
        <f ca="1">IFERROR(__xludf.DUMMYFUNCTION("""COMPUTED_VALUE"""),"SALUD HUMANA")</f>
        <v>SALUD HUMANA</v>
      </c>
      <c r="G652" s="20">
        <f ca="1">IFERROR(__xludf.DUMMYFUNCTION("""COMPUTED_VALUE"""),1)</f>
        <v>1</v>
      </c>
      <c r="H652" s="20">
        <f ca="1">IFERROR(__xludf.DUMMYFUNCTION("""COMPUTED_VALUE"""),3)</f>
        <v>3</v>
      </c>
      <c r="I652" s="20">
        <f ca="1">IFERROR(__xludf.DUMMYFUNCTION("""COMPUTED_VALUE"""),1)</f>
        <v>1</v>
      </c>
      <c r="J652" s="20" t="str">
        <f ca="1">IFERROR(__xludf.DUMMYFUNCTION("""COMPUTED_VALUE"""),"Resolución")</f>
        <v>Resolución</v>
      </c>
      <c r="K652" s="20">
        <f ca="1">IFERROR(__xludf.DUMMYFUNCTION("""COMPUTED_VALUE"""),35829)</f>
        <v>35829</v>
      </c>
      <c r="L652" s="20" t="str">
        <f ca="1">IFERROR(__xludf.DUMMYFUNCTION("""COMPUTED_VALUE"""),"Poder Legislativo Provincial")</f>
        <v>Poder Legislativo Provincial</v>
      </c>
      <c r="M652" s="20" t="str">
        <f ca="1">IFERROR(__xludf.DUMMYFUNCTION("""COMPUTED_VALUE"""),"Solicitando al Poder Ejecutivo informe (Art. 102 C.P.) sobre diversos aspectos referidos a la falta de pago de Obras Sociales, empresas de Medicina Prepaga y Superintendencia de Salud de la Nación de los aranceles a profesionales de la salud vinculados a "&amp;"la rehabilitación y acompañamiento terapéutico de personas con discapacidad.")</f>
        <v>Solicitando al Poder Ejecutivo informe (Art. 102 C.P.) sobre diversos aspectos referidos a la falta de pago de Obras Sociales, empresas de Medicina Prepaga y Superintendencia de Salud de la Nación de los aranceles a profesionales de la salud vinculados a la rehabilitación y acompañamiento terapéutico de personas con discapacidad.</v>
      </c>
      <c r="N652" s="20" t="str">
        <f ca="1">IFERROR(__xludf.DUMMYFUNCTION("""COMPUTED_VALUE"""),"SI")</f>
        <v>SI</v>
      </c>
      <c r="O652" s="20" t="str">
        <f ca="1">IFERROR(__xludf.DUMMYFUNCTION("""COMPUTED_VALUE"""),"SI")</f>
        <v>SI</v>
      </c>
      <c r="P652" s="20">
        <f ca="1">IFERROR(__xludf.DUMMYFUNCTION("""COMPUTED_VALUE"""),7)</f>
        <v>7</v>
      </c>
      <c r="Q652" s="113" t="str">
        <f ca="1">IFERROR(__xludf.DUMMYFUNCTION("""COMPUTED_VALUE"""),"https://gld.legislaturacba.gob.ar/_cdd/api/Documento/descargar?guid=faf9d94b-4a6d-4fb5-afe1-eaae35b2e0e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v>
      </c>
      <c r="R652" s="20" t="str">
        <f ca="1">IFERROR(__xludf.DUMMYFUNCTION("""COMPUTED_VALUE"""),"NA")</f>
        <v>NA</v>
      </c>
      <c r="S652" s="113" t="str">
        <f ca="1">IFERROR(__xludf.DUMMYFUNCTION("""COMPUTED_VALUE"""),"https://gld.legislaturacba.gob.ar/Publics/Actas.aspx?id=8fLmH67fXhE=")</f>
        <v>https://gld.legislaturacba.gob.ar/Publics/Actas.aspx?id=8fLmH67fXhE=</v>
      </c>
      <c r="T652" s="99">
        <f t="shared" ca="1" si="0"/>
        <v>0</v>
      </c>
    </row>
    <row r="653" spans="1:20">
      <c r="A653" s="20">
        <f ca="1">IFERROR(__xludf.DUMMYFUNCTION("""COMPUTED_VALUE"""),157)</f>
        <v>157</v>
      </c>
      <c r="B653" s="20">
        <f ca="1">IFERROR(__xludf.DUMMYFUNCTION("""COMPUTED_VALUE"""),2022)</f>
        <v>2022</v>
      </c>
      <c r="C653" s="20" t="str">
        <f ca="1">IFERROR(__xludf.DUMMYFUNCTION("""COMPUTED_VALUE"""),"VIRTUAL")</f>
        <v>VIRTUAL</v>
      </c>
      <c r="D653" s="106">
        <f ca="1">IFERROR(__xludf.DUMMYFUNCTION("""COMPUTED_VALUE"""),44839)</f>
        <v>44839</v>
      </c>
      <c r="E653" s="20" t="str">
        <f ca="1">IFERROR(__xludf.DUMMYFUNCTION("""COMPUTED_VALUE"""),"SI")</f>
        <v>SI</v>
      </c>
      <c r="F653" s="20" t="str">
        <f ca="1">IFERROR(__xludf.DUMMYFUNCTION("""COMPUTED_VALUE"""),"AGRICULTURA, GANADERÍA Y RECURSOS RENOVABLES;RELACIONES INTERNACIONALES, MERCOSUR Y COMERCIO EXTERIOR")</f>
        <v>AGRICULTURA, GANADERÍA Y RECURSOS RENOVABLES;RELACIONES INTERNACIONALES, MERCOSUR Y COMERCIO EXTERIOR</v>
      </c>
      <c r="G653" s="20">
        <f ca="1">IFERROR(__xludf.DUMMYFUNCTION("""COMPUTED_VALUE"""),2)</f>
        <v>2</v>
      </c>
      <c r="H653" s="20">
        <f ca="1">IFERROR(__xludf.DUMMYFUNCTION("""COMPUTED_VALUE"""),1)</f>
        <v>1</v>
      </c>
      <c r="I653" s="20">
        <f ca="1">IFERROR(__xludf.DUMMYFUNCTION("""COMPUTED_VALUE"""),1)</f>
        <v>1</v>
      </c>
      <c r="J653" s="20" t="str">
        <f ca="1">IFERROR(__xludf.DUMMYFUNCTION("""COMPUTED_VALUE"""),"NA")</f>
        <v>NA</v>
      </c>
      <c r="K653" s="20" t="str">
        <f ca="1">IFERROR(__xludf.DUMMYFUNCTION("""COMPUTED_VALUE"""),"NA")</f>
        <v>NA</v>
      </c>
      <c r="L653" s="20" t="str">
        <f ca="1">IFERROR(__xludf.DUMMYFUNCTION("""COMPUTED_VALUE"""),"NA")</f>
        <v>NA</v>
      </c>
      <c r="M653" s="20" t="str">
        <f ca="1">IFERROR(__xludf.DUMMYFUNCTION("""COMPUTED_VALUE"""),"Aporte de la agroindustria a la economía de la provincia de Córdoba")</f>
        <v>Aporte de la agroindustria a la economía de la provincia de Córdoba</v>
      </c>
      <c r="N653" s="20" t="str">
        <f ca="1">IFERROR(__xludf.DUMMYFUNCTION("""COMPUTED_VALUE"""),"NA")</f>
        <v>NA</v>
      </c>
      <c r="O653" s="20" t="str">
        <f ca="1">IFERROR(__xludf.DUMMYFUNCTION("""COMPUTED_VALUE"""),"SI")</f>
        <v>SI</v>
      </c>
      <c r="P653" s="20">
        <f ca="1">IFERROR(__xludf.DUMMYFUNCTION("""COMPUTED_VALUE"""),7)</f>
        <v>7</v>
      </c>
      <c r="Q653" s="113" t="str">
        <f ca="1">IFERROR(__xludf.DUMMYFUNCTION("""COMPUTED_VALUE"""),"https://gld.legislaturacba.gob.ar/_cdd/api/Documento/descargar?guid=fbd3bf5f-8e6a-4ece-a7d1-8a0131900fcf&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v>
      </c>
      <c r="R653" s="113" t="str">
        <f ca="1">IFERROR(__xludf.DUMMYFUNCTION("""COMPUTED_VALUE"""),"https://www.youtube.com/watch?v=GcydzqM2hA8")</f>
        <v>https://www.youtube.com/watch?v=GcydzqM2hA8</v>
      </c>
      <c r="S653" s="113" t="str">
        <f ca="1">IFERROR(__xludf.DUMMYFUNCTION("""COMPUTED_VALUE"""),"https://gld.legislaturacba.gob.ar/Publics/Actas.aspx?id=MlKBsXrupXw=;https://gld.legislaturacba.gob.ar/Publics/Actas.aspx?id=_JgI_c7uUC0=")</f>
        <v>https://gld.legislaturacba.gob.ar/Publics/Actas.aspx?id=MlKBsXrupXw=;https://gld.legislaturacba.gob.ar/Publics/Actas.aspx?id=_JgI_c7uUC0=</v>
      </c>
      <c r="T653" s="99">
        <f t="shared" ca="1" si="0"/>
        <v>0</v>
      </c>
    </row>
    <row r="654" spans="1:20">
      <c r="A654" s="20">
        <f ca="1">IFERROR(__xludf.DUMMYFUNCTION("""COMPUTED_VALUE"""),158)</f>
        <v>158</v>
      </c>
      <c r="B654" s="20">
        <f ca="1">IFERROR(__xludf.DUMMYFUNCTION("""COMPUTED_VALUE"""),2022)</f>
        <v>2022</v>
      </c>
      <c r="C654" s="20" t="str">
        <f ca="1">IFERROR(__xludf.DUMMYFUNCTION("""COMPUTED_VALUE"""),"SEMIPRESENCIAL")</f>
        <v>SEMIPRESENCIAL</v>
      </c>
      <c r="D654" s="106">
        <f ca="1">IFERROR(__xludf.DUMMYFUNCTION("""COMPUTED_VALUE"""),44840)</f>
        <v>44840</v>
      </c>
      <c r="E654" s="20" t="str">
        <f ca="1">IFERROR(__xludf.DUMMYFUNCTION("""COMPUTED_VALUE"""),"SI")</f>
        <v>SI</v>
      </c>
      <c r="F654" s="20" t="str">
        <f ca="1">IFERROR(__xludf.DUMMYFUNCTION("""COMPUTED_VALUE"""),"LEGISLACIÓN GENERAL;ASUNTOS CONSTITUCIONALES, JUSTICIA Y ACUERDOS;EQUIDAD Y LUCHA CONTRA LA VIOLENCIA DE GÉNERO")</f>
        <v>LEGISLACIÓN GENERAL;ASUNTOS CONSTITUCIONALES, JUSTICIA Y ACUERDOS;EQUIDAD Y LUCHA CONTRA LA VIOLENCIA DE GÉNERO</v>
      </c>
      <c r="G654" s="20">
        <f ca="1">IFERROR(__xludf.DUMMYFUNCTION("""COMPUTED_VALUE"""),3)</f>
        <v>3</v>
      </c>
      <c r="H654" s="20">
        <f ca="1">IFERROR(__xludf.DUMMYFUNCTION("""COMPUTED_VALUE"""),1)</f>
        <v>1</v>
      </c>
      <c r="I654" s="20">
        <f ca="1">IFERROR(__xludf.DUMMYFUNCTION("""COMPUTED_VALUE"""),1)</f>
        <v>1</v>
      </c>
      <c r="J654" s="20" t="str">
        <f ca="1">IFERROR(__xludf.DUMMYFUNCTION("""COMPUTED_VALUE"""),"Ley")</f>
        <v>Ley</v>
      </c>
      <c r="K654" s="20">
        <f ca="1">IFERROR(__xludf.DUMMYFUNCTION("""COMPUTED_VALUE"""),34846)</f>
        <v>34846</v>
      </c>
      <c r="L654" s="20" t="str">
        <f ca="1">IFERROR(__xludf.DUMMYFUNCTION("""COMPUTED_VALUE"""),"Poder Legislativo Provincial")</f>
        <v>Poder Legislativo Provincial</v>
      </c>
      <c r="M654" s="20" t="str">
        <f ca="1">IFERROR(__xludf.DUMMYFUNCTION("""COMPUTED_VALUE"""),"Incorporando diversos artículos a la Ley N° 10.326, Código de Convivencia de la provincia de Córdoba.")</f>
        <v>Incorporando diversos artículos a la Ley N° 10.326, Código de Convivencia de la provincia de Córdoba.</v>
      </c>
      <c r="N654" s="20" t="str">
        <f ca="1">IFERROR(__xludf.DUMMYFUNCTION("""COMPUTED_VALUE"""),"NO")</f>
        <v>NO</v>
      </c>
      <c r="O654" s="20" t="str">
        <f ca="1">IFERROR(__xludf.DUMMYFUNCTION("""COMPUTED_VALUE"""),"SI")</f>
        <v>SI</v>
      </c>
      <c r="P654" s="20">
        <f ca="1">IFERROR(__xludf.DUMMYFUNCTION("""COMPUTED_VALUE"""),1)</f>
        <v>1</v>
      </c>
      <c r="Q654" s="113" t="str">
        <f ca="1">IFERROR(__xludf.DUMMYFUNCTION("""COMPUTED_VALUE"""),"https://gld.legislaturacba.gob.ar/_cdd/api/Documento/descargar?guid=d61f942f-5413-46f4-b030-56f69a2c8da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v>
      </c>
      <c r="R654" s="113" t="str">
        <f ca="1">IFERROR(__xludf.DUMMYFUNCTION("""COMPUTED_VALUE"""),"https://www.youtube.com/watch?v=Nf_rtZudFRE")</f>
        <v>https://www.youtube.com/watch?v=Nf_rtZudFRE</v>
      </c>
      <c r="S654" s="113" t="str">
        <f ca="1">IFERROR(__xludf.DUMMYFUNCTION("""COMPUTED_VALUE"""),"https://gld.legislaturacba.gob.ar/Publics/Actas.aspx?id=G1aVRLDPw6E=;https://gld.legislaturacba.gob.ar/Publics/Actas.aspx?id=B0wXJeW9U8I=;https://gld.legislaturacba.gob.ar/Publics/Actas.aspx?id=4iLiD4bZp0Y=")</f>
        <v>https://gld.legislaturacba.gob.ar/Publics/Actas.aspx?id=G1aVRLDPw6E=;https://gld.legislaturacba.gob.ar/Publics/Actas.aspx?id=B0wXJeW9U8I=;https://gld.legislaturacba.gob.ar/Publics/Actas.aspx?id=4iLiD4bZp0Y=</v>
      </c>
      <c r="T654" s="99">
        <f t="shared" ca="1" si="0"/>
        <v>0</v>
      </c>
    </row>
    <row r="655" spans="1:20">
      <c r="A655" s="20">
        <f ca="1">IFERROR(__xludf.DUMMYFUNCTION("""COMPUTED_VALUE"""),159)</f>
        <v>159</v>
      </c>
      <c r="B655" s="20">
        <f ca="1">IFERROR(__xludf.DUMMYFUNCTION("""COMPUTED_VALUE"""),2022)</f>
        <v>2022</v>
      </c>
      <c r="C655" s="20" t="str">
        <f ca="1">IFERROR(__xludf.DUMMYFUNCTION("""COMPUTED_VALUE"""),"SEMIPRESENCIAL")</f>
        <v>SEMIPRESENCIAL</v>
      </c>
      <c r="D655" s="106">
        <f ca="1">IFERROR(__xludf.DUMMYFUNCTION("""COMPUTED_VALUE"""),44840)</f>
        <v>44840</v>
      </c>
      <c r="E655" s="20" t="str">
        <f ca="1">IFERROR(__xludf.DUMMYFUNCTION("""COMPUTED_VALUE"""),"NO")</f>
        <v>NO</v>
      </c>
      <c r="F655" s="20" t="str">
        <f ca="1">IFERROR(__xludf.DUMMYFUNCTION("""COMPUTED_VALUE"""),"SERVICIOS PÚBLICOS")</f>
        <v>SERVICIOS PÚBLICOS</v>
      </c>
      <c r="G655" s="20">
        <f ca="1">IFERROR(__xludf.DUMMYFUNCTION("""COMPUTED_VALUE"""),1)</f>
        <v>1</v>
      </c>
      <c r="H655" s="20">
        <f ca="1">IFERROR(__xludf.DUMMYFUNCTION("""COMPUTED_VALUE"""),7)</f>
        <v>7</v>
      </c>
      <c r="I655" s="20">
        <f ca="1">IFERROR(__xludf.DUMMYFUNCTION("""COMPUTED_VALUE"""),1)</f>
        <v>1</v>
      </c>
      <c r="J655" s="20" t="str">
        <f ca="1">IFERROR(__xludf.DUMMYFUNCTION("""COMPUTED_VALUE"""),"Resolución")</f>
        <v>Resolución</v>
      </c>
      <c r="K655" s="20">
        <f ca="1">IFERROR(__xludf.DUMMYFUNCTION("""COMPUTED_VALUE"""),34065)</f>
        <v>34065</v>
      </c>
      <c r="L655" s="20" t="str">
        <f ca="1">IFERROR(__xludf.DUMMYFUNCTION("""COMPUTED_VALUE"""),"Poder Legislativo Provincial")</f>
        <v>Poder Legislativo Provincial</v>
      </c>
      <c r="M655" s="20" t="str">
        <f ca="1">IFERROR(__xludf.DUMMYFUNCTION("""COMPUTED_VALUE"""),"Solicitando al Poder Ejecutivo informe (Art. 102 de la C.P.) sobre diversos puntos referidos a la distribución del Fondo para Infraestructura y Programas Sociales provenientes del Gobierno Nacional en el ejercicio 2020 y a junio de 2021")</f>
        <v>Solicitando al Poder Ejecutivo informe (Art. 102 de la C.P.) sobre diversos puntos referidos a la distribución del Fondo para Infraestructura y Programas Sociales provenientes del Gobierno Nacional en el ejercicio 2020 y a junio de 2021</v>
      </c>
      <c r="N655" s="20" t="str">
        <f ca="1">IFERROR(__xludf.DUMMYFUNCTION("""COMPUTED_VALUE"""),"SI")</f>
        <v>SI</v>
      </c>
      <c r="O655" s="20" t="str">
        <f ca="1">IFERROR(__xludf.DUMMYFUNCTION("""COMPUTED_VALUE"""),"SI")</f>
        <v>SI</v>
      </c>
      <c r="P655" s="20">
        <f ca="1">IFERROR(__xludf.DUMMYFUNCTION("""COMPUTED_VALUE"""),4)</f>
        <v>4</v>
      </c>
      <c r="Q655" s="113" t="str">
        <f ca="1">IFERROR(__xludf.DUMMYFUNCTION("""COMPUTED_VALUE"""),"https://gld.legislaturacba.gob.ar/_cdd/api/Documento/descargar?guid=60d6e697-f6bd-43e4-8c12-d1f95d436ea0&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v>
      </c>
      <c r="R655" s="20" t="str">
        <f ca="1">IFERROR(__xludf.DUMMYFUNCTION("""COMPUTED_VALUE"""),"NA")</f>
        <v>NA</v>
      </c>
      <c r="S655" s="113" t="str">
        <f ca="1">IFERROR(__xludf.DUMMYFUNCTION("""COMPUTED_VALUE"""),"https://gld.legislaturacba.gob.ar/Publics/Actas.aspx?id=WkZK3DqQvfM=")</f>
        <v>https://gld.legislaturacba.gob.ar/Publics/Actas.aspx?id=WkZK3DqQvfM=</v>
      </c>
      <c r="T655" s="99">
        <f t="shared" ca="1" si="0"/>
        <v>0</v>
      </c>
    </row>
    <row r="656" spans="1:20">
      <c r="A656" s="20">
        <f ca="1">IFERROR(__xludf.DUMMYFUNCTION("""COMPUTED_VALUE"""),160)</f>
        <v>160</v>
      </c>
      <c r="B656" s="20">
        <f ca="1">IFERROR(__xludf.DUMMYFUNCTION("""COMPUTED_VALUE"""),2022)</f>
        <v>2022</v>
      </c>
      <c r="C656" s="20" t="str">
        <f ca="1">IFERROR(__xludf.DUMMYFUNCTION("""COMPUTED_VALUE"""),"VIRTUAL")</f>
        <v>VIRTUAL</v>
      </c>
      <c r="D656" s="108">
        <f ca="1">IFERROR(__xludf.DUMMYFUNCTION("""COMPUTED_VALUE"""),44845)</f>
        <v>44845</v>
      </c>
      <c r="E656" s="20" t="str">
        <f ca="1">IFERROR(__xludf.DUMMYFUNCTION("""COMPUTED_VALUE"""),"NO")</f>
        <v>NO</v>
      </c>
      <c r="F656" s="20" t="str">
        <f ca="1">IFERROR(__xludf.DUMMYFUNCTION("""COMPUTED_VALUE"""),"ASUNTOS INSTITUCIONALES, MUNICIPALES Y COMUNALES")</f>
        <v>ASUNTOS INSTITUCIONALES, MUNICIPALES Y COMUNALES</v>
      </c>
      <c r="G656" s="20">
        <f ca="1">IFERROR(__xludf.DUMMYFUNCTION("""COMPUTED_VALUE"""),1)</f>
        <v>1</v>
      </c>
      <c r="H656" s="20">
        <f ca="1">IFERROR(__xludf.DUMMYFUNCTION("""COMPUTED_VALUE"""),1)</f>
        <v>1</v>
      </c>
      <c r="I656" s="20">
        <f ca="1">IFERROR(__xludf.DUMMYFUNCTION("""COMPUTED_VALUE"""),1)</f>
        <v>1</v>
      </c>
      <c r="J656" s="20" t="str">
        <f ca="1">IFERROR(__xludf.DUMMYFUNCTION("""COMPUTED_VALUE"""),"Ley")</f>
        <v>Ley</v>
      </c>
      <c r="K656" s="20">
        <f ca="1">IFERROR(__xludf.DUMMYFUNCTION("""COMPUTED_VALUE"""),36206)</f>
        <v>36206</v>
      </c>
      <c r="L656" s="20" t="str">
        <f ca="1">IFERROR(__xludf.DUMMYFUNCTION("""COMPUTED_VALUE"""),"Poder Ejecutivo Provincial")</f>
        <v>Poder Ejecutivo Provincial</v>
      </c>
      <c r="M656" s="20" t="str">
        <f ca="1">IFERROR(__xludf.DUMMYFUNCTION("""COMPUTED_VALUE"""),"Modificando el radio comunal de la localidad de Las Playas, Dpto. Cruz del Eje. ")</f>
        <v xml:space="preserve">Modificando el radio comunal de la localidad de Las Playas, Dpto. Cruz del Eje. </v>
      </c>
      <c r="N656" s="20" t="str">
        <f ca="1">IFERROR(__xludf.DUMMYFUNCTION("""COMPUTED_VALUE"""),"SI")</f>
        <v>SI</v>
      </c>
      <c r="O656" s="20" t="str">
        <f ca="1">IFERROR(__xludf.DUMMYFUNCTION("""COMPUTED_VALUE"""),"SI")</f>
        <v>SI</v>
      </c>
      <c r="P656" s="20">
        <f ca="1">IFERROR(__xludf.DUMMYFUNCTION("""COMPUTED_VALUE"""),1)</f>
        <v>1</v>
      </c>
      <c r="Q656" s="113" t="str">
        <f ca="1">IFERROR(__xludf.DUMMYFUNCTION("""COMPUTED_VALUE"""),"https://gld.legislaturacba.gob.ar/_cdd/api/Documento/descargar?guid=74a59137-245f-4a2b-a950-2b10d6fbf88f&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v>
      </c>
      <c r="R656" s="113" t="str">
        <f ca="1">IFERROR(__xludf.DUMMYFUNCTION("""COMPUTED_VALUE"""),"https://www.youtube.com/watch?v=3Kr_1DAGkkM")</f>
        <v>https://www.youtube.com/watch?v=3Kr_1DAGkkM</v>
      </c>
      <c r="S656" s="113" t="str">
        <f ca="1">IFERROR(__xludf.DUMMYFUNCTION("""COMPUTED_VALUE"""),"https://gld.legislaturacba.gob.ar/Publics/Actas.aspx?id=sDs2CiZeX_s=")</f>
        <v>https://gld.legislaturacba.gob.ar/Publics/Actas.aspx?id=sDs2CiZeX_s=</v>
      </c>
      <c r="T656" s="99">
        <f t="shared" ca="1" si="0"/>
        <v>0</v>
      </c>
    </row>
    <row r="657" spans="1:20">
      <c r="A657" s="20">
        <f ca="1">IFERROR(__xludf.DUMMYFUNCTION("""COMPUTED_VALUE"""),161)</f>
        <v>161</v>
      </c>
      <c r="B657" s="20">
        <f ca="1">IFERROR(__xludf.DUMMYFUNCTION("""COMPUTED_VALUE"""),2022)</f>
        <v>2022</v>
      </c>
      <c r="C657" s="20" t="str">
        <f ca="1">IFERROR(__xludf.DUMMYFUNCTION("""COMPUTED_VALUE"""),"VIRTUAL")</f>
        <v>VIRTUAL</v>
      </c>
      <c r="D657" s="108">
        <f ca="1">IFERROR(__xludf.DUMMYFUNCTION("""COMPUTED_VALUE"""),44845)</f>
        <v>44845</v>
      </c>
      <c r="E657" s="20" t="str">
        <f ca="1">IFERROR(__xludf.DUMMYFUNCTION("""COMPUTED_VALUE"""),"NO")</f>
        <v>NO</v>
      </c>
      <c r="F657" s="20" t="str">
        <f ca="1">IFERROR(__xludf.DUMMYFUNCTION("""COMPUTED_VALUE"""),"EDUCACIÓN, CULTURA, CIENCIA, TECNOLOGÍA E INFORMÁTICA")</f>
        <v>EDUCACIÓN, CULTURA, CIENCIA, TECNOLOGÍA E INFORMÁTICA</v>
      </c>
      <c r="G657" s="20">
        <f ca="1">IFERROR(__xludf.DUMMYFUNCTION("""COMPUTED_VALUE"""),1)</f>
        <v>1</v>
      </c>
      <c r="H657" s="20">
        <f ca="1">IFERROR(__xludf.DUMMYFUNCTION("""COMPUTED_VALUE"""),1)</f>
        <v>1</v>
      </c>
      <c r="I657" s="20">
        <f ca="1">IFERROR(__xludf.DUMMYFUNCTION("""COMPUTED_VALUE"""),1)</f>
        <v>1</v>
      </c>
      <c r="J657" s="20" t="str">
        <f ca="1">IFERROR(__xludf.DUMMYFUNCTION("""COMPUTED_VALUE"""),"Ley")</f>
        <v>Ley</v>
      </c>
      <c r="K657" s="20">
        <f ca="1">IFERROR(__xludf.DUMMYFUNCTION("""COMPUTED_VALUE"""),30705)</f>
        <v>30705</v>
      </c>
      <c r="L657" s="20" t="str">
        <f ca="1">IFERROR(__xludf.DUMMYFUNCTION("""COMPUTED_VALUE"""),"Poder Legislativo Provincial")</f>
        <v>Poder Legislativo Provincial</v>
      </c>
      <c r="M657" s="20" t="str">
        <f ca="1">IFERROR(__xludf.DUMMYFUNCTION("""COMPUTED_VALUE"""),"Instituyendo la Promesa de Lealtad a la Bandera Provincial que se realizará el “Día de la Bandera Oficial de provincia de Córdoba”, el 18 de septiembre de cada año. ")</f>
        <v xml:space="preserve">Instituyendo la Promesa de Lealtad a la Bandera Provincial que se realizará el “Día de la Bandera Oficial de provincia de Córdoba”, el 18 de septiembre de cada año. </v>
      </c>
      <c r="N657" s="20" t="str">
        <f ca="1">IFERROR(__xludf.DUMMYFUNCTION("""COMPUTED_VALUE"""),"SI")</f>
        <v>SI</v>
      </c>
      <c r="O657" s="20" t="str">
        <f ca="1">IFERROR(__xludf.DUMMYFUNCTION("""COMPUTED_VALUE"""),"NO")</f>
        <v>NO</v>
      </c>
      <c r="P657" s="20">
        <f ca="1">IFERROR(__xludf.DUMMYFUNCTION("""COMPUTED_VALUE"""),0)</f>
        <v>0</v>
      </c>
      <c r="Q657" s="113" t="str">
        <f ca="1">IFERROR(__xludf.DUMMYFUNCTION("""COMPUTED_VALUE"""),"https://gld.legislaturacba.gob.ar/_cdd/api/Documento/descargar?guid=e82c5662-67dd-4b75-9281-a490660faf4a&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v>
      </c>
      <c r="R657" s="113" t="str">
        <f ca="1">IFERROR(__xludf.DUMMYFUNCTION("""COMPUTED_VALUE"""),"https://www.youtube.com/watch?v=9AuJGxQ22hA")</f>
        <v>https://www.youtube.com/watch?v=9AuJGxQ22hA</v>
      </c>
      <c r="S657" s="113" t="str">
        <f ca="1">IFERROR(__xludf.DUMMYFUNCTION("""COMPUTED_VALUE"""),"https://gld.legislaturacba.gob.ar/Publics/Actas.aspx?id=FDK7kTFmbzk=")</f>
        <v>https://gld.legislaturacba.gob.ar/Publics/Actas.aspx?id=FDK7kTFmbzk=</v>
      </c>
      <c r="T657" s="99">
        <f t="shared" ca="1" si="0"/>
        <v>0</v>
      </c>
    </row>
    <row r="658" spans="1:20">
      <c r="A658" s="20">
        <f ca="1">IFERROR(__xludf.DUMMYFUNCTION("""COMPUTED_VALUE"""),162)</f>
        <v>162</v>
      </c>
      <c r="B658" s="20">
        <f ca="1">IFERROR(__xludf.DUMMYFUNCTION("""COMPUTED_VALUE"""),2022)</f>
        <v>2022</v>
      </c>
      <c r="C658" s="20" t="str">
        <f ca="1">IFERROR(__xludf.DUMMYFUNCTION("""COMPUTED_VALUE"""),"VIRTUAL")</f>
        <v>VIRTUAL</v>
      </c>
      <c r="D658" s="108">
        <f ca="1">IFERROR(__xludf.DUMMYFUNCTION("""COMPUTED_VALUE"""),44845)</f>
        <v>44845</v>
      </c>
      <c r="E658" s="20" t="str">
        <f ca="1">IFERROR(__xludf.DUMMYFUNCTION("""COMPUTED_VALUE"""),"NO")</f>
        <v>NO</v>
      </c>
      <c r="F658" s="20" t="str">
        <f ca="1">IFERROR(__xludf.DUMMYFUNCTION("""COMPUTED_VALUE"""),"SERVICIOS PÚBLICOS")</f>
        <v>SERVICIOS PÚBLICOS</v>
      </c>
      <c r="G658" s="20">
        <f ca="1">IFERROR(__xludf.DUMMYFUNCTION("""COMPUTED_VALUE"""),1)</f>
        <v>1</v>
      </c>
      <c r="H658" s="20">
        <f ca="1">IFERROR(__xludf.DUMMYFUNCTION("""COMPUTED_VALUE"""),1)</f>
        <v>1</v>
      </c>
      <c r="I658" s="20">
        <f ca="1">IFERROR(__xludf.DUMMYFUNCTION("""COMPUTED_VALUE"""),1)</f>
        <v>1</v>
      </c>
      <c r="J658" s="20" t="str">
        <f ca="1">IFERROR(__xludf.DUMMYFUNCTION("""COMPUTED_VALUE"""),"Ley")</f>
        <v>Ley</v>
      </c>
      <c r="K658" s="20">
        <f ca="1">IFERROR(__xludf.DUMMYFUNCTION("""COMPUTED_VALUE"""),36212)</f>
        <v>36212</v>
      </c>
      <c r="L658" s="20" t="str">
        <f ca="1">IFERROR(__xludf.DUMMYFUNCTION("""COMPUTED_VALUE"""),"Poder Ejecutivo Provincial")</f>
        <v>Poder Ejecutivo Provincial</v>
      </c>
      <c r="M658" s="20" t="str">
        <f ca="1">IFERROR(__xludf.DUMMYFUNCTION("""COMPUTED_VALUE"""),"Aprobando el Acta Acuerdo suscripta por el Gobierno de la provincia de Córdoba y el Gobierno de la provincia de Santa Fe, para la ejecución de la obra Acueducto Interprovincial Santa Fe-Córdoba Etapa I-Coronda San Francisco-Fase 1- Bloque A"". ")</f>
        <v xml:space="preserve">Aprobando el Acta Acuerdo suscripta por el Gobierno de la provincia de Córdoba y el Gobierno de la provincia de Santa Fe, para la ejecución de la obra Acueducto Interprovincial Santa Fe-Córdoba Etapa I-Coronda San Francisco-Fase 1- Bloque A". </v>
      </c>
      <c r="N658" s="20" t="str">
        <f ca="1">IFERROR(__xludf.DUMMYFUNCTION("""COMPUTED_VALUE"""),"SI")</f>
        <v>SI</v>
      </c>
      <c r="O658" s="20" t="str">
        <f ca="1">IFERROR(__xludf.DUMMYFUNCTION("""COMPUTED_VALUE"""),"NO")</f>
        <v>NO</v>
      </c>
      <c r="P658" s="20">
        <f ca="1">IFERROR(__xludf.DUMMYFUNCTION("""COMPUTED_VALUE"""),0)</f>
        <v>0</v>
      </c>
      <c r="Q658" s="113" t="str">
        <f ca="1">IFERROR(__xludf.DUMMYFUNCTION("""COMPUTED_VALUE"""),"https://gld.legislaturacba.gob.ar/_cdd/api/Documento/descargar?guid=819c8c8a-5e82-4768-bd14-d1c711061a33&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v>
      </c>
      <c r="R658" s="113" t="str">
        <f ca="1">IFERROR(__xludf.DUMMYFUNCTION("""COMPUTED_VALUE"""),"https://www.youtube.com/watch?v=PMPczWSyfxw")</f>
        <v>https://www.youtube.com/watch?v=PMPczWSyfxw</v>
      </c>
      <c r="S658" s="113" t="str">
        <f ca="1">IFERROR(__xludf.DUMMYFUNCTION("""COMPUTED_VALUE"""),"https://gld.legislaturacba.gob.ar/Publics/Actas.aspx?id=QeS3-8Coht0=")</f>
        <v>https://gld.legislaturacba.gob.ar/Publics/Actas.aspx?id=QeS3-8Coht0=</v>
      </c>
      <c r="T658" s="99">
        <f t="shared" ca="1" si="0"/>
        <v>0</v>
      </c>
    </row>
    <row r="659" spans="1:20">
      <c r="A659" s="20">
        <f ca="1">IFERROR(__xludf.DUMMYFUNCTION("""COMPUTED_VALUE"""),163)</f>
        <v>163</v>
      </c>
      <c r="B659" s="20">
        <f ca="1">IFERROR(__xludf.DUMMYFUNCTION("""COMPUTED_VALUE"""),2022)</f>
        <v>2022</v>
      </c>
      <c r="C659" s="20" t="str">
        <f ca="1">IFERROR(__xludf.DUMMYFUNCTION("""COMPUTED_VALUE"""),"VIRTUAL")</f>
        <v>VIRTUAL</v>
      </c>
      <c r="D659" s="108">
        <f ca="1">IFERROR(__xludf.DUMMYFUNCTION("""COMPUTED_VALUE"""),44846)</f>
        <v>44846</v>
      </c>
      <c r="E659" s="20" t="str">
        <f ca="1">IFERROR(__xludf.DUMMYFUNCTION("""COMPUTED_VALUE"""),"NO")</f>
        <v>NO</v>
      </c>
      <c r="F659" s="20" t="str">
        <f ca="1">IFERROR(__xludf.DUMMYFUNCTION("""COMPUTED_VALUE"""),"LEGISLACIÓN GENERAL")</f>
        <v>LEGISLACIÓN GENERAL</v>
      </c>
      <c r="G659" s="20">
        <f ca="1">IFERROR(__xludf.DUMMYFUNCTION("""COMPUTED_VALUE"""),1)</f>
        <v>1</v>
      </c>
      <c r="H659" s="20">
        <f ca="1">IFERROR(__xludf.DUMMYFUNCTION("""COMPUTED_VALUE"""),3)</f>
        <v>3</v>
      </c>
      <c r="I659" s="20">
        <f ca="1">IFERROR(__xludf.DUMMYFUNCTION("""COMPUTED_VALUE"""),1)</f>
        <v>1</v>
      </c>
      <c r="J659" s="20" t="str">
        <f ca="1">IFERROR(__xludf.DUMMYFUNCTION("""COMPUTED_VALUE"""),"Ley")</f>
        <v>Ley</v>
      </c>
      <c r="K659" s="20">
        <f ca="1">IFERROR(__xludf.DUMMYFUNCTION("""COMPUTED_VALUE"""),36206)</f>
        <v>36206</v>
      </c>
      <c r="L659" s="20" t="str">
        <f ca="1">IFERROR(__xludf.DUMMYFUNCTION("""COMPUTED_VALUE"""),"Poder Ejecutivo Provincial")</f>
        <v>Poder Ejecutivo Provincial</v>
      </c>
      <c r="M659" s="20" t="str">
        <f ca="1">IFERROR(__xludf.DUMMYFUNCTION("""COMPUTED_VALUE"""),"Modificando el radio comunal de la localidad de Las Playas, Dpto. Cruz del Eje. ")</f>
        <v xml:space="preserve">Modificando el radio comunal de la localidad de Las Playas, Dpto. Cruz del Eje. </v>
      </c>
      <c r="N659" s="20" t="str">
        <f ca="1">IFERROR(__xludf.DUMMYFUNCTION("""COMPUTED_VALUE"""),"NO")</f>
        <v>NO</v>
      </c>
      <c r="O659" s="20" t="str">
        <f ca="1">IFERROR(__xludf.DUMMYFUNCTION("""COMPUTED_VALUE"""),"NO")</f>
        <v>NO</v>
      </c>
      <c r="P659" s="20">
        <f ca="1">IFERROR(__xludf.DUMMYFUNCTION("""COMPUTED_VALUE"""),0)</f>
        <v>0</v>
      </c>
      <c r="Q659" s="113" t="str">
        <f ca="1">IFERROR(__xludf.DUMMYFUNCTION("""COMPUTED_VALUE"""),"https://gld.legislaturacba.gob.ar/_cdd/api/Documento/descargar?guid=c62db953-fbac-47d6-b05b-c02321d36686&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v>
      </c>
      <c r="R659" s="113" t="str">
        <f ca="1">IFERROR(__xludf.DUMMYFUNCTION("""COMPUTED_VALUE"""),"https://www.youtube.com/watch?v=dsCo6pe6g7Q")</f>
        <v>https://www.youtube.com/watch?v=dsCo6pe6g7Q</v>
      </c>
      <c r="S659" s="113" t="str">
        <f ca="1">IFERROR(__xludf.DUMMYFUNCTION("""COMPUTED_VALUE"""),"https://gld.legislaturacba.gob.ar/Publics/Actas.aspx?id=Z8gTtPMo0ms=")</f>
        <v>https://gld.legislaturacba.gob.ar/Publics/Actas.aspx?id=Z8gTtPMo0ms=</v>
      </c>
      <c r="T659" s="99">
        <f t="shared" ca="1" si="0"/>
        <v>0</v>
      </c>
    </row>
    <row r="660" spans="1:20">
      <c r="A660" s="20">
        <f ca="1">IFERROR(__xludf.DUMMYFUNCTION("""COMPUTED_VALUE"""),164)</f>
        <v>164</v>
      </c>
      <c r="B660" s="20">
        <f ca="1">IFERROR(__xludf.DUMMYFUNCTION("""COMPUTED_VALUE"""),2022)</f>
        <v>2022</v>
      </c>
      <c r="C660" s="20" t="str">
        <f ca="1">IFERROR(__xludf.DUMMYFUNCTION("""COMPUTED_VALUE"""),"SEMIPRESENCIAL")</f>
        <v>SEMIPRESENCIAL</v>
      </c>
      <c r="D660" s="108">
        <f ca="1">IFERROR(__xludf.DUMMYFUNCTION("""COMPUTED_VALUE"""),44847)</f>
        <v>44847</v>
      </c>
      <c r="E660" s="20" t="str">
        <f ca="1">IFERROR(__xludf.DUMMYFUNCTION("""COMPUTED_VALUE"""),"NO")</f>
        <v>NO</v>
      </c>
      <c r="F660" s="20" t="str">
        <f ca="1">IFERROR(__xludf.DUMMYFUNCTION("""COMPUTED_VALUE"""),"ASUNTOS CONSTITUCIONALES, JUSTICIA Y ACUERDOS")</f>
        <v>ASUNTOS CONSTITUCIONALES, JUSTICIA Y ACUERDOS</v>
      </c>
      <c r="G660" s="20">
        <f ca="1">IFERROR(__xludf.DUMMYFUNCTION("""COMPUTED_VALUE"""),1)</f>
        <v>1</v>
      </c>
      <c r="H660" s="20">
        <f ca="1">IFERROR(__xludf.DUMMYFUNCTION("""COMPUTED_VALUE"""),2)</f>
        <v>2</v>
      </c>
      <c r="I660" s="20">
        <f ca="1">IFERROR(__xludf.DUMMYFUNCTION("""COMPUTED_VALUE"""),1)</f>
        <v>1</v>
      </c>
      <c r="J660" s="20" t="str">
        <f ca="1">IFERROR(__xludf.DUMMYFUNCTION("""COMPUTED_VALUE"""),"Ley")</f>
        <v>Ley</v>
      </c>
      <c r="K660" s="20">
        <f ca="1">IFERROR(__xludf.DUMMYFUNCTION("""COMPUTED_VALUE"""),35604)</f>
        <v>35604</v>
      </c>
      <c r="L660" s="20" t="str">
        <f ca="1">IFERROR(__xludf.DUMMYFUNCTION("""COMPUTED_VALUE"""),"Poder Legislativo Provincial")</f>
        <v>Poder Legislativo Provincial</v>
      </c>
      <c r="M660" s="20" t="str">
        <f ca="1">IFERROR(__xludf.DUMMYFUNCTION("""COMPUTED_VALUE"""),"Modificando la denominación del Capítulo I del Título III del libro II de la Ley N° 10326 -Código de Convivencia Ciudadana-, e incorporando los artículos 68 ter y quáter, referidos al cuidado de la higiene y las deposiciones en espacios públicos y privado"&amp;"s, respectivamente; el artículo 80 bis sobre desórdenes públicos y modificando los artículos 105 -conducción peligrosa- y 125 -promoción de la acción-. ")</f>
        <v xml:space="preserve">Modificando la denominación del Capítulo I del Título III del libro II de la Ley N° 10326 -Código de Convivencia Ciudadana-, e incorporando los artículos 68 ter y quáter, referidos al cuidado de la higiene y las deposiciones en espacios públicos y privados, respectivamente; el artículo 80 bis sobre desórdenes públicos y modificando los artículos 105 -conducción peligrosa- y 125 -promoción de la acción-. </v>
      </c>
      <c r="N660" s="20" t="str">
        <f ca="1">IFERROR(__xludf.DUMMYFUNCTION("""COMPUTED_VALUE"""),"NO")</f>
        <v>NO</v>
      </c>
      <c r="O660" s="20" t="str">
        <f ca="1">IFERROR(__xludf.DUMMYFUNCTION("""COMPUTED_VALUE"""),"SI")</f>
        <v>SI</v>
      </c>
      <c r="P660" s="20">
        <f ca="1">IFERROR(__xludf.DUMMYFUNCTION("""COMPUTED_VALUE"""),6)</f>
        <v>6</v>
      </c>
      <c r="Q660" s="113" t="str">
        <f ca="1">IFERROR(__xludf.DUMMYFUNCTION("""COMPUTED_VALUE"""),"https://gld.legislaturacba.gob.ar/_cdd/api/Documento/descargar?guid=b2813e73-fa43-4c3f-9bb0-6e6dc9c88d47&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v>
      </c>
      <c r="R660" s="113" t="str">
        <f ca="1">IFERROR(__xludf.DUMMYFUNCTION("""COMPUTED_VALUE"""),"https://www.youtube.com/watch?v=Iv7DMUMy-a8")</f>
        <v>https://www.youtube.com/watch?v=Iv7DMUMy-a8</v>
      </c>
      <c r="S660" s="113" t="str">
        <f ca="1">IFERROR(__xludf.DUMMYFUNCTION("""COMPUTED_VALUE"""),"https://gld.legislaturacba.gob.ar/Publics/Actas.aspx?id=V7PkwWLummw=")</f>
        <v>https://gld.legislaturacba.gob.ar/Publics/Actas.aspx?id=V7PkwWLummw=</v>
      </c>
      <c r="T660" s="99">
        <f t="shared" ca="1" si="0"/>
        <v>0</v>
      </c>
    </row>
    <row r="661" spans="1:20">
      <c r="A661" s="20">
        <f ca="1">IFERROR(__xludf.DUMMYFUNCTION("""COMPUTED_VALUE"""),165)</f>
        <v>165</v>
      </c>
      <c r="B661" s="20">
        <f ca="1">IFERROR(__xludf.DUMMYFUNCTION("""COMPUTED_VALUE"""),2022)</f>
        <v>2022</v>
      </c>
      <c r="C661" s="20" t="str">
        <f ca="1">IFERROR(__xludf.DUMMYFUNCTION("""COMPUTED_VALUE"""),"VIRTUAL")</f>
        <v>VIRTUAL</v>
      </c>
      <c r="D661" s="108">
        <f ca="1">IFERROR(__xludf.DUMMYFUNCTION("""COMPUTED_VALUE"""),44847)</f>
        <v>44847</v>
      </c>
      <c r="E661" s="20" t="str">
        <f ca="1">IFERROR(__xludf.DUMMYFUNCTION("""COMPUTED_VALUE"""),"SI")</f>
        <v>SI</v>
      </c>
      <c r="F661" s="20" t="str">
        <f ca="1">IFERROR(__xludf.DUMMYFUNCTION("""COMPUTED_VALUE"""),"AGRICULTURA, GANADERÍA Y RECURSOS RENOVABLES;RELACIONES INTERNACIONALES, MERCOSUR Y COMERCIO EXTERIOR")</f>
        <v>AGRICULTURA, GANADERÍA Y RECURSOS RENOVABLES;RELACIONES INTERNACIONALES, MERCOSUR Y COMERCIO EXTERIOR</v>
      </c>
      <c r="G661" s="20">
        <f ca="1">IFERROR(__xludf.DUMMYFUNCTION("""COMPUTED_VALUE"""),2)</f>
        <v>2</v>
      </c>
      <c r="H661" s="20">
        <f ca="1">IFERROR(__xludf.DUMMYFUNCTION("""COMPUTED_VALUE"""),1)</f>
        <v>1</v>
      </c>
      <c r="I661" s="20">
        <f ca="1">IFERROR(__xludf.DUMMYFUNCTION("""COMPUTED_VALUE"""),1)</f>
        <v>1</v>
      </c>
      <c r="J661" s="20" t="str">
        <f ca="1">IFERROR(__xludf.DUMMYFUNCTION("""COMPUTED_VALUE"""),"NA")</f>
        <v>NA</v>
      </c>
      <c r="K661" s="20" t="str">
        <f ca="1">IFERROR(__xludf.DUMMYFUNCTION("""COMPUTED_VALUE"""),"NA")</f>
        <v>NA</v>
      </c>
      <c r="L661" s="20" t="str">
        <f ca="1">IFERROR(__xludf.DUMMYFUNCTION("""COMPUTED_VALUE"""),"NA")</f>
        <v>NA</v>
      </c>
      <c r="M661" s="20" t="str">
        <f ca="1">IFERROR(__xludf.DUMMYFUNCTION("""COMPUTED_VALUE"""),"""Congreso Internacional del Maiz"", a desarrollarse los dias 19 y 20 de octubre en la ciudad de Córdoba.")</f>
        <v>"Congreso Internacional del Maiz", a desarrollarse los dias 19 y 20 de octubre en la ciudad de Córdoba.</v>
      </c>
      <c r="N661" s="20" t="str">
        <f ca="1">IFERROR(__xludf.DUMMYFUNCTION("""COMPUTED_VALUE"""),"NA")</f>
        <v>NA</v>
      </c>
      <c r="O661" s="20" t="str">
        <f ca="1">IFERROR(__xludf.DUMMYFUNCTION("""COMPUTED_VALUE"""),"SI")</f>
        <v>SI</v>
      </c>
      <c r="P661" s="20">
        <f ca="1">IFERROR(__xludf.DUMMYFUNCTION("""COMPUTED_VALUE"""),1)</f>
        <v>1</v>
      </c>
      <c r="Q661" s="113" t="str">
        <f ca="1">IFERROR(__xludf.DUMMYFUNCTION("""COMPUTED_VALUE"""),"https://gld.legislaturacba.gob.ar/_cdd/api/Documento/descargar?guid=a6ea3ced-bef5-41fe-95d2-c58b77fb5ad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v>
      </c>
      <c r="R661" s="113" t="str">
        <f ca="1">IFERROR(__xludf.DUMMYFUNCTION("""COMPUTED_VALUE"""),"https://www.youtube.com/watch?v=P0UD-8wJH0Q")</f>
        <v>https://www.youtube.com/watch?v=P0UD-8wJH0Q</v>
      </c>
      <c r="S661" s="113" t="str">
        <f ca="1">IFERROR(__xludf.DUMMYFUNCTION("""COMPUTED_VALUE"""),"https://gld.legislaturacba.gob.ar/Publics/Actas.aspx?id=r_oY0tkZt7A=;https://gld.legislaturacba.gob.ar/Publics/Actas.aspx?id=B6bcDLYqq0Q=")</f>
        <v>https://gld.legislaturacba.gob.ar/Publics/Actas.aspx?id=r_oY0tkZt7A=;https://gld.legislaturacba.gob.ar/Publics/Actas.aspx?id=B6bcDLYqq0Q=</v>
      </c>
      <c r="T661" s="99">
        <f t="shared" ca="1" si="0"/>
        <v>0</v>
      </c>
    </row>
    <row r="662" spans="1:20">
      <c r="A662" s="20">
        <f ca="1">IFERROR(__xludf.DUMMYFUNCTION("""COMPUTED_VALUE"""),166)</f>
        <v>166</v>
      </c>
      <c r="B662" s="20">
        <f ca="1">IFERROR(__xludf.DUMMYFUNCTION("""COMPUTED_VALUE"""),2022)</f>
        <v>2022</v>
      </c>
      <c r="C662" s="20" t="str">
        <f ca="1">IFERROR(__xludf.DUMMYFUNCTION("""COMPUTED_VALUE"""),"VIRTUAL")</f>
        <v>VIRTUAL</v>
      </c>
      <c r="D662" s="108">
        <f ca="1">IFERROR(__xludf.DUMMYFUNCTION("""COMPUTED_VALUE"""),44852)</f>
        <v>44852</v>
      </c>
      <c r="E662" s="20" t="str">
        <f ca="1">IFERROR(__xludf.DUMMYFUNCTION("""COMPUTED_VALUE"""),"NO")</f>
        <v>NO</v>
      </c>
      <c r="F662" s="20" t="str">
        <f ca="1">IFERROR(__xludf.DUMMYFUNCTION("""COMPUTED_VALUE"""),"ECONOMÍA SOCIAL, COOPERATIVAS Y MUTUALES")</f>
        <v>ECONOMÍA SOCIAL, COOPERATIVAS Y MUTUALES</v>
      </c>
      <c r="G662" s="20">
        <f ca="1">IFERROR(__xludf.DUMMYFUNCTION("""COMPUTED_VALUE"""),1)</f>
        <v>1</v>
      </c>
      <c r="H662" s="20">
        <f ca="1">IFERROR(__xludf.DUMMYFUNCTION("""COMPUTED_VALUE"""),1)</f>
        <v>1</v>
      </c>
      <c r="I662" s="20">
        <f ca="1">IFERROR(__xludf.DUMMYFUNCTION("""COMPUTED_VALUE"""),1)</f>
        <v>1</v>
      </c>
      <c r="J662" s="20" t="str">
        <f ca="1">IFERROR(__xludf.DUMMYFUNCTION("""COMPUTED_VALUE"""),"Ley")</f>
        <v>Ley</v>
      </c>
      <c r="K662" s="20">
        <f ca="1">IFERROR(__xludf.DUMMYFUNCTION("""COMPUTED_VALUE"""),30617)</f>
        <v>30617</v>
      </c>
      <c r="L662" s="20" t="str">
        <f ca="1">IFERROR(__xludf.DUMMYFUNCTION("""COMPUTED_VALUE"""),"Poder Legislativo Provincial")</f>
        <v>Poder Legislativo Provincial</v>
      </c>
      <c r="M662" s="20" t="str">
        <f ca="1">IFERROR(__xludf.DUMMYFUNCTION("""COMPUTED_VALUE"""),"Modificando el inciso 4to del artículo nro. 7° de la Ley nro. 8.614")</f>
        <v>Modificando el inciso 4to del artículo nro. 7° de la Ley nro. 8.614</v>
      </c>
      <c r="N662" s="20" t="str">
        <f ca="1">IFERROR(__xludf.DUMMYFUNCTION("""COMPUTED_VALUE"""),"NO")</f>
        <v>NO</v>
      </c>
      <c r="O662" s="20" t="str">
        <f ca="1">IFERROR(__xludf.DUMMYFUNCTION("""COMPUTED_VALUE"""),"NO")</f>
        <v>NO</v>
      </c>
      <c r="P662" s="20">
        <f ca="1">IFERROR(__xludf.DUMMYFUNCTION("""COMPUTED_VALUE"""),0)</f>
        <v>0</v>
      </c>
      <c r="Q662" s="113" t="str">
        <f ca="1">IFERROR(__xludf.DUMMYFUNCTION("""COMPUTED_VALUE"""),"https://gld.legislaturacba.gob.ar/_cdd/api/Documento/descargar?guid=3877e774-06e7-4615-8f04-cb5857b545dd&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v>
      </c>
      <c r="R662" s="113" t="str">
        <f ca="1">IFERROR(__xludf.DUMMYFUNCTION("""COMPUTED_VALUE"""),"https://www.youtube.com/watch?v=bTCR6T4lX84")</f>
        <v>https://www.youtube.com/watch?v=bTCR6T4lX84</v>
      </c>
      <c r="S662" s="113" t="str">
        <f ca="1">IFERROR(__xludf.DUMMYFUNCTION("""COMPUTED_VALUE"""),"https://gld.legislaturacba.gob.ar/Publics/Actas.aspx?id=ozd88n9ynXA=")</f>
        <v>https://gld.legislaturacba.gob.ar/Publics/Actas.aspx?id=ozd88n9ynXA=</v>
      </c>
      <c r="T662" s="99">
        <f t="shared" ca="1" si="0"/>
        <v>0</v>
      </c>
    </row>
    <row r="663" spans="1:20">
      <c r="A663" s="20">
        <f ca="1">IFERROR(__xludf.DUMMYFUNCTION("""COMPUTED_VALUE"""),167)</f>
        <v>167</v>
      </c>
      <c r="B663" s="20">
        <f ca="1">IFERROR(__xludf.DUMMYFUNCTION("""COMPUTED_VALUE"""),2022)</f>
        <v>2022</v>
      </c>
      <c r="C663" s="20" t="str">
        <f ca="1">IFERROR(__xludf.DUMMYFUNCTION("""COMPUTED_VALUE"""),"VIRTUAL")</f>
        <v>VIRTUAL</v>
      </c>
      <c r="D663" s="108">
        <f ca="1">IFERROR(__xludf.DUMMYFUNCTION("""COMPUTED_VALUE"""),44852)</f>
        <v>44852</v>
      </c>
      <c r="E663" s="20" t="str">
        <f ca="1">IFERROR(__xludf.DUMMYFUNCTION("""COMPUTED_VALUE"""),"NO")</f>
        <v>NO</v>
      </c>
      <c r="F663" s="20" t="str">
        <f ca="1">IFERROR(__xludf.DUMMYFUNCTION("""COMPUTED_VALUE"""),"ASUNTOS INSTITUCIONALES, MUNICIPALES Y COMUNALES")</f>
        <v>ASUNTOS INSTITUCIONALES, MUNICIPALES Y COMUNALES</v>
      </c>
      <c r="G663" s="20">
        <f ca="1">IFERROR(__xludf.DUMMYFUNCTION("""COMPUTED_VALUE"""),1)</f>
        <v>1</v>
      </c>
      <c r="H663" s="20">
        <f ca="1">IFERROR(__xludf.DUMMYFUNCTION("""COMPUTED_VALUE"""),1)</f>
        <v>1</v>
      </c>
      <c r="I663" s="20">
        <f ca="1">IFERROR(__xludf.DUMMYFUNCTION("""COMPUTED_VALUE"""),1)</f>
        <v>1</v>
      </c>
      <c r="J663" s="20" t="str">
        <f ca="1">IFERROR(__xludf.DUMMYFUNCTION("""COMPUTED_VALUE"""),"Ley")</f>
        <v>Ley</v>
      </c>
      <c r="K663" s="20">
        <f ca="1">IFERROR(__xludf.DUMMYFUNCTION("""COMPUTED_VALUE"""),36208)</f>
        <v>36208</v>
      </c>
      <c r="L663" s="20" t="str">
        <f ca="1">IFERROR(__xludf.DUMMYFUNCTION("""COMPUTED_VALUE"""),"Poder Ejecutivo Provincial")</f>
        <v>Poder Ejecutivo Provincial</v>
      </c>
      <c r="M663" s="20" t="str">
        <f ca="1">IFERROR(__xludf.DUMMYFUNCTION("""COMPUTED_VALUE"""),"Modificando el radio municipal de la localidad de Pueblo Italiano, Dpto. Unión")</f>
        <v>Modificando el radio municipal de la localidad de Pueblo Italiano, Dpto. Unión</v>
      </c>
      <c r="N663" s="20" t="str">
        <f ca="1">IFERROR(__xludf.DUMMYFUNCTION("""COMPUTED_VALUE"""),"SI")</f>
        <v>SI</v>
      </c>
      <c r="O663" s="20" t="str">
        <f ca="1">IFERROR(__xludf.DUMMYFUNCTION("""COMPUTED_VALUE"""),"NO")</f>
        <v>NO</v>
      </c>
      <c r="P663" s="20">
        <f ca="1">IFERROR(__xludf.DUMMYFUNCTION("""COMPUTED_VALUE"""),0)</f>
        <v>0</v>
      </c>
      <c r="Q663" s="113" t="str">
        <f ca="1">IFERROR(__xludf.DUMMYFUNCTION("""COMPUTED_VALUE"""),"https://gld.legislaturacba.gob.ar/_cdd/api/Documento/descargar?guid=3c9eaa03-ba22-4fcd-a76e-c7199c5afb19&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v>
      </c>
      <c r="R663" s="113" t="str">
        <f ca="1">IFERROR(__xludf.DUMMYFUNCTION("""COMPUTED_VALUE"""),"https://www.youtube.com/watch?v=Qdy0hq-8z1E")</f>
        <v>https://www.youtube.com/watch?v=Qdy0hq-8z1E</v>
      </c>
      <c r="S663" s="113" t="str">
        <f ca="1">IFERROR(__xludf.DUMMYFUNCTION("""COMPUTED_VALUE"""),"https://gld.legislaturacba.gob.ar/Publics/Actas.aspx?id=ZqO5QdfCCxE=")</f>
        <v>https://gld.legislaturacba.gob.ar/Publics/Actas.aspx?id=ZqO5QdfCCxE=</v>
      </c>
      <c r="T663" s="99">
        <f t="shared" ca="1" si="0"/>
        <v>0</v>
      </c>
    </row>
    <row r="664" spans="1:20">
      <c r="A664" s="20">
        <f ca="1">IFERROR(__xludf.DUMMYFUNCTION("""COMPUTED_VALUE"""),168)</f>
        <v>168</v>
      </c>
      <c r="B664" s="20">
        <f ca="1">IFERROR(__xludf.DUMMYFUNCTION("""COMPUTED_VALUE"""),2022)</f>
        <v>2022</v>
      </c>
      <c r="C664" s="20" t="str">
        <f ca="1">IFERROR(__xludf.DUMMYFUNCTION("""COMPUTED_VALUE"""),"VIRTUAL")</f>
        <v>VIRTUAL</v>
      </c>
      <c r="D664" s="108">
        <f ca="1">IFERROR(__xludf.DUMMYFUNCTION("""COMPUTED_VALUE"""),44854)</f>
        <v>44854</v>
      </c>
      <c r="E664" s="20" t="str">
        <f ca="1">IFERROR(__xludf.DUMMYFUNCTION("""COMPUTED_VALUE"""),"NO")</f>
        <v>NO</v>
      </c>
      <c r="F664" s="20" t="str">
        <f ca="1">IFERROR(__xludf.DUMMYFUNCTION("""COMPUTED_VALUE"""),"SERVICIOS PÚBLICOS")</f>
        <v>SERVICIOS PÚBLICOS</v>
      </c>
      <c r="G664" s="20">
        <f ca="1">IFERROR(__xludf.DUMMYFUNCTION("""COMPUTED_VALUE"""),1)</f>
        <v>1</v>
      </c>
      <c r="H664" s="20">
        <f ca="1">IFERROR(__xludf.DUMMYFUNCTION("""COMPUTED_VALUE"""),1)</f>
        <v>1</v>
      </c>
      <c r="I664" s="20">
        <f ca="1">IFERROR(__xludf.DUMMYFUNCTION("""COMPUTED_VALUE"""),1)</f>
        <v>1</v>
      </c>
      <c r="J664" s="20" t="str">
        <f ca="1">IFERROR(__xludf.DUMMYFUNCTION("""COMPUTED_VALUE"""),"Ley")</f>
        <v>Ley</v>
      </c>
      <c r="K664" s="20">
        <f ca="1">IFERROR(__xludf.DUMMYFUNCTION("""COMPUTED_VALUE"""),36213)</f>
        <v>36213</v>
      </c>
      <c r="L664" s="20" t="str">
        <f ca="1">IFERROR(__xludf.DUMMYFUNCTION("""COMPUTED_VALUE"""),"Poder Ejecutivo Provincial")</f>
        <v>Poder Ejecutivo Provincial</v>
      </c>
      <c r="M664" s="20" t="str">
        <f ca="1">IFERROR(__xludf.DUMMYFUNCTION("""COMPUTED_VALUE"""),"Aprobando la Addenda al Convenio suscripto por el Gobierno de la provincia de Córdoba y el Gobierno de la provincia de Santa Fe, para la Planificación y Proyección de la Obra Interjurisdiccional “Gasoducto Productivo Córdoba-Santa Fe”. ")</f>
        <v xml:space="preserve">Aprobando la Addenda al Convenio suscripto por el Gobierno de la provincia de Córdoba y el Gobierno de la provincia de Santa Fe, para la Planificación y Proyección de la Obra Interjurisdiccional “Gasoducto Productivo Córdoba-Santa Fe”. </v>
      </c>
      <c r="N664" s="20" t="str">
        <f ca="1">IFERROR(__xludf.DUMMYFUNCTION("""COMPUTED_VALUE"""),"SI")</f>
        <v>SI</v>
      </c>
      <c r="O664" s="20" t="str">
        <f ca="1">IFERROR(__xludf.DUMMYFUNCTION("""COMPUTED_VALUE"""),"SI")</f>
        <v>SI</v>
      </c>
      <c r="P664" s="20">
        <f ca="1">IFERROR(__xludf.DUMMYFUNCTION("""COMPUTED_VALUE"""),1)</f>
        <v>1</v>
      </c>
      <c r="Q664" s="113" t="str">
        <f ca="1">IFERROR(__xludf.DUMMYFUNCTION("""COMPUTED_VALUE"""),"https://gld.legislaturacba.gob.ar/_cdd/api/Documento/descargar?guid=0ce8c9cd-71a9-4da7-9960-bdb0399bea3a&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v>
      </c>
      <c r="R664" s="113" t="str">
        <f ca="1">IFERROR(__xludf.DUMMYFUNCTION("""COMPUTED_VALUE"""),"https://www.youtube.com/watch?v=fEl4z4pIa8s")</f>
        <v>https://www.youtube.com/watch?v=fEl4z4pIa8s</v>
      </c>
      <c r="S664" s="113" t="str">
        <f ca="1">IFERROR(__xludf.DUMMYFUNCTION("""COMPUTED_VALUE"""),"https://gld.legislaturacba.gob.ar/Publics/Actas.aspx?id=0M4tz8lt6qw=")</f>
        <v>https://gld.legislaturacba.gob.ar/Publics/Actas.aspx?id=0M4tz8lt6qw=</v>
      </c>
      <c r="T664" s="99">
        <f t="shared" ca="1" si="0"/>
        <v>0</v>
      </c>
    </row>
    <row r="665" spans="1:20">
      <c r="A665" s="20">
        <f ca="1">IFERROR(__xludf.DUMMYFUNCTION("""COMPUTED_VALUE"""),169)</f>
        <v>169</v>
      </c>
      <c r="B665" s="20">
        <f ca="1">IFERROR(__xludf.DUMMYFUNCTION("""COMPUTED_VALUE"""),2022)</f>
        <v>2022</v>
      </c>
      <c r="C665" s="20" t="str">
        <f ca="1">IFERROR(__xludf.DUMMYFUNCTION("""COMPUTED_VALUE"""),"VIRTUAL")</f>
        <v>VIRTUAL</v>
      </c>
      <c r="D665" s="108">
        <f ca="1">IFERROR(__xludf.DUMMYFUNCTION("""COMPUTED_VALUE"""),44859)</f>
        <v>44859</v>
      </c>
      <c r="E665" s="20" t="str">
        <f ca="1">IFERROR(__xludf.DUMMYFUNCTION("""COMPUTED_VALUE"""),"NO")</f>
        <v>NO</v>
      </c>
      <c r="F665" s="20" t="str">
        <f ca="1">IFERROR(__xludf.DUMMYFUNCTION("""COMPUTED_VALUE"""),"ASUNTOS INSTITUCIONALES, MUNICIPALES Y COMUNALES")</f>
        <v>ASUNTOS INSTITUCIONALES, MUNICIPALES Y COMUNALES</v>
      </c>
      <c r="G665" s="20">
        <f ca="1">IFERROR(__xludf.DUMMYFUNCTION("""COMPUTED_VALUE"""),1)</f>
        <v>1</v>
      </c>
      <c r="H665" s="20">
        <f ca="1">IFERROR(__xludf.DUMMYFUNCTION("""COMPUTED_VALUE"""),1)</f>
        <v>1</v>
      </c>
      <c r="I665" s="20">
        <f ca="1">IFERROR(__xludf.DUMMYFUNCTION("""COMPUTED_VALUE"""),1)</f>
        <v>1</v>
      </c>
      <c r="J665" s="20" t="str">
        <f ca="1">IFERROR(__xludf.DUMMYFUNCTION("""COMPUTED_VALUE"""),"Ley")</f>
        <v>Ley</v>
      </c>
      <c r="K665" s="20">
        <f ca="1">IFERROR(__xludf.DUMMYFUNCTION("""COMPUTED_VALUE"""),36209)</f>
        <v>36209</v>
      </c>
      <c r="L665" s="20" t="str">
        <f ca="1">IFERROR(__xludf.DUMMYFUNCTION("""COMPUTED_VALUE"""),"Poder Ejecutivo Provincial")</f>
        <v>Poder Ejecutivo Provincial</v>
      </c>
      <c r="M665" s="20" t="str">
        <f ca="1">IFERROR(__xludf.DUMMYFUNCTION("""COMPUTED_VALUE"""),"Modificando el radio municipal de la localidad de Villa Fontana, Dpto. Río Primero. ")</f>
        <v xml:space="preserve">Modificando el radio municipal de la localidad de Villa Fontana, Dpto. Río Primero. </v>
      </c>
      <c r="N665" s="20" t="str">
        <f ca="1">IFERROR(__xludf.DUMMYFUNCTION("""COMPUTED_VALUE"""),"SI")</f>
        <v>SI</v>
      </c>
      <c r="O665" s="20" t="str">
        <f ca="1">IFERROR(__xludf.DUMMYFUNCTION("""COMPUTED_VALUE"""),"SI")</f>
        <v>SI</v>
      </c>
      <c r="P665" s="20">
        <f ca="1">IFERROR(__xludf.DUMMYFUNCTION("""COMPUTED_VALUE"""),1)</f>
        <v>1</v>
      </c>
      <c r="Q665" s="113" t="str">
        <f ca="1">IFERROR(__xludf.DUMMYFUNCTION("""COMPUTED_VALUE"""),"https://gld.legislaturacba.gob.ar/_cdd/api/Documento/descargar?guid=3187770a-d55e-4058-9b36-a14a5b1099a5&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v>
      </c>
      <c r="R665" s="113" t="str">
        <f ca="1">IFERROR(__xludf.DUMMYFUNCTION("""COMPUTED_VALUE"""),"https://www.youtube.com/watch?v=4KqKguVI5vQ")</f>
        <v>https://www.youtube.com/watch?v=4KqKguVI5vQ</v>
      </c>
      <c r="S665" s="113" t="str">
        <f ca="1">IFERROR(__xludf.DUMMYFUNCTION("""COMPUTED_VALUE"""),"https://gld.legislaturacba.gob.ar/Publics/Actas.aspx?id=dktoq6sh_3A=")</f>
        <v>https://gld.legislaturacba.gob.ar/Publics/Actas.aspx?id=dktoq6sh_3A=</v>
      </c>
      <c r="T665" s="99">
        <f t="shared" ca="1" si="0"/>
        <v>0</v>
      </c>
    </row>
    <row r="666" spans="1:20">
      <c r="A666" s="20">
        <f ca="1">IFERROR(__xludf.DUMMYFUNCTION("""COMPUTED_VALUE"""),170)</f>
        <v>170</v>
      </c>
      <c r="B666" s="20">
        <f ca="1">IFERROR(__xludf.DUMMYFUNCTION("""COMPUTED_VALUE"""),2022)</f>
        <v>2022</v>
      </c>
      <c r="C666" s="20" t="str">
        <f ca="1">IFERROR(__xludf.DUMMYFUNCTION("""COMPUTED_VALUE"""),"VIRTUAL")</f>
        <v>VIRTUAL</v>
      </c>
      <c r="D666" s="108">
        <f ca="1">IFERROR(__xludf.DUMMYFUNCTION("""COMPUTED_VALUE"""),44859)</f>
        <v>44859</v>
      </c>
      <c r="E666" s="20" t="str">
        <f ca="1">IFERROR(__xludf.DUMMYFUNCTION("""COMPUTED_VALUE"""),"NO")</f>
        <v>NO</v>
      </c>
      <c r="F666" s="20" t="str">
        <f ca="1">IFERROR(__xludf.DUMMYFUNCTION("""COMPUTED_VALUE"""),"EQUIDAD Y LUCHA CONTRA LA VIOLENCIA DE GÉNERO")</f>
        <v>EQUIDAD Y LUCHA CONTRA LA VIOLENCIA DE GÉNERO</v>
      </c>
      <c r="G666" s="20">
        <f ca="1">IFERROR(__xludf.DUMMYFUNCTION("""COMPUTED_VALUE"""),1)</f>
        <v>1</v>
      </c>
      <c r="H666" s="20">
        <f ca="1">IFERROR(__xludf.DUMMYFUNCTION("""COMPUTED_VALUE"""),1)</f>
        <v>1</v>
      </c>
      <c r="I666" s="20">
        <f ca="1">IFERROR(__xludf.DUMMYFUNCTION("""COMPUTED_VALUE"""),1)</f>
        <v>1</v>
      </c>
      <c r="J666" s="20" t="str">
        <f ca="1">IFERROR(__xludf.DUMMYFUNCTION("""COMPUTED_VALUE"""),"Ley")</f>
        <v>Ley</v>
      </c>
      <c r="K666" s="20">
        <f ca="1">IFERROR(__xludf.DUMMYFUNCTION("""COMPUTED_VALUE"""),34846)</f>
        <v>34846</v>
      </c>
      <c r="L666" s="20" t="str">
        <f ca="1">IFERROR(__xludf.DUMMYFUNCTION("""COMPUTED_VALUE"""),"Poder Legislativo Provincial")</f>
        <v>Poder Legislativo Provincial</v>
      </c>
      <c r="M666" s="20" t="str">
        <f ca="1">IFERROR(__xludf.DUMMYFUNCTION("""COMPUTED_VALUE"""),"Incorporando diversos artículos a la Ley N° 10.326, Código de Convivencia de la provincia de Córdoba")</f>
        <v>Incorporando diversos artículos a la Ley N° 10.326, Código de Convivencia de la provincia de Córdoba</v>
      </c>
      <c r="N666" s="20" t="str">
        <f ca="1">IFERROR(__xludf.DUMMYFUNCTION("""COMPUTED_VALUE"""),"NO")</f>
        <v>NO</v>
      </c>
      <c r="O666" s="20" t="str">
        <f ca="1">IFERROR(__xludf.DUMMYFUNCTION("""COMPUTED_VALUE"""),"NO")</f>
        <v>NO</v>
      </c>
      <c r="P666" s="20">
        <f ca="1">IFERROR(__xludf.DUMMYFUNCTION("""COMPUTED_VALUE"""),0)</f>
        <v>0</v>
      </c>
      <c r="Q666" s="113" t="str">
        <f ca="1">IFERROR(__xludf.DUMMYFUNCTION("""COMPUTED_VALUE"""),"https://gld.legislaturacba.gob.ar/_cdd/api/Documento/descargar?guid=783468e2-bb29-4734-a5ee-e0afb75e9314&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v>
      </c>
      <c r="R666" s="113" t="str">
        <f ca="1">IFERROR(__xludf.DUMMYFUNCTION("""COMPUTED_VALUE"""),"https://www.youtube.com/watch?v=I_DnH6ZjUkQ")</f>
        <v>https://www.youtube.com/watch?v=I_DnH6ZjUkQ</v>
      </c>
      <c r="S666" s="113" t="str">
        <f ca="1">IFERROR(__xludf.DUMMYFUNCTION("""COMPUTED_VALUE"""),"https://gld.legislaturacba.gob.ar/Publics/Actas.aspx?id=3QEtuA80A5U=")</f>
        <v>https://gld.legislaturacba.gob.ar/Publics/Actas.aspx?id=3QEtuA80A5U=</v>
      </c>
      <c r="T666" s="99">
        <f t="shared" ca="1" si="0"/>
        <v>0</v>
      </c>
    </row>
    <row r="667" spans="1:20">
      <c r="A667" s="20">
        <f ca="1">IFERROR(__xludf.DUMMYFUNCTION("""COMPUTED_VALUE"""),171)</f>
        <v>171</v>
      </c>
      <c r="B667" s="20">
        <f ca="1">IFERROR(__xludf.DUMMYFUNCTION("""COMPUTED_VALUE"""),2022)</f>
        <v>2022</v>
      </c>
      <c r="C667" s="20" t="str">
        <f ca="1">IFERROR(__xludf.DUMMYFUNCTION("""COMPUTED_VALUE"""),"VIRTUAL")</f>
        <v>VIRTUAL</v>
      </c>
      <c r="D667" s="108">
        <f ca="1">IFERROR(__xludf.DUMMYFUNCTION("""COMPUTED_VALUE"""),44859)</f>
        <v>44859</v>
      </c>
      <c r="E667" s="20" t="str">
        <f ca="1">IFERROR(__xludf.DUMMYFUNCTION("""COMPUTED_VALUE"""),"NO")</f>
        <v>NO</v>
      </c>
      <c r="F667" s="20" t="str">
        <f ca="1">IFERROR(__xludf.DUMMYFUNCTION("""COMPUTED_VALUE"""),"SALUD HUMANA")</f>
        <v>SALUD HUMANA</v>
      </c>
      <c r="G667" s="20">
        <f ca="1">IFERROR(__xludf.DUMMYFUNCTION("""COMPUTED_VALUE"""),1)</f>
        <v>1</v>
      </c>
      <c r="H667" s="20">
        <f ca="1">IFERROR(__xludf.DUMMYFUNCTION("""COMPUTED_VALUE"""),1)</f>
        <v>1</v>
      </c>
      <c r="I667" s="20">
        <f ca="1">IFERROR(__xludf.DUMMYFUNCTION("""COMPUTED_VALUE"""),1)</f>
        <v>1</v>
      </c>
      <c r="J667" s="20" t="str">
        <f ca="1">IFERROR(__xludf.DUMMYFUNCTION("""COMPUTED_VALUE"""),"Resolución")</f>
        <v>Resolución</v>
      </c>
      <c r="K667" s="20">
        <f ca="1">IFERROR(__xludf.DUMMYFUNCTION("""COMPUTED_VALUE"""),36028)</f>
        <v>36028</v>
      </c>
      <c r="L667" s="20" t="str">
        <f ca="1">IFERROR(__xludf.DUMMYFUNCTION("""COMPUTED_VALUE"""),"Poder Legislativo Provincial")</f>
        <v>Poder Legislativo Provincial</v>
      </c>
      <c r="M667" s="20" t="str">
        <f ca="1">IFERROR(__xludf.DUMMYFUNCTION("""COMPUTED_VALUE"""),"Solicitando al Poder Ejecutivo informe (Art. 102 C.P.) sobre la normativa que complementa o modifica la Ley N° 9694 estableciendo el Sistema de Evaluación, Registro y Fiscalización de las Investigaciones en Salud; y respecto al funcionamiento del Consejo "&amp;"de Evaluación Ética de la Investigación en Salud.")</f>
        <v>Solicitando al Poder Ejecutivo informe (Art. 102 C.P.) sobre la normativa que complementa o modifica la Ley N° 9694 estableciendo el Sistema de Evaluación, Registro y Fiscalización de las Investigaciones en Salud; y respecto al funcionamiento del Consejo de Evaluación Ética de la Investigación en Salud.</v>
      </c>
      <c r="N667" s="20" t="str">
        <f ca="1">IFERROR(__xludf.DUMMYFUNCTION("""COMPUTED_VALUE"""),"SI")</f>
        <v>SI</v>
      </c>
      <c r="O667" s="20" t="str">
        <f ca="1">IFERROR(__xludf.DUMMYFUNCTION("""COMPUTED_VALUE"""),"SI")</f>
        <v>SI</v>
      </c>
      <c r="P667" s="20">
        <f ca="1">IFERROR(__xludf.DUMMYFUNCTION("""COMPUTED_VALUE"""),3)</f>
        <v>3</v>
      </c>
      <c r="Q667" s="113" t="str">
        <f ca="1">IFERROR(__xludf.DUMMYFUNCTION("""COMPUTED_VALUE"""),"https://gld.legislaturacba.gob.ar/_cdd/api/Documento/descargar?guid=78f4a089-f115-4ba1-976d-7e460912507f&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v>
      </c>
      <c r="R667" s="113" t="str">
        <f ca="1">IFERROR(__xludf.DUMMYFUNCTION("""COMPUTED_VALUE"""),"https://www.youtube.com/watch?v=mn02SG_zkZg")</f>
        <v>https://www.youtube.com/watch?v=mn02SG_zkZg</v>
      </c>
      <c r="S667" s="113" t="str">
        <f ca="1">IFERROR(__xludf.DUMMYFUNCTION("""COMPUTED_VALUE"""),"https://gld.legislaturacba.gob.ar/Publics/Actas.aspx?id=VeylO_3KBTE=")</f>
        <v>https://gld.legislaturacba.gob.ar/Publics/Actas.aspx?id=VeylO_3KBTE=</v>
      </c>
      <c r="T667" s="99">
        <f t="shared" ca="1" si="0"/>
        <v>0</v>
      </c>
    </row>
    <row r="668" spans="1:20">
      <c r="A668" s="20">
        <f ca="1">IFERROR(__xludf.DUMMYFUNCTION("""COMPUTED_VALUE"""),172)</f>
        <v>172</v>
      </c>
      <c r="B668" s="20">
        <f ca="1">IFERROR(__xludf.DUMMYFUNCTION("""COMPUTED_VALUE"""),2022)</f>
        <v>2022</v>
      </c>
      <c r="C668" s="20" t="str">
        <f ca="1">IFERROR(__xludf.DUMMYFUNCTION("""COMPUTED_VALUE"""),"VIRTUAL")</f>
        <v>VIRTUAL</v>
      </c>
      <c r="D668" s="108">
        <f ca="1">IFERROR(__xludf.DUMMYFUNCTION("""COMPUTED_VALUE"""),44859)</f>
        <v>44859</v>
      </c>
      <c r="E668" s="20" t="str">
        <f ca="1">IFERROR(__xludf.DUMMYFUNCTION("""COMPUTED_VALUE"""),"NO")</f>
        <v>NO</v>
      </c>
      <c r="F668" s="20" t="str">
        <f ca="1">IFERROR(__xludf.DUMMYFUNCTION("""COMPUTED_VALUE"""),"LEGISLACIÓN GENERAL")</f>
        <v>LEGISLACIÓN GENERAL</v>
      </c>
      <c r="G668" s="20">
        <f ca="1">IFERROR(__xludf.DUMMYFUNCTION("""COMPUTED_VALUE"""),1)</f>
        <v>1</v>
      </c>
      <c r="H668" s="20">
        <f ca="1">IFERROR(__xludf.DUMMYFUNCTION("""COMPUTED_VALUE"""),3)</f>
        <v>3</v>
      </c>
      <c r="I668" s="20">
        <f ca="1">IFERROR(__xludf.DUMMYFUNCTION("""COMPUTED_VALUE"""),1)</f>
        <v>1</v>
      </c>
      <c r="J668" s="20" t="str">
        <f ca="1">IFERROR(__xludf.DUMMYFUNCTION("""COMPUTED_VALUE"""),"Ley")</f>
        <v>Ley</v>
      </c>
      <c r="K668" s="20">
        <f ca="1">IFERROR(__xludf.DUMMYFUNCTION("""COMPUTED_VALUE"""),36208)</f>
        <v>36208</v>
      </c>
      <c r="L668" s="20" t="str">
        <f ca="1">IFERROR(__xludf.DUMMYFUNCTION("""COMPUTED_VALUE"""),"Poder Ejecutivo Provincial")</f>
        <v>Poder Ejecutivo Provincial</v>
      </c>
      <c r="M668" s="20" t="str">
        <f ca="1">IFERROR(__xludf.DUMMYFUNCTION("""COMPUTED_VALUE"""),"Modificando el radio municipal de la localidad de Pueblo Italiano, Dpto. Unión")</f>
        <v>Modificando el radio municipal de la localidad de Pueblo Italiano, Dpto. Unión</v>
      </c>
      <c r="N668" s="20" t="str">
        <f ca="1">IFERROR(__xludf.DUMMYFUNCTION("""COMPUTED_VALUE"""),"NO")</f>
        <v>NO</v>
      </c>
      <c r="O668" s="20" t="str">
        <f ca="1">IFERROR(__xludf.DUMMYFUNCTION("""COMPUTED_VALUE"""),"NO")</f>
        <v>NO</v>
      </c>
      <c r="P668" s="20">
        <f ca="1">IFERROR(__xludf.DUMMYFUNCTION("""COMPUTED_VALUE"""),0)</f>
        <v>0</v>
      </c>
      <c r="Q668" s="113" t="str">
        <f ca="1">IFERROR(__xludf.DUMMYFUNCTION("""COMPUTED_VALUE"""),"https://gld.legislaturacba.gob.ar/_cdd/api/Documento/descargar?guid=0da34b1d-a465-4946-9982-8e6af3c9425c&amp;token=4oQ5dYGgacrp_1YuZUZLTNxoSHUEN4c1Vnk9dOPd1beVpokZqIIQIOGGkwU44Tk0M6H7FddGdUvuQ4AOFlATW8CodsQActh2NlRk5_He1VjKqxRf7GbHU-a_BYHi4DZm5Ax_iVkDyHaODlMw"&amp;"-Y7UVgxqg29zsFC_Mk36UWM84Tf6_QlgEXk0cSIfwJr5DqsvilcGonwIVNT7WSmNgCqKInzpaeuycyT2DXRPKRUD2wc7Xnu3P39r28VV4gyjQwbO")</f>
        <v>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v>
      </c>
      <c r="R668" s="113" t="str">
        <f ca="1">IFERROR(__xludf.DUMMYFUNCTION("""COMPUTED_VALUE"""),"https://www.youtube.com/watch?v=Nc1KP6_cm-U")</f>
        <v>https://www.youtube.com/watch?v=Nc1KP6_cm-U</v>
      </c>
      <c r="S668" s="113" t="str">
        <f ca="1">IFERROR(__xludf.DUMMYFUNCTION("""COMPUTED_VALUE"""),"https://gld.legislaturacba.gob.ar/Publics/Actas.aspx?id=T-RA1y7D3Ww=")</f>
        <v>https://gld.legislaturacba.gob.ar/Publics/Actas.aspx?id=T-RA1y7D3Ww=</v>
      </c>
      <c r="T668" s="99">
        <f t="shared" ca="1" si="0"/>
        <v>0</v>
      </c>
    </row>
    <row r="669" spans="1:20">
      <c r="A669" s="20">
        <f ca="1">IFERROR(__xludf.DUMMYFUNCTION("""COMPUTED_VALUE"""),173)</f>
        <v>173</v>
      </c>
      <c r="B669" s="20">
        <f ca="1">IFERROR(__xludf.DUMMYFUNCTION("""COMPUTED_VALUE"""),2022)</f>
        <v>2022</v>
      </c>
      <c r="C669" s="20" t="str">
        <f ca="1">IFERROR(__xludf.DUMMYFUNCTION("""COMPUTED_VALUE"""),"PRESENCIAL")</f>
        <v>PRESENCIAL</v>
      </c>
      <c r="D669" s="108">
        <f ca="1">IFERROR(__xludf.DUMMYFUNCTION("""COMPUTED_VALUE"""),44860)</f>
        <v>44860</v>
      </c>
      <c r="E669" s="20" t="str">
        <f ca="1">IFERROR(__xludf.DUMMYFUNCTION("""COMPUTED_VALUE"""),"SI")</f>
        <v>SI</v>
      </c>
      <c r="F669" s="20" t="str">
        <f ca="1">IFERROR(__xludf.DUMMYFUNCTION("""COMPUTED_VALUE"""),"SALUD HUMANA;DERECHOS HUMANOS Y DESARROLLO SOCIAL;DEPORTES Y RECREACIÓN")</f>
        <v>SALUD HUMANA;DERECHOS HUMANOS Y DESARROLLO SOCIAL;DEPORTES Y RECREACIÓN</v>
      </c>
      <c r="G669" s="20">
        <f ca="1">IFERROR(__xludf.DUMMYFUNCTION("""COMPUTED_VALUE"""),3)</f>
        <v>3</v>
      </c>
      <c r="H669" s="20">
        <f ca="1">IFERROR(__xludf.DUMMYFUNCTION("""COMPUTED_VALUE"""),1)</f>
        <v>1</v>
      </c>
      <c r="I669" s="20">
        <f ca="1">IFERROR(__xludf.DUMMYFUNCTION("""COMPUTED_VALUE"""),1)</f>
        <v>1</v>
      </c>
      <c r="J669" s="20" t="str">
        <f ca="1">IFERROR(__xludf.DUMMYFUNCTION("""COMPUTED_VALUE"""),"NA")</f>
        <v>NA</v>
      </c>
      <c r="K669" s="20" t="str">
        <f ca="1">IFERROR(__xludf.DUMMYFUNCTION("""COMPUTED_VALUE"""),"NA")</f>
        <v>NA</v>
      </c>
      <c r="L669" s="20" t="str">
        <f ca="1">IFERROR(__xludf.DUMMYFUNCTION("""COMPUTED_VALUE"""),"NA")</f>
        <v>NA</v>
      </c>
      <c r="M669" s="20" t="str">
        <f ca="1">IFERROR(__xludf.DUMMYFUNCTION("""COMPUTED_VALUE"""),"Visita al Emprendimiento de Panaderia y Pastelería “Masamano”, apoyado por la Fundación Empate, sito en calle Rector León Morra 67, Barrio Juniors de esta ciudad de Córdoba.  ")</f>
        <v xml:space="preserve">Visita al Emprendimiento de Panaderia y Pastelería “Masamano”, apoyado por la Fundación Empate, sito en calle Rector León Morra 67, Barrio Juniors de esta ciudad de Córdoba.  </v>
      </c>
      <c r="N669" s="20" t="str">
        <f ca="1">IFERROR(__xludf.DUMMYFUNCTION("""COMPUTED_VALUE"""),"NA")</f>
        <v>NA</v>
      </c>
      <c r="O669" s="20" t="str">
        <f ca="1">IFERROR(__xludf.DUMMYFUNCTION("""COMPUTED_VALUE"""),"NO")</f>
        <v>NO</v>
      </c>
      <c r="P669" s="20">
        <f ca="1">IFERROR(__xludf.DUMMYFUNCTION("""COMPUTED_VALUE"""),0)</f>
        <v>0</v>
      </c>
      <c r="Q669" s="20" t="str">
        <f ca="1">IFERROR(__xludf.DUMMYFUNCTION("""COMPUTED_VALUE"""),"NA")</f>
        <v>NA</v>
      </c>
      <c r="R669" s="20" t="str">
        <f ca="1">IFERROR(__xludf.DUMMYFUNCTION("""COMPUTED_VALUE"""),"NA")</f>
        <v>NA</v>
      </c>
      <c r="S669" s="113" t="str">
        <f ca="1">IFERROR(__xludf.DUMMYFUNCTION("""COMPUTED_VALUE"""),"https://gld.legislaturacba.gob.ar/Publics/Actas.aspx?id=kvhAyvHGT28=;https://gld.legislaturacba.gob.ar/Publics/Actas.aspx?id=QAMrCSS2804=;https://gld.legislaturacba.gob.ar/Publics/Actas.aspx?id=BCBlV9g1fKE=")</f>
        <v>https://gld.legislaturacba.gob.ar/Publics/Actas.aspx?id=kvhAyvHGT28=;https://gld.legislaturacba.gob.ar/Publics/Actas.aspx?id=QAMrCSS2804=;https://gld.legislaturacba.gob.ar/Publics/Actas.aspx?id=BCBlV9g1fKE=</v>
      </c>
      <c r="T669" s="99">
        <f t="shared" ca="1" si="0"/>
        <v>0</v>
      </c>
    </row>
    <row r="670" spans="1:20">
      <c r="A670" s="20">
        <f ca="1">IFERROR(__xludf.DUMMYFUNCTION("""COMPUTED_VALUE"""),174)</f>
        <v>174</v>
      </c>
      <c r="B670" s="20">
        <f ca="1">IFERROR(__xludf.DUMMYFUNCTION("""COMPUTED_VALUE"""),2022)</f>
        <v>2022</v>
      </c>
      <c r="C670" s="20" t="str">
        <f ca="1">IFERROR(__xludf.DUMMYFUNCTION("""COMPUTED_VALUE"""),"VIRTUAL")</f>
        <v>VIRTUAL</v>
      </c>
      <c r="D670" s="108">
        <f ca="1">IFERROR(__xludf.DUMMYFUNCTION("""COMPUTED_VALUE"""),44861)</f>
        <v>44861</v>
      </c>
      <c r="E670" s="20" t="str">
        <f ca="1">IFERROR(__xludf.DUMMYFUNCTION("""COMPUTED_VALUE"""),"NO")</f>
        <v>NO</v>
      </c>
      <c r="F670" s="20" t="str">
        <f ca="1">IFERROR(__xludf.DUMMYFUNCTION("""COMPUTED_VALUE"""),"ASUNTOS CONSTITUCIONALES, JUSTICIA Y ACUERDOS")</f>
        <v>ASUNTOS CONSTITUCIONALES, JUSTICIA Y ACUERDOS</v>
      </c>
      <c r="G670" s="20">
        <f ca="1">IFERROR(__xludf.DUMMYFUNCTION("""COMPUTED_VALUE"""),1)</f>
        <v>1</v>
      </c>
      <c r="H670" s="20">
        <f ca="1">IFERROR(__xludf.DUMMYFUNCTION("""COMPUTED_VALUE"""),5)</f>
        <v>5</v>
      </c>
      <c r="I670" s="20">
        <f ca="1">IFERROR(__xludf.DUMMYFUNCTION("""COMPUTED_VALUE"""),1)</f>
        <v>1</v>
      </c>
      <c r="J670" s="20" t="str">
        <f ca="1">IFERROR(__xludf.DUMMYFUNCTION("""COMPUTED_VALUE"""),"Pliego")</f>
        <v>Pliego</v>
      </c>
      <c r="K670" s="20">
        <f ca="1">IFERROR(__xludf.DUMMYFUNCTION("""COMPUTED_VALUE"""),36276)</f>
        <v>36276</v>
      </c>
      <c r="L670" s="20" t="str">
        <f ca="1">IFERROR(__xludf.DUMMYFUNCTION("""COMPUTED_VALUE"""),"Poder Ejecutivo Provincial")</f>
        <v>Poder Ejecutivo Provincial</v>
      </c>
      <c r="M670" s="20" t="str">
        <f ca="1">IFERROR(__xludf.DUMMYFUNCTION("""COMPUTED_VALUE"""),"Solicitando acuerdo para designar a la abogada Cinthia Alicia Coppa como Jueza de Conciliación y del Trabajo en el Juzgado de Conciliación y Trabajo de Undécima Nominación, perteneciente a la Primera Circunscripción Judicial con asiento en la ciudad de Có"&amp;"rdoba. ")</f>
        <v xml:space="preserve">Solicitando acuerdo para designar a la abogada Cinthia Alicia Coppa como Jueza de Conciliación y del Trabajo en el Juzgado de Conciliación y Trabajo de Undécima Nominación, perteneciente a la Primera Circunscripción Judicial con asiento en la ciudad de Córdoba. </v>
      </c>
      <c r="N670" s="20" t="str">
        <f ca="1">IFERROR(__xludf.DUMMYFUNCTION("""COMPUTED_VALUE"""),"SI")</f>
        <v>SI</v>
      </c>
      <c r="O670" s="20" t="str">
        <f ca="1">IFERROR(__xludf.DUMMYFUNCTION("""COMPUTED_VALUE"""),"SI")</f>
        <v>SI</v>
      </c>
      <c r="P670" s="20">
        <f ca="1">IFERROR(__xludf.DUMMYFUNCTION("""COMPUTED_VALUE"""),3)</f>
        <v>3</v>
      </c>
      <c r="Q670" s="113" t="str">
        <f ca="1">IFERROR(__xludf.DUMMYFUNCTION("""COMPUTED_VALUE"""),"https://gld.legislaturacba.gob.ar/_cdd/api/Documento/descargar?guid=f5778049-e4b9-4153-aede-c96c4c379e77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v>
      </c>
      <c r="R670" s="113" t="str">
        <f ca="1">IFERROR(__xludf.DUMMYFUNCTION("""COMPUTED_VALUE"""),"https://www.youtube.com/watch?v=N1mekePlvfU")</f>
        <v>https://www.youtube.com/watch?v=N1mekePlvfU</v>
      </c>
      <c r="S670" s="113" t="str">
        <f ca="1">IFERROR(__xludf.DUMMYFUNCTION("""COMPUTED_VALUE"""),"https://gld.legislaturacba.gob.ar/Publics/Actas.aspx?id=BYe-zBLD-cE=")</f>
        <v>https://gld.legislaturacba.gob.ar/Publics/Actas.aspx?id=BYe-zBLD-cE=</v>
      </c>
      <c r="T670" s="99">
        <f t="shared" ca="1" si="0"/>
        <v>0</v>
      </c>
    </row>
    <row r="671" spans="1:20">
      <c r="A671" s="20">
        <f ca="1">IFERROR(__xludf.DUMMYFUNCTION("""COMPUTED_VALUE"""),175)</f>
        <v>175</v>
      </c>
      <c r="B671" s="20">
        <f ca="1">IFERROR(__xludf.DUMMYFUNCTION("""COMPUTED_VALUE"""),2022)</f>
        <v>2022</v>
      </c>
      <c r="C671" s="20" t="str">
        <f ca="1">IFERROR(__xludf.DUMMYFUNCTION("""COMPUTED_VALUE"""),"VIRTUAL")</f>
        <v>VIRTUAL</v>
      </c>
      <c r="D671" s="108">
        <f ca="1">IFERROR(__xludf.DUMMYFUNCTION("""COMPUTED_VALUE"""),44861)</f>
        <v>44861</v>
      </c>
      <c r="E671" s="20" t="str">
        <f ca="1">IFERROR(__xludf.DUMMYFUNCTION("""COMPUTED_VALUE"""),"NO")</f>
        <v>NO</v>
      </c>
      <c r="F671" s="20" t="str">
        <f ca="1">IFERROR(__xludf.DUMMYFUNCTION("""COMPUTED_VALUE"""),"ECONOMÍA, PRESUPUESTO, GESTIÓN PÚBLICA E INNOVACIÓN")</f>
        <v>ECONOMÍA, PRESUPUESTO, GESTIÓN PÚBLICA E INNOVACIÓN</v>
      </c>
      <c r="G671" s="20">
        <f ca="1">IFERROR(__xludf.DUMMYFUNCTION("""COMPUTED_VALUE"""),1)</f>
        <v>1</v>
      </c>
      <c r="H671" s="20">
        <f ca="1">IFERROR(__xludf.DUMMYFUNCTION("""COMPUTED_VALUE"""),1)</f>
        <v>1</v>
      </c>
      <c r="I671" s="20">
        <f ca="1">IFERROR(__xludf.DUMMYFUNCTION("""COMPUTED_VALUE"""),1)</f>
        <v>1</v>
      </c>
      <c r="J671" s="20" t="str">
        <f ca="1">IFERROR(__xludf.DUMMYFUNCTION("""COMPUTED_VALUE"""),"Ley")</f>
        <v>Ley</v>
      </c>
      <c r="K671" s="20">
        <f ca="1">IFERROR(__xludf.DUMMYFUNCTION("""COMPUTED_VALUE"""),36332)</f>
        <v>36332</v>
      </c>
      <c r="L671" s="20" t="str">
        <f ca="1">IFERROR(__xludf.DUMMYFUNCTION("""COMPUTED_VALUE"""),"Poder Ejecutivo Provincial")</f>
        <v>Poder Ejecutivo Provincial</v>
      </c>
      <c r="M671" s="20" t="str">
        <f ca="1">IFERROR(__xludf.DUMMYFUNCTION("""COMPUTED_VALUE"""),"Estableciendo liberar del pago del Impuesto sobre los Ingresos Brutos a quienes efectúen la normalización de tenencia de moneda extranjera y/o de moneda nacional en las condiciones previstas en el Capítulo Único del Título II de la Ley N° 27.613, el que f"&amp;"uera restablecido por Ley N° 27.679 y su marco regulatorio.")</f>
        <v>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v>
      </c>
      <c r="N671" s="20" t="str">
        <f ca="1">IFERROR(__xludf.DUMMYFUNCTION("""COMPUTED_VALUE"""),"NO")</f>
        <v>NO</v>
      </c>
      <c r="O671" s="20" t="str">
        <f ca="1">IFERROR(__xludf.DUMMYFUNCTION("""COMPUTED_VALUE"""),"NO")</f>
        <v>NO</v>
      </c>
      <c r="P671" s="20">
        <f ca="1">IFERROR(__xludf.DUMMYFUNCTION("""COMPUTED_VALUE"""),0)</f>
        <v>0</v>
      </c>
      <c r="Q671" s="113" t="str">
        <f ca="1">IFERROR(__xludf.DUMMYFUNCTION("""COMPUTED_VALUE"""),"https://gld.legislaturacba.gob.ar/_cdd/api/Documento/descargar?guid=6e5aa4c0-0634-4bf8-b6ef-9a920f699f07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v>
      </c>
      <c r="R671" s="113" t="str">
        <f ca="1">IFERROR(__xludf.DUMMYFUNCTION("""COMPUTED_VALUE"""),"https://www.youtube.com/watch?v=KTg6feO58e4")</f>
        <v>https://www.youtube.com/watch?v=KTg6feO58e4</v>
      </c>
      <c r="S671" s="113" t="str">
        <f ca="1">IFERROR(__xludf.DUMMYFUNCTION("""COMPUTED_VALUE"""),"https://gld.legislaturacba.gob.ar/Publics/Actas.aspx?id=PWPQHaKv77c=")</f>
        <v>https://gld.legislaturacba.gob.ar/Publics/Actas.aspx?id=PWPQHaKv77c=</v>
      </c>
      <c r="T671" s="99">
        <f t="shared" ca="1" si="0"/>
        <v>0</v>
      </c>
    </row>
    <row r="672" spans="1:20">
      <c r="A672" s="20">
        <f ca="1">IFERROR(__xludf.DUMMYFUNCTION("""COMPUTED_VALUE"""),176)</f>
        <v>176</v>
      </c>
      <c r="B672" s="20">
        <f ca="1">IFERROR(__xludf.DUMMYFUNCTION("""COMPUTED_VALUE"""),2022)</f>
        <v>2022</v>
      </c>
      <c r="C672" s="20" t="str">
        <f ca="1">IFERROR(__xludf.DUMMYFUNCTION("""COMPUTED_VALUE"""),"VIRTUAL")</f>
        <v>VIRTUAL</v>
      </c>
      <c r="D672" s="108">
        <f ca="1">IFERROR(__xludf.DUMMYFUNCTION("""COMPUTED_VALUE"""),44861)</f>
        <v>44861</v>
      </c>
      <c r="E672" s="20" t="str">
        <f ca="1">IFERROR(__xludf.DUMMYFUNCTION("""COMPUTED_VALUE"""),"NO")</f>
        <v>NO</v>
      </c>
      <c r="F672" s="20" t="str">
        <f ca="1">IFERROR(__xludf.DUMMYFUNCTION("""COMPUTED_VALUE"""),"EDUCACIÓN, CULTURA, CIENCIA, TECNOLOGÍA E INFORMÁTICA")</f>
        <v>EDUCACIÓN, CULTURA, CIENCIA, TECNOLOGÍA E INFORMÁTICA</v>
      </c>
      <c r="G672" s="20">
        <f ca="1">IFERROR(__xludf.DUMMYFUNCTION("""COMPUTED_VALUE"""),1)</f>
        <v>1</v>
      </c>
      <c r="H672" s="20">
        <f ca="1">IFERROR(__xludf.DUMMYFUNCTION("""COMPUTED_VALUE"""),1)</f>
        <v>1</v>
      </c>
      <c r="I672" s="20">
        <f ca="1">IFERROR(__xludf.DUMMYFUNCTION("""COMPUTED_VALUE"""),1)</f>
        <v>1</v>
      </c>
      <c r="J672" s="20" t="str">
        <f ca="1">IFERROR(__xludf.DUMMYFUNCTION("""COMPUTED_VALUE"""),"Ley")</f>
        <v>Ley</v>
      </c>
      <c r="K672" s="20">
        <f ca="1">IFERROR(__xludf.DUMMYFUNCTION("""COMPUTED_VALUE"""),35813)</f>
        <v>35813</v>
      </c>
      <c r="L672" s="20" t="str">
        <f ca="1">IFERROR(__xludf.DUMMYFUNCTION("""COMPUTED_VALUE"""),"Poder Legislativo Provincial")</f>
        <v>Poder Legislativo Provincial</v>
      </c>
      <c r="M672" s="20" t="str">
        <f ca="1">IFERROR(__xludf.DUMMYFUNCTION("""COMPUTED_VALUE"""),"Declarando de Interés Provincial los Activos Digitales Gubernamentales que forman parte del dominio del Estado como bienes inmateriales, regulando el uso, administración, protección, resguardo y traspaso de los mismos, con el objeto de evitar la pérdida d"&amp;"e información pública. ")</f>
        <v xml:space="preserve">Declarando de Interés Provincial los Activos Digitales Gubernamentales que forman parte del dominio del Estado como bienes inmateriales, regulando el uso, administración, protección, resguardo y traspaso de los mismos, con el objeto de evitar la pérdida de información pública. </v>
      </c>
      <c r="N672" s="20" t="str">
        <f ca="1">IFERROR(__xludf.DUMMYFUNCTION("""COMPUTED_VALUE"""),"NO")</f>
        <v>NO</v>
      </c>
      <c r="O672" s="20" t="str">
        <f ca="1">IFERROR(__xludf.DUMMYFUNCTION("""COMPUTED_VALUE"""),"SI")</f>
        <v>SI</v>
      </c>
      <c r="P672" s="20">
        <f ca="1">IFERROR(__xludf.DUMMYFUNCTION("""COMPUTED_VALUE"""),3)</f>
        <v>3</v>
      </c>
      <c r="Q672" s="113" t="str">
        <f ca="1">IFERROR(__xludf.DUMMYFUNCTION("""COMPUTED_VALUE"""),"https://gld.legislaturacba.gob.ar/_cdd/api/Documento/descargar?guid=9dc6a8ca-8b28-4851-94f3-0618a484efbe&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v>
      </c>
      <c r="R672" s="113" t="str">
        <f ca="1">IFERROR(__xludf.DUMMYFUNCTION("""COMPUTED_VALUE"""),"https://www.youtube.com/watch?v=q74DYCrTEGc")</f>
        <v>https://www.youtube.com/watch?v=q74DYCrTEGc</v>
      </c>
      <c r="S672" s="113" t="str">
        <f ca="1">IFERROR(__xludf.DUMMYFUNCTION("""COMPUTED_VALUE"""),"https://gld.legislaturacba.gob.ar/Publics/Actas.aspx?id=sgu0b_DBy18=")</f>
        <v>https://gld.legislaturacba.gob.ar/Publics/Actas.aspx?id=sgu0b_DBy18=</v>
      </c>
      <c r="T672" s="99">
        <f t="shared" ca="1" si="0"/>
        <v>0</v>
      </c>
    </row>
    <row r="673" spans="1:20">
      <c r="A673" s="20">
        <f ca="1">IFERROR(__xludf.DUMMYFUNCTION("""COMPUTED_VALUE"""),177)</f>
        <v>177</v>
      </c>
      <c r="B673" s="20">
        <f ca="1">IFERROR(__xludf.DUMMYFUNCTION("""COMPUTED_VALUE"""),2022)</f>
        <v>2022</v>
      </c>
      <c r="C673" s="20" t="str">
        <f ca="1">IFERROR(__xludf.DUMMYFUNCTION("""COMPUTED_VALUE"""),"SEMIPRESENCIAL")</f>
        <v>SEMIPRESENCIAL</v>
      </c>
      <c r="D673" s="106">
        <f ca="1">IFERROR(__xludf.DUMMYFUNCTION("""COMPUTED_VALUE"""),44866)</f>
        <v>44866</v>
      </c>
      <c r="E673" s="20" t="str">
        <f ca="1">IFERROR(__xludf.DUMMYFUNCTION("""COMPUTED_VALUE"""),"NO")</f>
        <v>NO</v>
      </c>
      <c r="F673" s="20" t="str">
        <f ca="1">IFERROR(__xludf.DUMMYFUNCTION("""COMPUTED_VALUE"""),"ASUNTOS CONSTITUCIONALES, JUSTICIA Y ACUERDOS")</f>
        <v>ASUNTOS CONSTITUCIONALES, JUSTICIA Y ACUERDOS</v>
      </c>
      <c r="G673" s="20">
        <f ca="1">IFERROR(__xludf.DUMMYFUNCTION("""COMPUTED_VALUE"""),1)</f>
        <v>1</v>
      </c>
      <c r="H673" s="20">
        <f ca="1">IFERROR(__xludf.DUMMYFUNCTION("""COMPUTED_VALUE"""),2)</f>
        <v>2</v>
      </c>
      <c r="I673" s="20">
        <f ca="1">IFERROR(__xludf.DUMMYFUNCTION("""COMPUTED_VALUE"""),1)</f>
        <v>1</v>
      </c>
      <c r="J673" s="20" t="str">
        <f ca="1">IFERROR(__xludf.DUMMYFUNCTION("""COMPUTED_VALUE"""),"Ley")</f>
        <v>Ley</v>
      </c>
      <c r="K673" s="20">
        <f ca="1">IFERROR(__xludf.DUMMYFUNCTION("""COMPUTED_VALUE"""),35604)</f>
        <v>35604</v>
      </c>
      <c r="L673" s="20" t="str">
        <f ca="1">IFERROR(__xludf.DUMMYFUNCTION("""COMPUTED_VALUE"""),"Poder Legislativo Provincial")</f>
        <v>Poder Legislativo Provincial</v>
      </c>
      <c r="M673" s="20" t="str">
        <f ca="1">IFERROR(__xludf.DUMMYFUNCTION("""COMPUTED_VALUE"""),"Modificando la denominación del Capítulo I del Título III del libro II de la Ley N° 10326 -Código de Convivencia Ciudadana-, e incorporando los artículos 68 ter y quáter, referidos al cuidado de la higiene y las deposiciones en espacios públicos y privado"&amp;"s, respectivamente; el artículo 80 bis sobre desórdenes públicos y modificando los artículos 105 -conducción peligrosa- y 125 -promoción de la acción-. ")</f>
        <v xml:space="preserve">Modificando la denominación del Capítulo I del Título III del libro II de la Ley N° 10326 -Código de Convivencia Ciudadana-, e incorporando los artículos 68 ter y quáter, referidos al cuidado de la higiene y las deposiciones en espacios públicos y privados, respectivamente; el artículo 80 bis sobre desórdenes públicos y modificando los artículos 105 -conducción peligrosa- y 125 -promoción de la acción-. </v>
      </c>
      <c r="N673" s="20" t="str">
        <f ca="1">IFERROR(__xludf.DUMMYFUNCTION("""COMPUTED_VALUE"""),"NO")</f>
        <v>NO</v>
      </c>
      <c r="O673" s="20" t="str">
        <f ca="1">IFERROR(__xludf.DUMMYFUNCTION("""COMPUTED_VALUE"""),"SI")</f>
        <v>SI</v>
      </c>
      <c r="P673" s="20">
        <f ca="1">IFERROR(__xludf.DUMMYFUNCTION("""COMPUTED_VALUE"""),6)</f>
        <v>6</v>
      </c>
      <c r="Q673" s="113" t="str">
        <f ca="1">IFERROR(__xludf.DUMMYFUNCTION("""COMPUTED_VALUE"""),"https://gld.legislaturacba.gob.ar/_cdd/api/Documento/descargar?guid=2143f9f1-c869-4ebc-8762-51af559541bb&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v>
      </c>
      <c r="R673" s="113" t="str">
        <f ca="1">IFERROR(__xludf.DUMMYFUNCTION("""COMPUTED_VALUE"""),"https://www.youtube.com/watch?v=qrwK4xJ10hs")</f>
        <v>https://www.youtube.com/watch?v=qrwK4xJ10hs</v>
      </c>
      <c r="S673" s="113" t="str">
        <f ca="1">IFERROR(__xludf.DUMMYFUNCTION("""COMPUTED_VALUE"""),"https://gld.legislaturacba.gob.ar/Publics/Actas.aspx?id=rI-Wju-o9Lw=")</f>
        <v>https://gld.legislaturacba.gob.ar/Publics/Actas.aspx?id=rI-Wju-o9Lw=</v>
      </c>
      <c r="T673" s="99">
        <f t="shared" ca="1" si="0"/>
        <v>0</v>
      </c>
    </row>
    <row r="674" spans="1:20">
      <c r="A674" s="20">
        <f ca="1">IFERROR(__xludf.DUMMYFUNCTION("""COMPUTED_VALUE"""),178)</f>
        <v>178</v>
      </c>
      <c r="B674" s="20">
        <f ca="1">IFERROR(__xludf.DUMMYFUNCTION("""COMPUTED_VALUE"""),2022)</f>
        <v>2022</v>
      </c>
      <c r="C674" s="20" t="str">
        <f ca="1">IFERROR(__xludf.DUMMYFUNCTION("""COMPUTED_VALUE"""),"VIRTUAL")</f>
        <v>VIRTUAL</v>
      </c>
      <c r="D674" s="106">
        <f ca="1">IFERROR(__xludf.DUMMYFUNCTION("""COMPUTED_VALUE"""),44866)</f>
        <v>44866</v>
      </c>
      <c r="E674" s="20" t="str">
        <f ca="1">IFERROR(__xludf.DUMMYFUNCTION("""COMPUTED_VALUE"""),"NO")</f>
        <v>NO</v>
      </c>
      <c r="F674" s="20" t="str">
        <f ca="1">IFERROR(__xludf.DUMMYFUNCTION("""COMPUTED_VALUE"""),"ECONOMÍA, PRESUPUESTO, GESTIÓN PÚBLICA E INNOVACIÓN")</f>
        <v>ECONOMÍA, PRESUPUESTO, GESTIÓN PÚBLICA E INNOVACIÓN</v>
      </c>
      <c r="G674" s="20">
        <f ca="1">IFERROR(__xludf.DUMMYFUNCTION("""COMPUTED_VALUE"""),1)</f>
        <v>1</v>
      </c>
      <c r="H674" s="20">
        <f ca="1">IFERROR(__xludf.DUMMYFUNCTION("""COMPUTED_VALUE"""),1)</f>
        <v>1</v>
      </c>
      <c r="I674" s="20">
        <f ca="1">IFERROR(__xludf.DUMMYFUNCTION("""COMPUTED_VALUE"""),1)</f>
        <v>1</v>
      </c>
      <c r="J674" s="20" t="str">
        <f ca="1">IFERROR(__xludf.DUMMYFUNCTION("""COMPUTED_VALUE"""),"Ley")</f>
        <v>Ley</v>
      </c>
      <c r="K674" s="20">
        <f ca="1">IFERROR(__xludf.DUMMYFUNCTION("""COMPUTED_VALUE"""),36332)</f>
        <v>36332</v>
      </c>
      <c r="L674" s="20" t="str">
        <f ca="1">IFERROR(__xludf.DUMMYFUNCTION("""COMPUTED_VALUE"""),"Poder Ejecutivo Provincial")</f>
        <v>Poder Ejecutivo Provincial</v>
      </c>
      <c r="M674" s="20" t="str">
        <f ca="1">IFERROR(__xludf.DUMMYFUNCTION("""COMPUTED_VALUE"""),"Estableciendo liberar del pago del Impuesto sobre los Ingresos Brutos a quienes efectúen la normalización de tenencia de moneda extranjera y/o de moneda nacional en las condiciones previstas en el Capítulo Único del Título II de la Ley N° 27.613, el que f"&amp;"uera restablecido por Ley N° 27.679 y su marco regulatorio.")</f>
        <v>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v>
      </c>
      <c r="N674" s="20" t="str">
        <f ca="1">IFERROR(__xludf.DUMMYFUNCTION("""COMPUTED_VALUE"""),"SI")</f>
        <v>SI</v>
      </c>
      <c r="O674" s="20" t="str">
        <f ca="1">IFERROR(__xludf.DUMMYFUNCTION("""COMPUTED_VALUE"""),"SI")</f>
        <v>SI</v>
      </c>
      <c r="P674" s="20">
        <f ca="1">IFERROR(__xludf.DUMMYFUNCTION("""COMPUTED_VALUE"""),1)</f>
        <v>1</v>
      </c>
      <c r="Q674" s="113" t="str">
        <f ca="1">IFERROR(__xludf.DUMMYFUNCTION("""COMPUTED_VALUE"""),"https://gld.legislaturacba.gob.ar/_cdd/api/Documento/descargar?guid=0feb474c-55d9-4398-bf4d-599a643cd0b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v>
      </c>
      <c r="R674" s="113" t="str">
        <f ca="1">IFERROR(__xludf.DUMMYFUNCTION("""COMPUTED_VALUE"""),"https://www.youtube.com/watch?v=0FThba7H7Sk")</f>
        <v>https://www.youtube.com/watch?v=0FThba7H7Sk</v>
      </c>
      <c r="S674" s="113" t="str">
        <f ca="1">IFERROR(__xludf.DUMMYFUNCTION("""COMPUTED_VALUE"""),"https://gld.legislaturacba.gob.ar/Publics/Actas.aspx?id=uFx4CgbAQ7s=")</f>
        <v>https://gld.legislaturacba.gob.ar/Publics/Actas.aspx?id=uFx4CgbAQ7s=</v>
      </c>
      <c r="T674" s="99">
        <f t="shared" ca="1" si="0"/>
        <v>0</v>
      </c>
    </row>
    <row r="675" spans="1:20">
      <c r="A675" s="20">
        <f ca="1">IFERROR(__xludf.DUMMYFUNCTION("""COMPUTED_VALUE"""),179)</f>
        <v>179</v>
      </c>
      <c r="B675" s="20">
        <f ca="1">IFERROR(__xludf.DUMMYFUNCTION("""COMPUTED_VALUE"""),2022)</f>
        <v>2022</v>
      </c>
      <c r="C675" s="20" t="str">
        <f ca="1">IFERROR(__xludf.DUMMYFUNCTION("""COMPUTED_VALUE"""),"VIRTUAL")</f>
        <v>VIRTUAL</v>
      </c>
      <c r="D675" s="106">
        <f ca="1">IFERROR(__xludf.DUMMYFUNCTION("""COMPUTED_VALUE"""),44866)</f>
        <v>44866</v>
      </c>
      <c r="E675" s="20" t="str">
        <f ca="1">IFERROR(__xludf.DUMMYFUNCTION("""COMPUTED_VALUE"""),"NO")</f>
        <v>NO</v>
      </c>
      <c r="F675" s="20" t="str">
        <f ca="1">IFERROR(__xludf.DUMMYFUNCTION("""COMPUTED_VALUE"""),"ASUNTOS INSTITUCIONALES, MUNICIPALES Y COMUNALES")</f>
        <v>ASUNTOS INSTITUCIONALES, MUNICIPALES Y COMUNALES</v>
      </c>
      <c r="G675" s="20">
        <f ca="1">IFERROR(__xludf.DUMMYFUNCTION("""COMPUTED_VALUE"""),1)</f>
        <v>1</v>
      </c>
      <c r="H675" s="20">
        <f ca="1">IFERROR(__xludf.DUMMYFUNCTION("""COMPUTED_VALUE"""),1)</f>
        <v>1</v>
      </c>
      <c r="I675" s="20">
        <f ca="1">IFERROR(__xludf.DUMMYFUNCTION("""COMPUTED_VALUE"""),1)</f>
        <v>1</v>
      </c>
      <c r="J675" s="20" t="str">
        <f ca="1">IFERROR(__xludf.DUMMYFUNCTION("""COMPUTED_VALUE"""),"Ley")</f>
        <v>Ley</v>
      </c>
      <c r="K675" s="20">
        <f ca="1">IFERROR(__xludf.DUMMYFUNCTION("""COMPUTED_VALUE"""),36205)</f>
        <v>36205</v>
      </c>
      <c r="L675" s="20" t="str">
        <f ca="1">IFERROR(__xludf.DUMMYFUNCTION("""COMPUTED_VALUE"""),"Poder Ejecutivo Provincial")</f>
        <v>Poder Ejecutivo Provincial</v>
      </c>
      <c r="M675" s="20" t="str">
        <f ca="1">IFERROR(__xludf.DUMMYFUNCTION("""COMPUTED_VALUE"""),"Modificando el radio municipal de la localidad de Las Vertientes, Dpto. Río Cuarto. ")</f>
        <v xml:space="preserve">Modificando el radio municipal de la localidad de Las Vertientes, Dpto. Río Cuarto. </v>
      </c>
      <c r="N675" s="20" t="str">
        <f ca="1">IFERROR(__xludf.DUMMYFUNCTION("""COMPUTED_VALUE"""),"SI")</f>
        <v>SI</v>
      </c>
      <c r="O675" s="20" t="str">
        <f ca="1">IFERROR(__xludf.DUMMYFUNCTION("""COMPUTED_VALUE"""),"SI")</f>
        <v>SI</v>
      </c>
      <c r="P675" s="20">
        <f ca="1">IFERROR(__xludf.DUMMYFUNCTION("""COMPUTED_VALUE"""),1)</f>
        <v>1</v>
      </c>
      <c r="Q675" s="113" t="str">
        <f ca="1">IFERROR(__xludf.DUMMYFUNCTION("""COMPUTED_VALUE"""),"https://gld.legislaturacba.gob.ar/_cdd/api/Documento/descargar?guid=8496584f-cb0b-413e-bfae-9078dece3381&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v>
      </c>
      <c r="R675" s="113" t="str">
        <f ca="1">IFERROR(__xludf.DUMMYFUNCTION("""COMPUTED_VALUE"""),"https://www.youtube.com/watch?v=atY_oJBj4os")</f>
        <v>https://www.youtube.com/watch?v=atY_oJBj4os</v>
      </c>
      <c r="S675" s="113" t="str">
        <f ca="1">IFERROR(__xludf.DUMMYFUNCTION("""COMPUTED_VALUE"""),"https://gld.legislaturacba.gob.ar/Publics/Actas.aspx?id=pq8n04c-NLQ=")</f>
        <v>https://gld.legislaturacba.gob.ar/Publics/Actas.aspx?id=pq8n04c-NLQ=</v>
      </c>
      <c r="T675" s="99">
        <f t="shared" ca="1" si="0"/>
        <v>0</v>
      </c>
    </row>
    <row r="676" spans="1:20">
      <c r="A676" s="20">
        <f ca="1">IFERROR(__xludf.DUMMYFUNCTION("""COMPUTED_VALUE"""),180)</f>
        <v>180</v>
      </c>
      <c r="B676" s="20">
        <f ca="1">IFERROR(__xludf.DUMMYFUNCTION("""COMPUTED_VALUE"""),2022)</f>
        <v>2022</v>
      </c>
      <c r="C676" s="20" t="str">
        <f ca="1">IFERROR(__xludf.DUMMYFUNCTION("""COMPUTED_VALUE"""),"VIRTUAL")</f>
        <v>VIRTUAL</v>
      </c>
      <c r="D676" s="106">
        <f ca="1">IFERROR(__xludf.DUMMYFUNCTION("""COMPUTED_VALUE"""),44867)</f>
        <v>44867</v>
      </c>
      <c r="E676" s="20" t="str">
        <f ca="1">IFERROR(__xludf.DUMMYFUNCTION("""COMPUTED_VALUE"""),"NO")</f>
        <v>NO</v>
      </c>
      <c r="F676" s="20" t="str">
        <f ca="1">IFERROR(__xludf.DUMMYFUNCTION("""COMPUTED_VALUE"""),"LEGISLACIÓN GENERAL")</f>
        <v>LEGISLACIÓN GENERAL</v>
      </c>
      <c r="G676" s="20">
        <f ca="1">IFERROR(__xludf.DUMMYFUNCTION("""COMPUTED_VALUE"""),1)</f>
        <v>1</v>
      </c>
      <c r="H676" s="20">
        <f ca="1">IFERROR(__xludf.DUMMYFUNCTION("""COMPUTED_VALUE"""),2)</f>
        <v>2</v>
      </c>
      <c r="I676" s="20">
        <f ca="1">IFERROR(__xludf.DUMMYFUNCTION("""COMPUTED_VALUE"""),1)</f>
        <v>1</v>
      </c>
      <c r="J676" s="20" t="str">
        <f ca="1">IFERROR(__xludf.DUMMYFUNCTION("""COMPUTED_VALUE"""),"Ley")</f>
        <v>Ley</v>
      </c>
      <c r="K676" s="20">
        <f ca="1">IFERROR(__xludf.DUMMYFUNCTION("""COMPUTED_VALUE"""),36205)</f>
        <v>36205</v>
      </c>
      <c r="L676" s="20" t="str">
        <f ca="1">IFERROR(__xludf.DUMMYFUNCTION("""COMPUTED_VALUE"""),"Poder Ejecutivo Provincial")</f>
        <v>Poder Ejecutivo Provincial</v>
      </c>
      <c r="M676" s="20" t="str">
        <f ca="1">IFERROR(__xludf.DUMMYFUNCTION("""COMPUTED_VALUE"""),"Modificando el radio municipal de la localidad de Las Vertientes, Dpto. Río Cuarto. ")</f>
        <v xml:space="preserve">Modificando el radio municipal de la localidad de Las Vertientes, Dpto. Río Cuarto. </v>
      </c>
      <c r="N676" s="20" t="str">
        <f ca="1">IFERROR(__xludf.DUMMYFUNCTION("""COMPUTED_VALUE"""),"NO")</f>
        <v>NO</v>
      </c>
      <c r="O676" s="20" t="str">
        <f ca="1">IFERROR(__xludf.DUMMYFUNCTION("""COMPUTED_VALUE"""),"NO")</f>
        <v>NO</v>
      </c>
      <c r="P676" s="20">
        <f ca="1">IFERROR(__xludf.DUMMYFUNCTION("""COMPUTED_VALUE"""),0)</f>
        <v>0</v>
      </c>
      <c r="Q676" s="113" t="str">
        <f ca="1">IFERROR(__xludf.DUMMYFUNCTION("""COMPUTED_VALUE"""),"https://gld.legislaturacba.gob.ar/_cdd/api/Documento/descargar?guid=ab024894-5981-4d04-a384-607938f44544&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v>
      </c>
      <c r="R676" s="113" t="str">
        <f ca="1">IFERROR(__xludf.DUMMYFUNCTION("""COMPUTED_VALUE"""),"https://www.youtube.com/watch?v=X_WbYExIZ58")</f>
        <v>https://www.youtube.com/watch?v=X_WbYExIZ58</v>
      </c>
      <c r="S676" s="113" t="str">
        <f ca="1">IFERROR(__xludf.DUMMYFUNCTION("""COMPUTED_VALUE"""),"https://gld.legislaturacba.gob.ar/Publics/Actas.aspx?id=77akFJ2p7bc=")</f>
        <v>https://gld.legislaturacba.gob.ar/Publics/Actas.aspx?id=77akFJ2p7bc=</v>
      </c>
      <c r="T676" s="99">
        <f t="shared" ca="1" si="0"/>
        <v>0</v>
      </c>
    </row>
    <row r="677" spans="1:20">
      <c r="A677" s="20">
        <f ca="1">IFERROR(__xludf.DUMMYFUNCTION("""COMPUTED_VALUE"""),181)</f>
        <v>181</v>
      </c>
      <c r="B677" s="20">
        <f ca="1">IFERROR(__xludf.DUMMYFUNCTION("""COMPUTED_VALUE"""),2022)</f>
        <v>2022</v>
      </c>
      <c r="C677" s="20" t="str">
        <f ca="1">IFERROR(__xludf.DUMMYFUNCTION("""COMPUTED_VALUE"""),"VIRTUAL")</f>
        <v>VIRTUAL</v>
      </c>
      <c r="D677" s="106">
        <f ca="1">IFERROR(__xludf.DUMMYFUNCTION("""COMPUTED_VALUE"""),44868)</f>
        <v>44868</v>
      </c>
      <c r="E677" s="20" t="str">
        <f ca="1">IFERROR(__xludf.DUMMYFUNCTION("""COMPUTED_VALUE"""),"NO")</f>
        <v>NO</v>
      </c>
      <c r="F677" s="20" t="str">
        <f ca="1">IFERROR(__xludf.DUMMYFUNCTION("""COMPUTED_VALUE"""),"ECONOMÍA, PRESUPUESTO, GESTIÓN PÚBLICA E INNOVACIÓN")</f>
        <v>ECONOMÍA, PRESUPUESTO, GESTIÓN PÚBLICA E INNOVACIÓN</v>
      </c>
      <c r="G677" s="20">
        <f ca="1">IFERROR(__xludf.DUMMYFUNCTION("""COMPUTED_VALUE"""),1)</f>
        <v>1</v>
      </c>
      <c r="H677" s="20">
        <f ca="1">IFERROR(__xludf.DUMMYFUNCTION("""COMPUTED_VALUE"""),1)</f>
        <v>1</v>
      </c>
      <c r="I677" s="20">
        <f ca="1">IFERROR(__xludf.DUMMYFUNCTION("""COMPUTED_VALUE"""),1)</f>
        <v>1</v>
      </c>
      <c r="J677" s="20" t="str">
        <f ca="1">IFERROR(__xludf.DUMMYFUNCTION("""COMPUTED_VALUE"""),"NA")</f>
        <v>NA</v>
      </c>
      <c r="K677" s="20" t="str">
        <f ca="1">IFERROR(__xludf.DUMMYFUNCTION("""COMPUTED_VALUE"""),"NA")</f>
        <v>NA</v>
      </c>
      <c r="L677" s="20" t="str">
        <f ca="1">IFERROR(__xludf.DUMMYFUNCTION("""COMPUTED_VALUE"""),"NA")</f>
        <v>NA</v>
      </c>
      <c r="M677" s="20" t="str">
        <f ca="1">IFERROR(__xludf.DUMMYFUNCTION("""COMPUTED_VALUE"""),"Análisis del Proyecto de Presupuesto Nacional para el año 2023 y su impacto en la provincia de Córdoba. 
Exposición a cargo de la Lic. Sofía Devalle, Directora de la Oficina Técnica de Presupuesto de la Legislatura de Córdoba")</f>
        <v>Análisis del Proyecto de Presupuesto Nacional para el año 2023 y su impacto en la provincia de Córdoba. 
Exposición a cargo de la Lic. Sofía Devalle, Directora de la Oficina Técnica de Presupuesto de la Legislatura de Córdoba</v>
      </c>
      <c r="N677" s="20" t="str">
        <f ca="1">IFERROR(__xludf.DUMMYFUNCTION("""COMPUTED_VALUE"""),"NA")</f>
        <v>NA</v>
      </c>
      <c r="O677" s="20" t="str">
        <f ca="1">IFERROR(__xludf.DUMMYFUNCTION("""COMPUTED_VALUE"""),"NO")</f>
        <v>NO</v>
      </c>
      <c r="P677" s="20">
        <f ca="1">IFERROR(__xludf.DUMMYFUNCTION("""COMPUTED_VALUE"""),0)</f>
        <v>0</v>
      </c>
      <c r="Q677" s="113" t="str">
        <f ca="1">IFERROR(__xludf.DUMMYFUNCTION("""COMPUTED_VALUE"""),"https://gld.legislaturacba.gob.ar/_cdd/api/Documento/descargar?guid=c4768d39-3806-4311-8987-87ee9ec521e9&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v>
      </c>
      <c r="R677" s="113" t="str">
        <f ca="1">IFERROR(__xludf.DUMMYFUNCTION("""COMPUTED_VALUE"""),"https://www.youtube.com/watch?v=nzvTQ6qYE6E")</f>
        <v>https://www.youtube.com/watch?v=nzvTQ6qYE6E</v>
      </c>
      <c r="S677" s="113" t="str">
        <f ca="1">IFERROR(__xludf.DUMMYFUNCTION("""COMPUTED_VALUE"""),"https://gld.legislaturacba.gob.ar/Publics/Actas.aspx?id=cofQnHSqY84=")</f>
        <v>https://gld.legislaturacba.gob.ar/Publics/Actas.aspx?id=cofQnHSqY84=</v>
      </c>
      <c r="T677" s="99">
        <f t="shared" ca="1" si="0"/>
        <v>0</v>
      </c>
    </row>
    <row r="678" spans="1:20">
      <c r="A678" s="20">
        <f ca="1">IFERROR(__xludf.DUMMYFUNCTION("""COMPUTED_VALUE"""),182)</f>
        <v>182</v>
      </c>
      <c r="B678" s="20">
        <f ca="1">IFERROR(__xludf.DUMMYFUNCTION("""COMPUTED_VALUE"""),2022)</f>
        <v>2022</v>
      </c>
      <c r="C678" s="20" t="str">
        <f ca="1">IFERROR(__xludf.DUMMYFUNCTION("""COMPUTED_VALUE"""),"VIRTUAL")</f>
        <v>VIRTUAL</v>
      </c>
      <c r="D678" s="106">
        <f ca="1">IFERROR(__xludf.DUMMYFUNCTION("""COMPUTED_VALUE"""),44873)</f>
        <v>44873</v>
      </c>
      <c r="E678" s="20" t="str">
        <f ca="1">IFERROR(__xludf.DUMMYFUNCTION("""COMPUTED_VALUE"""),"NO")</f>
        <v>NO</v>
      </c>
      <c r="F678" s="20" t="str">
        <f ca="1">IFERROR(__xludf.DUMMYFUNCTION("""COMPUTED_VALUE"""),"EQUIDAD Y LUCHA CONTRA LA VIOLENCIA DE GÉNERO")</f>
        <v>EQUIDAD Y LUCHA CONTRA LA VIOLENCIA DE GÉNERO</v>
      </c>
      <c r="G678" s="20">
        <f ca="1">IFERROR(__xludf.DUMMYFUNCTION("""COMPUTED_VALUE"""),1)</f>
        <v>1</v>
      </c>
      <c r="H678" s="20">
        <f ca="1">IFERROR(__xludf.DUMMYFUNCTION("""COMPUTED_VALUE"""),1)</f>
        <v>1</v>
      </c>
      <c r="I678" s="20">
        <f ca="1">IFERROR(__xludf.DUMMYFUNCTION("""COMPUTED_VALUE"""),1)</f>
        <v>1</v>
      </c>
      <c r="J678" s="20" t="str">
        <f ca="1">IFERROR(__xludf.DUMMYFUNCTION("""COMPUTED_VALUE"""),"Declaración")</f>
        <v>Declaración</v>
      </c>
      <c r="K678" s="20">
        <f ca="1">IFERROR(__xludf.DUMMYFUNCTION("""COMPUTED_VALUE"""),36241)</f>
        <v>36241</v>
      </c>
      <c r="L678" s="20" t="str">
        <f ca="1">IFERROR(__xludf.DUMMYFUNCTION("""COMPUTED_VALUE"""),"Poder Legislativo Provincial")</f>
        <v>Poder Legislativo Provincial</v>
      </c>
      <c r="M678" s="20" t="str">
        <f ca="1">IFERROR(__xludf.DUMMYFUNCTION("""COMPUTED_VALUE"""),"Beneplácito por la 3ª Feria Bigger, a desarrollarse el día 13 de noviembre en la ciudad de Córdoba")</f>
        <v>Beneplácito por la 3ª Feria Bigger, a desarrollarse el día 13 de noviembre en la ciudad de Córdoba</v>
      </c>
      <c r="N678" s="20" t="str">
        <f ca="1">IFERROR(__xludf.DUMMYFUNCTION("""COMPUTED_VALUE"""),"NO")</f>
        <v>NO</v>
      </c>
      <c r="O678" s="20" t="str">
        <f ca="1">IFERROR(__xludf.DUMMYFUNCTION("""COMPUTED_VALUE"""),"SI")</f>
        <v>SI</v>
      </c>
      <c r="P678" s="20">
        <f ca="1">IFERROR(__xludf.DUMMYFUNCTION("""COMPUTED_VALUE"""),4)</f>
        <v>4</v>
      </c>
      <c r="Q678" s="113" t="str">
        <f ca="1">IFERROR(__xludf.DUMMYFUNCTION("""COMPUTED_VALUE"""),"https://gld.legislaturacba.gob.ar/_cdd/api/Documento/descargar?guid=5dd0259f-946a-4649-83fa-2ea62982bf28&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v>
      </c>
      <c r="R678" s="113" t="str">
        <f ca="1">IFERROR(__xludf.DUMMYFUNCTION("""COMPUTED_VALUE"""),"https://www.youtube.com/watch?v=AOtZ9nbt4iA")</f>
        <v>https://www.youtube.com/watch?v=AOtZ9nbt4iA</v>
      </c>
      <c r="S678" s="113" t="str">
        <f ca="1">IFERROR(__xludf.DUMMYFUNCTION("""COMPUTED_VALUE"""),"https://gld.legislaturacba.gob.ar/Publics/Actas.aspx?id=CZn94RQiBpE=")</f>
        <v>https://gld.legislaturacba.gob.ar/Publics/Actas.aspx?id=CZn94RQiBpE=</v>
      </c>
      <c r="T678" s="99">
        <f t="shared" ca="1" si="0"/>
        <v>0</v>
      </c>
    </row>
    <row r="679" spans="1:20">
      <c r="A679" s="20">
        <f ca="1">IFERROR(__xludf.DUMMYFUNCTION("""COMPUTED_VALUE"""),183)</f>
        <v>183</v>
      </c>
      <c r="B679" s="20">
        <f ca="1">IFERROR(__xludf.DUMMYFUNCTION("""COMPUTED_VALUE"""),2022)</f>
        <v>2022</v>
      </c>
      <c r="C679" s="20" t="str">
        <f ca="1">IFERROR(__xludf.DUMMYFUNCTION("""COMPUTED_VALUE"""),"VIRTUAL")</f>
        <v>VIRTUAL</v>
      </c>
      <c r="D679" s="106">
        <f ca="1">IFERROR(__xludf.DUMMYFUNCTION("""COMPUTED_VALUE"""),44873)</f>
        <v>44873</v>
      </c>
      <c r="E679" s="20" t="str">
        <f ca="1">IFERROR(__xludf.DUMMYFUNCTION("""COMPUTED_VALUE"""),"NO")</f>
        <v>NO</v>
      </c>
      <c r="F679" s="20" t="str">
        <f ca="1">IFERROR(__xludf.DUMMYFUNCTION("""COMPUTED_VALUE"""),"SERVICIOS PÚBLICOS")</f>
        <v>SERVICIOS PÚBLICOS</v>
      </c>
      <c r="G679" s="20">
        <f ca="1">IFERROR(__xludf.DUMMYFUNCTION("""COMPUTED_VALUE"""),1)</f>
        <v>1</v>
      </c>
      <c r="H679" s="20">
        <f ca="1">IFERROR(__xludf.DUMMYFUNCTION("""COMPUTED_VALUE"""),1)</f>
        <v>1</v>
      </c>
      <c r="I679" s="20">
        <f ca="1">IFERROR(__xludf.DUMMYFUNCTION("""COMPUTED_VALUE"""),1)</f>
        <v>1</v>
      </c>
      <c r="J679" s="20" t="str">
        <f ca="1">IFERROR(__xludf.DUMMYFUNCTION("""COMPUTED_VALUE"""),"Ley")</f>
        <v>Ley</v>
      </c>
      <c r="K679" s="20">
        <f ca="1">IFERROR(__xludf.DUMMYFUNCTION("""COMPUTED_VALUE"""),36214)</f>
        <v>36214</v>
      </c>
      <c r="L679" s="20" t="str">
        <f ca="1">IFERROR(__xludf.DUMMYFUNCTION("""COMPUTED_VALUE"""),"Poder Ejecutivo Provincial")</f>
        <v>Poder Ejecutivo Provincial</v>
      </c>
      <c r="M679" s="20" t="str">
        <f ca="1">IFERROR(__xludf.DUMMYFUNCTION("""COMPUTED_VALUE"""),"Aprobando el “Convenio suscripto por el Gobierno de la provincia de Córdoba y el Gobierno de la provincia de Santa Fe, para desarrollar el Primer Corredor de Movilidad Sostenible Interprovincial Córdoba -Santa Fe”. ")</f>
        <v xml:space="preserve">Aprobando el “Convenio suscripto por el Gobierno de la provincia de Córdoba y el Gobierno de la provincia de Santa Fe, para desarrollar el Primer Corredor de Movilidad Sostenible Interprovincial Córdoba -Santa Fe”. </v>
      </c>
      <c r="N679" s="20" t="str">
        <f ca="1">IFERROR(__xludf.DUMMYFUNCTION("""COMPUTED_VALUE"""),"SI")</f>
        <v>SI</v>
      </c>
      <c r="O679" s="20" t="str">
        <f ca="1">IFERROR(__xludf.DUMMYFUNCTION("""COMPUTED_VALUE"""),"SI")</f>
        <v>SI</v>
      </c>
      <c r="P679" s="20">
        <f ca="1">IFERROR(__xludf.DUMMYFUNCTION("""COMPUTED_VALUE"""),1)</f>
        <v>1</v>
      </c>
      <c r="Q679" s="113" t="str">
        <f ca="1">IFERROR(__xludf.DUMMYFUNCTION("""COMPUTED_VALUE"""),"https://gld.legislaturacba.gob.ar/_cdd/api/Documento/descargar?guid=765ca23d-fdad-4f48-9cef-c5ffc3f62767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v>
      </c>
      <c r="R679" s="113" t="str">
        <f ca="1">IFERROR(__xludf.DUMMYFUNCTION("""COMPUTED_VALUE"""),"https://www.youtube.com/watch?v=ej7xQoOqer4")</f>
        <v>https://www.youtube.com/watch?v=ej7xQoOqer4</v>
      </c>
      <c r="S679" s="113" t="str">
        <f ca="1">IFERROR(__xludf.DUMMYFUNCTION("""COMPUTED_VALUE"""),"https://gld.legislaturacba.gob.ar/Publics/Actas.aspx?id=CZn94RQiBpE=")</f>
        <v>https://gld.legislaturacba.gob.ar/Publics/Actas.aspx?id=CZn94RQiBpE=</v>
      </c>
      <c r="T679" s="99">
        <f t="shared" ca="1" si="0"/>
        <v>0</v>
      </c>
    </row>
    <row r="680" spans="1:20">
      <c r="A680" s="20">
        <f ca="1">IFERROR(__xludf.DUMMYFUNCTION("""COMPUTED_VALUE"""),184)</f>
        <v>184</v>
      </c>
      <c r="B680" s="20">
        <f ca="1">IFERROR(__xludf.DUMMYFUNCTION("""COMPUTED_VALUE"""),2022)</f>
        <v>2022</v>
      </c>
      <c r="C680" s="20" t="str">
        <f ca="1">IFERROR(__xludf.DUMMYFUNCTION("""COMPUTED_VALUE"""),"VIRTUAL")</f>
        <v>VIRTUAL</v>
      </c>
      <c r="D680" s="106">
        <f ca="1">IFERROR(__xludf.DUMMYFUNCTION("""COMPUTED_VALUE"""),44874)</f>
        <v>44874</v>
      </c>
      <c r="E680" s="20" t="str">
        <f ca="1">IFERROR(__xludf.DUMMYFUNCTION("""COMPUTED_VALUE"""),"NO")</f>
        <v>NO</v>
      </c>
      <c r="F680" s="20" t="str">
        <f ca="1">IFERROR(__xludf.DUMMYFUNCTION("""COMPUTED_VALUE"""),"LEGISLACIÓN GENERAL")</f>
        <v>LEGISLACIÓN GENERAL</v>
      </c>
      <c r="G680" s="20">
        <f ca="1">IFERROR(__xludf.DUMMYFUNCTION("""COMPUTED_VALUE"""),1)</f>
        <v>1</v>
      </c>
      <c r="H680" s="20">
        <f ca="1">IFERROR(__xludf.DUMMYFUNCTION("""COMPUTED_VALUE"""),1)</f>
        <v>1</v>
      </c>
      <c r="I680" s="20">
        <f ca="1">IFERROR(__xludf.DUMMYFUNCTION("""COMPUTED_VALUE"""),1)</f>
        <v>1</v>
      </c>
      <c r="J680" s="20" t="str">
        <f ca="1">IFERROR(__xludf.DUMMYFUNCTION("""COMPUTED_VALUE"""),"Ley")</f>
        <v>Ley</v>
      </c>
      <c r="K680" s="20">
        <f ca="1">IFERROR(__xludf.DUMMYFUNCTION("""COMPUTED_VALUE"""),36214)</f>
        <v>36214</v>
      </c>
      <c r="L680" s="20" t="str">
        <f ca="1">IFERROR(__xludf.DUMMYFUNCTION("""COMPUTED_VALUE"""),"Poder Ejecutivo Provincial")</f>
        <v>Poder Ejecutivo Provincial</v>
      </c>
      <c r="M680" s="20" t="str">
        <f ca="1">IFERROR(__xludf.DUMMYFUNCTION("""COMPUTED_VALUE"""),"Aprobando el “Convenio suscripto por el Gobierno de la provincia de Córdoba y el Gobierno de la provincia de Santa Fe, para desarrollar el Primer Corredor de Movilidad Sostenible Interprovincial Córdoba -Santa Fe”. ")</f>
        <v xml:space="preserve">Aprobando el “Convenio suscripto por el Gobierno de la provincia de Córdoba y el Gobierno de la provincia de Santa Fe, para desarrollar el Primer Corredor de Movilidad Sostenible Interprovincial Córdoba -Santa Fe”. </v>
      </c>
      <c r="N680" s="20" t="str">
        <f ca="1">IFERROR(__xludf.DUMMYFUNCTION("""COMPUTED_VALUE"""),"NO")</f>
        <v>NO</v>
      </c>
      <c r="O680" s="20" t="str">
        <f ca="1">IFERROR(__xludf.DUMMYFUNCTION("""COMPUTED_VALUE"""),"NO")</f>
        <v>NO</v>
      </c>
      <c r="P680" s="20">
        <f ca="1">IFERROR(__xludf.DUMMYFUNCTION("""COMPUTED_VALUE"""),0)</f>
        <v>0</v>
      </c>
      <c r="Q680" s="20" t="str">
        <f ca="1">IFERROR(__xludf.DUMMYFUNCTION("""COMPUTED_VALUE"""),"NA")</f>
        <v>NA</v>
      </c>
      <c r="R680" s="113" t="str">
        <f ca="1">IFERROR(__xludf.DUMMYFUNCTION("""COMPUTED_VALUE"""),"https://www.youtube.com/watch?v=MqUNEle30J0")</f>
        <v>https://www.youtube.com/watch?v=MqUNEle30J0</v>
      </c>
      <c r="S680" s="113" t="str">
        <f ca="1">IFERROR(__xludf.DUMMYFUNCTION("""COMPUTED_VALUE"""),"https://gld.legislaturacba.gob.ar/Publics/Actas.aspx?id=YJ_CB0jMcr8=")</f>
        <v>https://gld.legislaturacba.gob.ar/Publics/Actas.aspx?id=YJ_CB0jMcr8=</v>
      </c>
      <c r="T680" s="99">
        <f t="shared" ca="1" si="0"/>
        <v>0</v>
      </c>
    </row>
    <row r="681" spans="1:20">
      <c r="A681" s="20">
        <f ca="1">IFERROR(__xludf.DUMMYFUNCTION("""COMPUTED_VALUE"""),185)</f>
        <v>185</v>
      </c>
      <c r="B681" s="20">
        <f ca="1">IFERROR(__xludf.DUMMYFUNCTION("""COMPUTED_VALUE"""),2022)</f>
        <v>2022</v>
      </c>
      <c r="C681" s="20" t="str">
        <f ca="1">IFERROR(__xludf.DUMMYFUNCTION("""COMPUTED_VALUE"""),"VIRTUAL")</f>
        <v>VIRTUAL</v>
      </c>
      <c r="D681" s="108">
        <f ca="1">IFERROR(__xludf.DUMMYFUNCTION("""COMPUTED_VALUE"""),44875)</f>
        <v>44875</v>
      </c>
      <c r="E681" s="20" t="str">
        <f ca="1">IFERROR(__xludf.DUMMYFUNCTION("""COMPUTED_VALUE"""),"NO")</f>
        <v>NO</v>
      </c>
      <c r="F681" s="20" t="str">
        <f ca="1">IFERROR(__xludf.DUMMYFUNCTION("""COMPUTED_VALUE"""),"OBRAS PÚBLICAS, VIVIENDA Y COMUNICACIONES")</f>
        <v>OBRAS PÚBLICAS, VIVIENDA Y COMUNICACIONES</v>
      </c>
      <c r="G681" s="20">
        <f ca="1">IFERROR(__xludf.DUMMYFUNCTION("""COMPUTED_VALUE"""),1)</f>
        <v>1</v>
      </c>
      <c r="H681" s="20">
        <f ca="1">IFERROR(__xludf.DUMMYFUNCTION("""COMPUTED_VALUE"""),1)</f>
        <v>1</v>
      </c>
      <c r="I681" s="20">
        <f ca="1">IFERROR(__xludf.DUMMYFUNCTION("""COMPUTED_VALUE"""),1)</f>
        <v>1</v>
      </c>
      <c r="J681" s="20" t="str">
        <f ca="1">IFERROR(__xludf.DUMMYFUNCTION("""COMPUTED_VALUE"""),"Resolución")</f>
        <v>Resolución</v>
      </c>
      <c r="K681" s="20">
        <f ca="1">IFERROR(__xludf.DUMMYFUNCTION("""COMPUTED_VALUE"""),36396)</f>
        <v>36396</v>
      </c>
      <c r="L681" s="20" t="str">
        <f ca="1">IFERROR(__xludf.DUMMYFUNCTION("""COMPUTED_VALUE"""),"Poder Legislativo Provincial")</f>
        <v>Poder Legislativo Provincial</v>
      </c>
      <c r="M681" s="20" t="str">
        <f ca="1">IFERROR(__xludf.DUMMYFUNCTION("""COMPUTED_VALUE"""),"Solicitando al Poder Ejecutivo informe (Art. 102 C.P.) sobre diversos aspectos referidos a las áreas de servicio instaladas por Caminos de las Sierras SA en los accesos de la ciudad de Córdoba.")</f>
        <v>Solicitando al Poder Ejecutivo informe (Art. 102 C.P.) sobre diversos aspectos referidos a las áreas de servicio instaladas por Caminos de las Sierras SA en los accesos de la ciudad de Córdoba.</v>
      </c>
      <c r="N681" s="20" t="str">
        <f ca="1">IFERROR(__xludf.DUMMYFUNCTION("""COMPUTED_VALUE"""),"SI")</f>
        <v>SI</v>
      </c>
      <c r="O681" s="20" t="str">
        <f ca="1">IFERROR(__xludf.DUMMYFUNCTION("""COMPUTED_VALUE"""),"SI")</f>
        <v>SI</v>
      </c>
      <c r="P681" s="20">
        <f ca="1">IFERROR(__xludf.DUMMYFUNCTION("""COMPUTED_VALUE"""),2)</f>
        <v>2</v>
      </c>
      <c r="Q681" s="113" t="str">
        <f ca="1">IFERROR(__xludf.DUMMYFUNCTION("""COMPUTED_VALUE"""),"https://gld.legislaturacba.gob.ar/_cdd/api/Documento/descargar?guid=3c2a2ef0-606c-4532-9997-22bfeb6a0366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v>
      </c>
      <c r="R681" s="113" t="str">
        <f ca="1">IFERROR(__xludf.DUMMYFUNCTION("""COMPUTED_VALUE"""),"https://www.youtube.com/watch?v=nKbcyI0ptWI")</f>
        <v>https://www.youtube.com/watch?v=nKbcyI0ptWI</v>
      </c>
      <c r="S681" s="113" t="str">
        <f ca="1">IFERROR(__xludf.DUMMYFUNCTION("""COMPUTED_VALUE"""),"https://gld.legislaturacba.gob.ar/Publics/Actas.aspx?id=U1pTdO0rcdA=")</f>
        <v>https://gld.legislaturacba.gob.ar/Publics/Actas.aspx?id=U1pTdO0rcdA=</v>
      </c>
      <c r="T681" s="99">
        <f t="shared" ca="1" si="0"/>
        <v>0</v>
      </c>
    </row>
    <row r="682" spans="1:20">
      <c r="A682" s="20">
        <f ca="1">IFERROR(__xludf.DUMMYFUNCTION("""COMPUTED_VALUE"""),186)</f>
        <v>186</v>
      </c>
      <c r="B682" s="20">
        <f ca="1">IFERROR(__xludf.DUMMYFUNCTION("""COMPUTED_VALUE"""),2022)</f>
        <v>2022</v>
      </c>
      <c r="C682" s="20" t="str">
        <f ca="1">IFERROR(__xludf.DUMMYFUNCTION("""COMPUTED_VALUE"""),"VIRTUAL")</f>
        <v>VIRTUAL</v>
      </c>
      <c r="D682" s="108">
        <f ca="1">IFERROR(__xludf.DUMMYFUNCTION("""COMPUTED_VALUE"""),44875)</f>
        <v>44875</v>
      </c>
      <c r="E682" s="20" t="str">
        <f ca="1">IFERROR(__xludf.DUMMYFUNCTION("""COMPUTED_VALUE"""),"NO")</f>
        <v>NO</v>
      </c>
      <c r="F682" s="20" t="str">
        <f ca="1">IFERROR(__xludf.DUMMYFUNCTION("""COMPUTED_VALUE"""),"ASUNTOS INSTITUCIONALES, MUNICIPALES Y COMUNALES")</f>
        <v>ASUNTOS INSTITUCIONALES, MUNICIPALES Y COMUNALES</v>
      </c>
      <c r="G682" s="20">
        <f ca="1">IFERROR(__xludf.DUMMYFUNCTION("""COMPUTED_VALUE"""),1)</f>
        <v>1</v>
      </c>
      <c r="H682" s="20">
        <f ca="1">IFERROR(__xludf.DUMMYFUNCTION("""COMPUTED_VALUE"""),1)</f>
        <v>1</v>
      </c>
      <c r="I682" s="20">
        <f ca="1">IFERROR(__xludf.DUMMYFUNCTION("""COMPUTED_VALUE"""),1)</f>
        <v>1</v>
      </c>
      <c r="J682" s="20" t="str">
        <f ca="1">IFERROR(__xludf.DUMMYFUNCTION("""COMPUTED_VALUE"""),"Ley")</f>
        <v>Ley</v>
      </c>
      <c r="K682" s="20">
        <f ca="1">IFERROR(__xludf.DUMMYFUNCTION("""COMPUTED_VALUE"""),36210)</f>
        <v>36210</v>
      </c>
      <c r="L682" s="20" t="str">
        <f ca="1">IFERROR(__xludf.DUMMYFUNCTION("""COMPUTED_VALUE"""),"Poder Ejecutivo Provincial")</f>
        <v>Poder Ejecutivo Provincial</v>
      </c>
      <c r="M682" s="20" t="str">
        <f ca="1">IFERROR(__xludf.DUMMYFUNCTION("""COMPUTED_VALUE"""),"Modificando el radio municipal de la localidad de  Villa Rossi, Dpto. Presidente Roque Sáez Peña.")</f>
        <v>Modificando el radio municipal de la localidad de  Villa Rossi, Dpto. Presidente Roque Sáez Peña.</v>
      </c>
      <c r="N682" s="20" t="str">
        <f ca="1">IFERROR(__xludf.DUMMYFUNCTION("""COMPUTED_VALUE"""),"SI")</f>
        <v>SI</v>
      </c>
      <c r="O682" s="20" t="str">
        <f ca="1">IFERROR(__xludf.DUMMYFUNCTION("""COMPUTED_VALUE"""),"SI")</f>
        <v>SI</v>
      </c>
      <c r="P682" s="20">
        <f ca="1">IFERROR(__xludf.DUMMYFUNCTION("""COMPUTED_VALUE"""),1)</f>
        <v>1</v>
      </c>
      <c r="Q682" s="113" t="str">
        <f ca="1">IFERROR(__xludf.DUMMYFUNCTION("""COMPUTED_VALUE"""),"https://gld.legislaturacba.gob.ar/_cdd/api/Documento/descargar?guid=f60aee21-59bb-4ab6-892b-14c9634ec8b4&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v>
      </c>
      <c r="R682" s="113" t="str">
        <f ca="1">IFERROR(__xludf.DUMMYFUNCTION("""COMPUTED_VALUE"""),"https://gld.legislaturacba.gob.ar/Publics/Actas.aspx?id=03kGqwLPde8=")</f>
        <v>https://gld.legislaturacba.gob.ar/Publics/Actas.aspx?id=03kGqwLPde8=</v>
      </c>
      <c r="S682" s="113" t="str">
        <f ca="1">IFERROR(__xludf.DUMMYFUNCTION("""COMPUTED_VALUE"""),"https://www.youtube.com/watch?v=rAyQ3lKN55k")</f>
        <v>https://www.youtube.com/watch?v=rAyQ3lKN55k</v>
      </c>
      <c r="T682" s="99">
        <f t="shared" ca="1" si="0"/>
        <v>0</v>
      </c>
    </row>
    <row r="683" spans="1:20">
      <c r="A683" s="20">
        <f ca="1">IFERROR(__xludf.DUMMYFUNCTION("""COMPUTED_VALUE"""),187)</f>
        <v>187</v>
      </c>
      <c r="B683" s="20">
        <f ca="1">IFERROR(__xludf.DUMMYFUNCTION("""COMPUTED_VALUE"""),2022)</f>
        <v>2022</v>
      </c>
      <c r="C683" s="20" t="str">
        <f ca="1">IFERROR(__xludf.DUMMYFUNCTION("""COMPUTED_VALUE"""),"SEMIPRESENCIAL")</f>
        <v>SEMIPRESENCIAL</v>
      </c>
      <c r="D683" s="108">
        <f ca="1">IFERROR(__xludf.DUMMYFUNCTION("""COMPUTED_VALUE"""),44875)</f>
        <v>44875</v>
      </c>
      <c r="E683" s="20" t="str">
        <f ca="1">IFERROR(__xludf.DUMMYFUNCTION("""COMPUTED_VALUE"""),"NO")</f>
        <v>NO</v>
      </c>
      <c r="F683" s="20" t="str">
        <f ca="1">IFERROR(__xludf.DUMMYFUNCTION("""COMPUTED_VALUE"""),"SERVICIOS PÚBLICOS")</f>
        <v>SERVICIOS PÚBLICOS</v>
      </c>
      <c r="G683" s="20">
        <f ca="1">IFERROR(__xludf.DUMMYFUNCTION("""COMPUTED_VALUE"""),1)</f>
        <v>1</v>
      </c>
      <c r="H683" s="20">
        <f ca="1">IFERROR(__xludf.DUMMYFUNCTION("""COMPUTED_VALUE"""),12)</f>
        <v>12</v>
      </c>
      <c r="I683" s="20">
        <f ca="1">IFERROR(__xludf.DUMMYFUNCTION("""COMPUTED_VALUE"""),1)</f>
        <v>1</v>
      </c>
      <c r="J683" s="20" t="str">
        <f ca="1">IFERROR(__xludf.DUMMYFUNCTION("""COMPUTED_VALUE"""),"Ley")</f>
        <v>Ley</v>
      </c>
      <c r="K683" s="20">
        <f ca="1">IFERROR(__xludf.DUMMYFUNCTION("""COMPUTED_VALUE"""),36215)</f>
        <v>36215</v>
      </c>
      <c r="L683" s="20" t="str">
        <f ca="1">IFERROR(__xludf.DUMMYFUNCTION("""COMPUTED_VALUE"""),"Poder Ejecutivo Provincial")</f>
        <v>Poder Ejecutivo Provincial</v>
      </c>
      <c r="M683" s="20" t="str">
        <f ca="1">IFERROR(__xludf.DUMMYFUNCTION("""COMPUTED_VALUE"""),"Aprobando el ""Acuerdo Marco de Colaboración Mutua en Aspectos Energéticos provincia de Córdoba-provincia de Santa Fe"", suscripto entre los gobernadores de ambos estados provinciales, con el objeto de promover la realización de proyectos en el Sistema Na"&amp;"cional, para mejorar el abastecimiento y la calidad de energía de la Región Centro, en el marco de un proceso de transición energética nacional a partir del uso eficiente de sus recursos.")</f>
        <v>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v>
      </c>
      <c r="N683" s="20" t="str">
        <f ca="1">IFERROR(__xludf.DUMMYFUNCTION("""COMPUTED_VALUE"""),"SI")</f>
        <v>SI</v>
      </c>
      <c r="O683" s="20" t="str">
        <f ca="1">IFERROR(__xludf.DUMMYFUNCTION("""COMPUTED_VALUE"""),"SI")</f>
        <v>SI</v>
      </c>
      <c r="P683" s="20">
        <f ca="1">IFERROR(__xludf.DUMMYFUNCTION("""COMPUTED_VALUE"""),11)</f>
        <v>11</v>
      </c>
      <c r="Q683" s="113" t="str">
        <f ca="1">IFERROR(__xludf.DUMMYFUNCTION("""COMPUTED_VALUE"""),"https://gld.legislaturacba.gob.ar/_cdd/api/Documento/descargar?guid=589d1713-fdfb-4fbb-a208-debb5db5d766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v>
      </c>
      <c r="R683" s="113" t="str">
        <f ca="1">IFERROR(__xludf.DUMMYFUNCTION("""COMPUTED_VALUE"""),"https://www.youtube.com/watch?v=P8hU9Mealjk")</f>
        <v>https://www.youtube.com/watch?v=P8hU9Mealjk</v>
      </c>
      <c r="S683" s="113" t="str">
        <f ca="1">IFERROR(__xludf.DUMMYFUNCTION("""COMPUTED_VALUE"""),"https://gld.legislaturacba.gob.ar/Publics/Actas.aspx?id=P-CRB3pQlh8=")</f>
        <v>https://gld.legislaturacba.gob.ar/Publics/Actas.aspx?id=P-CRB3pQlh8=</v>
      </c>
      <c r="T683" s="99">
        <f t="shared" ca="1" si="0"/>
        <v>0</v>
      </c>
    </row>
    <row r="684" spans="1:20">
      <c r="A684" s="20">
        <f ca="1">IFERROR(__xludf.DUMMYFUNCTION("""COMPUTED_VALUE"""),188)</f>
        <v>188</v>
      </c>
      <c r="B684" s="20">
        <f ca="1">IFERROR(__xludf.DUMMYFUNCTION("""COMPUTED_VALUE"""),2022)</f>
        <v>2022</v>
      </c>
      <c r="C684" s="20" t="str">
        <f ca="1">IFERROR(__xludf.DUMMYFUNCTION("""COMPUTED_VALUE"""),"SEMIPRESENCIAL")</f>
        <v>SEMIPRESENCIAL</v>
      </c>
      <c r="D684" s="108">
        <f ca="1">IFERROR(__xludf.DUMMYFUNCTION("""COMPUTED_VALUE"""),44880)</f>
        <v>44880</v>
      </c>
      <c r="E684" s="20" t="str">
        <f ca="1">IFERROR(__xludf.DUMMYFUNCTION("""COMPUTED_VALUE"""),"SI")</f>
        <v>SI</v>
      </c>
      <c r="F684"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84" s="20">
        <f ca="1">IFERROR(__xludf.DUMMYFUNCTION("""COMPUTED_VALUE"""),3)</f>
        <v>3</v>
      </c>
      <c r="H684" s="20">
        <f ca="1">IFERROR(__xludf.DUMMYFUNCTION("""COMPUTED_VALUE"""),3)</f>
        <v>3</v>
      </c>
      <c r="I684" s="20">
        <f ca="1">IFERROR(__xludf.DUMMYFUNCTION("""COMPUTED_VALUE"""),1)</f>
        <v>1</v>
      </c>
      <c r="J684" s="20" t="str">
        <f ca="1">IFERROR(__xludf.DUMMYFUNCTION("""COMPUTED_VALUE"""),"Ley")</f>
        <v>Ley</v>
      </c>
      <c r="K684" s="20">
        <f ca="1">IFERROR(__xludf.DUMMYFUNCTION("""COMPUTED_VALUE"""),36472)</f>
        <v>36472</v>
      </c>
      <c r="L684" s="20" t="str">
        <f ca="1">IFERROR(__xludf.DUMMYFUNCTION("""COMPUTED_VALUE"""),"Poder Ejecutivo Provincial")</f>
        <v>Poder Ejecutivo Provincial</v>
      </c>
      <c r="M684" s="20" t="str">
        <f ca="1">IFERROR(__xludf.DUMMYFUNCTION("""COMPUTED_VALUE"""),"Estableciendo el Presupuesto General de la Administración Pública Provincial para el año 2023.")</f>
        <v>Estableciendo el Presupuesto General de la Administración Pública Provincial para el año 2023.</v>
      </c>
      <c r="N684" s="20" t="str">
        <f ca="1">IFERROR(__xludf.DUMMYFUNCTION("""COMPUTED_VALUE"""),"NO")</f>
        <v>NO</v>
      </c>
      <c r="O684" s="20" t="str">
        <f ca="1">IFERROR(__xludf.DUMMYFUNCTION("""COMPUTED_VALUE"""),"SI")</f>
        <v>SI</v>
      </c>
      <c r="P684" s="20">
        <f ca="1">IFERROR(__xludf.DUMMYFUNCTION("""COMPUTED_VALUE"""),8)</f>
        <v>8</v>
      </c>
      <c r="Q684" s="113" t="str">
        <f ca="1">IFERROR(__xludf.DUMMYFUNCTION("""COMPUTED_VALUE"""),"https://gld.legislaturacba.gob.ar/_cdd/api/Documento/descargar?guid=b4d5d209-2a80-47fa-81b3-cef84ef3b4e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v>
      </c>
      <c r="R684" s="113" t="str">
        <f ca="1">IFERROR(__xludf.DUMMYFUNCTION("""COMPUTED_VALUE"""),"https://www.youtube.com/watch?v=JKyGDE7Ct9Q")</f>
        <v>https://www.youtube.com/watch?v=JKyGDE7Ct9Q</v>
      </c>
      <c r="S684" s="113" t="str">
        <f ca="1">IFERROR(__xludf.DUMMYFUNCTION("""COMPUTED_VALUE"""),"https://gld.legislaturacba.gob.ar/Publics/Actas.aspx?id=wTMQnXOn_A0=;https://gld.legislaturacba.gob.ar/Publics/Actas.aspx?id=XHPgz72QTNk=;https://gld.legislaturacba.gob.ar/Publics/Actas.aspx?id=KYmTUHFV7u8=")</f>
        <v>https://gld.legislaturacba.gob.ar/Publics/Actas.aspx?id=wTMQnXOn_A0=;https://gld.legislaturacba.gob.ar/Publics/Actas.aspx?id=XHPgz72QTNk=;https://gld.legislaturacba.gob.ar/Publics/Actas.aspx?id=KYmTUHFV7u8=</v>
      </c>
      <c r="T684" s="99">
        <f t="shared" ca="1" si="0"/>
        <v>0</v>
      </c>
    </row>
    <row r="685" spans="1:20">
      <c r="A685" s="20">
        <f ca="1">IFERROR(__xludf.DUMMYFUNCTION("""COMPUTED_VALUE"""),189)</f>
        <v>189</v>
      </c>
      <c r="B685" s="20">
        <f ca="1">IFERROR(__xludf.DUMMYFUNCTION("""COMPUTED_VALUE"""),2022)</f>
        <v>2022</v>
      </c>
      <c r="C685" s="20" t="str">
        <f ca="1">IFERROR(__xludf.DUMMYFUNCTION("""COMPUTED_VALUE"""),"SEMIPRESENCIAL")</f>
        <v>SEMIPRESENCIAL</v>
      </c>
      <c r="D685" s="108">
        <f ca="1">IFERROR(__xludf.DUMMYFUNCTION("""COMPUTED_VALUE"""),44880)</f>
        <v>44880</v>
      </c>
      <c r="E685" s="20" t="str">
        <f ca="1">IFERROR(__xludf.DUMMYFUNCTION("""COMPUTED_VALUE"""),"NO")</f>
        <v>NO</v>
      </c>
      <c r="F685" s="20" t="str">
        <f ca="1">IFERROR(__xludf.DUMMYFUNCTION("""COMPUTED_VALUE"""),"SALUD HUMANA")</f>
        <v>SALUD HUMANA</v>
      </c>
      <c r="G685" s="20">
        <f ca="1">IFERROR(__xludf.DUMMYFUNCTION("""COMPUTED_VALUE"""),1)</f>
        <v>1</v>
      </c>
      <c r="H685" s="20">
        <f ca="1">IFERROR(__xludf.DUMMYFUNCTION("""COMPUTED_VALUE"""),3)</f>
        <v>3</v>
      </c>
      <c r="I685" s="20">
        <f ca="1">IFERROR(__xludf.DUMMYFUNCTION("""COMPUTED_VALUE"""),1)</f>
        <v>1</v>
      </c>
      <c r="J685" s="20" t="str">
        <f ca="1">IFERROR(__xludf.DUMMYFUNCTION("""COMPUTED_VALUE"""),"Resolución")</f>
        <v>Resolución</v>
      </c>
      <c r="K685" s="20">
        <f ca="1">IFERROR(__xludf.DUMMYFUNCTION("""COMPUTED_VALUE"""),36173)</f>
        <v>36173</v>
      </c>
      <c r="L685" s="20" t="str">
        <f ca="1">IFERROR(__xludf.DUMMYFUNCTION("""COMPUTED_VALUE"""),"Poder Legislativo Provincial")</f>
        <v>Poder Legislativo Provincial</v>
      </c>
      <c r="M685" s="20" t="str">
        <f ca="1">IFERROR(__xludf.DUMMYFUNCTION("""COMPUTED_VALUE"""),"Solicitando al Poder Ejecutivo informe (Art. 102 C.P.) sobre diversos aspectos relacionados a la implementación de la Ley 10.357, Adhesión a la Ley Nacional sobre Prevención al Suicidio.")</f>
        <v>Solicitando al Poder Ejecutivo informe (Art. 102 C.P.) sobre diversos aspectos relacionados a la implementación de la Ley 10.357, Adhesión a la Ley Nacional sobre Prevención al Suicidio.</v>
      </c>
      <c r="N685" s="20" t="str">
        <f ca="1">IFERROR(__xludf.DUMMYFUNCTION("""COMPUTED_VALUE"""),"NO")</f>
        <v>NO</v>
      </c>
      <c r="O685" s="20" t="str">
        <f ca="1">IFERROR(__xludf.DUMMYFUNCTION("""COMPUTED_VALUE"""),"SI")</f>
        <v>SI</v>
      </c>
      <c r="P685" s="20">
        <f ca="1">IFERROR(__xludf.DUMMYFUNCTION("""COMPUTED_VALUE"""),6)</f>
        <v>6</v>
      </c>
      <c r="Q685" s="113" t="str">
        <f ca="1">IFERROR(__xludf.DUMMYFUNCTION("""COMPUTED_VALUE"""),"https://gld.legislaturacba.gob.ar/_cdd/api/Documento/descargar?guid=2a2871a5-a9b3-4265-a16b-f7f74d193a0f&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v>
      </c>
      <c r="R685" s="20" t="str">
        <f ca="1">IFERROR(__xludf.DUMMYFUNCTION("""COMPUTED_VALUE"""),"NA")</f>
        <v>NA</v>
      </c>
      <c r="S685" s="113" t="str">
        <f ca="1">IFERROR(__xludf.DUMMYFUNCTION("""COMPUTED_VALUE"""),"https://gld.legislaturacba.gob.ar/Publics/Actas.aspx?id=KTpD1SQdoIo=")</f>
        <v>https://gld.legislaturacba.gob.ar/Publics/Actas.aspx?id=KTpD1SQdoIo=</v>
      </c>
      <c r="T685" s="99">
        <f t="shared" ca="1" si="0"/>
        <v>0</v>
      </c>
    </row>
    <row r="686" spans="1:20">
      <c r="A686" s="20">
        <f ca="1">IFERROR(__xludf.DUMMYFUNCTION("""COMPUTED_VALUE"""),190)</f>
        <v>190</v>
      </c>
      <c r="B686" s="20">
        <f ca="1">IFERROR(__xludf.DUMMYFUNCTION("""COMPUTED_VALUE"""),2022)</f>
        <v>2022</v>
      </c>
      <c r="C686" s="20" t="str">
        <f ca="1">IFERROR(__xludf.DUMMYFUNCTION("""COMPUTED_VALUE"""),"SEMIPRESENCIAL")</f>
        <v>SEMIPRESENCIAL</v>
      </c>
      <c r="D686" s="108">
        <f ca="1">IFERROR(__xludf.DUMMYFUNCTION("""COMPUTED_VALUE"""),44881)</f>
        <v>44881</v>
      </c>
      <c r="E686" s="20" t="str">
        <f ca="1">IFERROR(__xludf.DUMMYFUNCTION("""COMPUTED_VALUE"""),"SI")</f>
        <v>SI</v>
      </c>
      <c r="F686" s="20" t="str">
        <f ca="1">IFERROR(__xludf.DUMMYFUNCTION("""COMPUTED_VALUE"""),"LEGISLACIÓN GENERAL;ASUNTOS CONSTITUCIONALES, JUSTICIA Y ACUERDOS")</f>
        <v>LEGISLACIÓN GENERAL;ASUNTOS CONSTITUCIONALES, JUSTICIA Y ACUERDOS</v>
      </c>
      <c r="G686" s="20">
        <f ca="1">IFERROR(__xludf.DUMMYFUNCTION("""COMPUTED_VALUE"""),2)</f>
        <v>2</v>
      </c>
      <c r="H686" s="20">
        <f ca="1">IFERROR(__xludf.DUMMYFUNCTION("""COMPUTED_VALUE"""),4)</f>
        <v>4</v>
      </c>
      <c r="I686" s="20">
        <f ca="1">IFERROR(__xludf.DUMMYFUNCTION("""COMPUTED_VALUE"""),1)</f>
        <v>1</v>
      </c>
      <c r="J686" s="20" t="str">
        <f ca="1">IFERROR(__xludf.DUMMYFUNCTION("""COMPUTED_VALUE"""),"Ley")</f>
        <v>Ley</v>
      </c>
      <c r="K686" s="20">
        <f ca="1">IFERROR(__xludf.DUMMYFUNCTION("""COMPUTED_VALUE"""),35387)</f>
        <v>35387</v>
      </c>
      <c r="L686" s="20" t="str">
        <f ca="1">IFERROR(__xludf.DUMMYFUNCTION("""COMPUTED_VALUE"""),"Poder Ejecutivo Provincial")</f>
        <v>Poder Ejecutivo Provincial</v>
      </c>
      <c r="M686" s="20" t="str">
        <f ca="1">IFERROR(__xludf.DUMMYFUNCTION("""COMPUTED_VALUE"""),"Modificando el artículo 577 de la Ley N° 8465, Código Procesal Civil y Comercial de la Provincia de Córdoba, referido a las formas de realización de los bienes afectados a la ejecución. ")</f>
        <v xml:space="preserve">Modificando el artículo 577 de la Ley N° 8465, Código Procesal Civil y Comercial de la Provincia de Córdoba, referido a las formas de realización de los bienes afectados a la ejecución. </v>
      </c>
      <c r="N686" s="20" t="str">
        <f ca="1">IFERROR(__xludf.DUMMYFUNCTION("""COMPUTED_VALUE"""),"NO")</f>
        <v>NO</v>
      </c>
      <c r="O686" s="20" t="str">
        <f ca="1">IFERROR(__xludf.DUMMYFUNCTION("""COMPUTED_VALUE"""),"SI")</f>
        <v>SI</v>
      </c>
      <c r="P686" s="20">
        <f ca="1">IFERROR(__xludf.DUMMYFUNCTION("""COMPUTED_VALUE"""),4)</f>
        <v>4</v>
      </c>
      <c r="Q686" s="113" t="str">
        <f ca="1">IFERROR(__xludf.DUMMYFUNCTION("""COMPUTED_VALUE"""),"https://gld.legislaturacba.gob.ar/_cdd/api/Documento/descargar?guid=7ff018d1-129a-4e85-a74c-7b57adbc4be9&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v>
      </c>
      <c r="R686" s="20" t="str">
        <f ca="1">IFERROR(__xludf.DUMMYFUNCTION("""COMPUTED_VALUE"""),"NA")</f>
        <v>NA</v>
      </c>
      <c r="S686" s="113" t="str">
        <f ca="1">IFERROR(__xludf.DUMMYFUNCTION("""COMPUTED_VALUE"""),"https://gld.legislaturacba.gob.ar/Publics/Actas.aspx?id=GqX_5gxYXgM=;https://gld.legislaturacba.gob.ar/Publics/Actas.aspx?id=zXA0wDRcOXg=")</f>
        <v>https://gld.legislaturacba.gob.ar/Publics/Actas.aspx?id=GqX_5gxYXgM=;https://gld.legislaturacba.gob.ar/Publics/Actas.aspx?id=zXA0wDRcOXg=</v>
      </c>
      <c r="T686" s="99">
        <f t="shared" ca="1" si="0"/>
        <v>0</v>
      </c>
    </row>
    <row r="687" spans="1:20">
      <c r="A687" s="20">
        <f ca="1">IFERROR(__xludf.DUMMYFUNCTION("""COMPUTED_VALUE"""),191)</f>
        <v>191</v>
      </c>
      <c r="B687" s="20">
        <f ca="1">IFERROR(__xludf.DUMMYFUNCTION("""COMPUTED_VALUE"""),2022)</f>
        <v>2022</v>
      </c>
      <c r="C687" s="20" t="str">
        <f ca="1">IFERROR(__xludf.DUMMYFUNCTION("""COMPUTED_VALUE"""),"SEMIPRESENCIAL")</f>
        <v>SEMIPRESENCIAL</v>
      </c>
      <c r="D687" s="108">
        <f ca="1">IFERROR(__xludf.DUMMYFUNCTION("""COMPUTED_VALUE"""),44882)</f>
        <v>44882</v>
      </c>
      <c r="E687" s="20" t="str">
        <f ca="1">IFERROR(__xludf.DUMMYFUNCTION("""COMPUTED_VALUE"""),"SI")</f>
        <v>SI</v>
      </c>
      <c r="F687"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87" s="20">
        <f ca="1">IFERROR(__xludf.DUMMYFUNCTION("""COMPUTED_VALUE"""),3)</f>
        <v>3</v>
      </c>
      <c r="H687" s="20">
        <f ca="1">IFERROR(__xludf.DUMMYFUNCTION("""COMPUTED_VALUE"""),3)</f>
        <v>3</v>
      </c>
      <c r="I687" s="20">
        <f ca="1">IFERROR(__xludf.DUMMYFUNCTION("""COMPUTED_VALUE"""),1)</f>
        <v>1</v>
      </c>
      <c r="J687" s="20" t="str">
        <f ca="1">IFERROR(__xludf.DUMMYFUNCTION("""COMPUTED_VALUE"""),"Ley")</f>
        <v>Ley</v>
      </c>
      <c r="K687" s="20">
        <f ca="1">IFERROR(__xludf.DUMMYFUNCTION("""COMPUTED_VALUE"""),36472)</f>
        <v>36472</v>
      </c>
      <c r="L687" s="20" t="str">
        <f ca="1">IFERROR(__xludf.DUMMYFUNCTION("""COMPUTED_VALUE"""),"Poder Ejecutivo Provincial")</f>
        <v>Poder Ejecutivo Provincial</v>
      </c>
      <c r="M687" s="20" t="str">
        <f ca="1">IFERROR(__xludf.DUMMYFUNCTION("""COMPUTED_VALUE"""),"Estableciendo el Presupuesto General de la Administración Pública Provincial para el año 2023.")</f>
        <v>Estableciendo el Presupuesto General de la Administración Pública Provincial para el año 2023.</v>
      </c>
      <c r="N687" s="20" t="str">
        <f ca="1">IFERROR(__xludf.DUMMYFUNCTION("""COMPUTED_VALUE"""),"NO")</f>
        <v>NO</v>
      </c>
      <c r="O687" s="20" t="str">
        <f ca="1">IFERROR(__xludf.DUMMYFUNCTION("""COMPUTED_VALUE"""),"SI")</f>
        <v>SI</v>
      </c>
      <c r="P687" s="20">
        <f ca="1">IFERROR(__xludf.DUMMYFUNCTION("""COMPUTED_VALUE"""),6)</f>
        <v>6</v>
      </c>
      <c r="Q687" s="113" t="str">
        <f ca="1">IFERROR(__xludf.DUMMYFUNCTION("""COMPUTED_VALUE"""),"https://gld.legislaturacba.gob.ar/_cdd/api/Documento/descargar?guid=1936311f-3a95-4894-b416-b14c266107fd&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v>
      </c>
      <c r="R687" s="113" t="str">
        <f ca="1">IFERROR(__xludf.DUMMYFUNCTION("""COMPUTED_VALUE"""),"https://www.youtube.com/watch?v=YALrkPtCwqw")</f>
        <v>https://www.youtube.com/watch?v=YALrkPtCwqw</v>
      </c>
      <c r="S687" s="113" t="str">
        <f ca="1">IFERROR(__xludf.DUMMYFUNCTION("""COMPUTED_VALUE"""),"https://gld.legislaturacba.gob.ar/Publics/Actas.aspx?id=jaDcK5HEGuc=;https://gld.legislaturacba.gob.ar/Publics/Actas.aspx?id=OA-PIU3jVlg=;https://gld.legislaturacba.gob.ar/Publics/Actas.aspx?id=SCkf6oRxZhQ=")</f>
        <v>https://gld.legislaturacba.gob.ar/Publics/Actas.aspx?id=jaDcK5HEGuc=;https://gld.legislaturacba.gob.ar/Publics/Actas.aspx?id=OA-PIU3jVlg=;https://gld.legislaturacba.gob.ar/Publics/Actas.aspx?id=SCkf6oRxZhQ=</v>
      </c>
      <c r="T687" s="99">
        <f t="shared" ca="1" si="0"/>
        <v>0</v>
      </c>
    </row>
    <row r="688" spans="1:20">
      <c r="A688" s="20">
        <f ca="1">IFERROR(__xludf.DUMMYFUNCTION("""COMPUTED_VALUE"""),192)</f>
        <v>192</v>
      </c>
      <c r="B688" s="20">
        <f ca="1">IFERROR(__xludf.DUMMYFUNCTION("""COMPUTED_VALUE"""),2022)</f>
        <v>2022</v>
      </c>
      <c r="C688" s="20" t="str">
        <f ca="1">IFERROR(__xludf.DUMMYFUNCTION("""COMPUTED_VALUE"""),"VIRTUAL")</f>
        <v>VIRTUAL</v>
      </c>
      <c r="D688" s="108">
        <f ca="1">IFERROR(__xludf.DUMMYFUNCTION("""COMPUTED_VALUE"""),44887)</f>
        <v>44887</v>
      </c>
      <c r="E688" s="20" t="str">
        <f ca="1">IFERROR(__xludf.DUMMYFUNCTION("""COMPUTED_VALUE"""),"NO")</f>
        <v>NO</v>
      </c>
      <c r="F688" s="20" t="str">
        <f ca="1">IFERROR(__xludf.DUMMYFUNCTION("""COMPUTED_VALUE"""),"ASUNTOS INSTITUCIONALES, MUNICIPALES Y COMUNALES")</f>
        <v>ASUNTOS INSTITUCIONALES, MUNICIPALES Y COMUNALES</v>
      </c>
      <c r="G688" s="20">
        <f ca="1">IFERROR(__xludf.DUMMYFUNCTION("""COMPUTED_VALUE"""),1)</f>
        <v>1</v>
      </c>
      <c r="H688" s="20">
        <f ca="1">IFERROR(__xludf.DUMMYFUNCTION("""COMPUTED_VALUE"""),1)</f>
        <v>1</v>
      </c>
      <c r="I688" s="20">
        <f ca="1">IFERROR(__xludf.DUMMYFUNCTION("""COMPUTED_VALUE"""),1)</f>
        <v>1</v>
      </c>
      <c r="J688" s="20" t="str">
        <f ca="1">IFERROR(__xludf.DUMMYFUNCTION("""COMPUTED_VALUE"""),"Ley")</f>
        <v>Ley</v>
      </c>
      <c r="K688" s="20">
        <f ca="1">IFERROR(__xludf.DUMMYFUNCTION("""COMPUTED_VALUE"""),36204)</f>
        <v>36204</v>
      </c>
      <c r="L688" s="20" t="str">
        <f ca="1">IFERROR(__xludf.DUMMYFUNCTION("""COMPUTED_VALUE"""),"Poder Ejecutivo Provincial")</f>
        <v>Poder Ejecutivo Provincial</v>
      </c>
      <c r="M688" s="20" t="str">
        <f ca="1">IFERROR(__xludf.DUMMYFUNCTION("""COMPUTED_VALUE"""),"Modificando el radio comunal de la localidad de Sagrada Familia, Dpto. Río Primero")</f>
        <v>Modificando el radio comunal de la localidad de Sagrada Familia, Dpto. Río Primero</v>
      </c>
      <c r="N688" s="20" t="str">
        <f ca="1">IFERROR(__xludf.DUMMYFUNCTION("""COMPUTED_VALUE"""),"NO")</f>
        <v>NO</v>
      </c>
      <c r="O688" s="20" t="str">
        <f ca="1">IFERROR(__xludf.DUMMYFUNCTION("""COMPUTED_VALUE"""),"NO")</f>
        <v>NO</v>
      </c>
      <c r="P688" s="20">
        <f ca="1">IFERROR(__xludf.DUMMYFUNCTION("""COMPUTED_VALUE"""),0)</f>
        <v>0</v>
      </c>
      <c r="Q688" s="113" t="str">
        <f ca="1">IFERROR(__xludf.DUMMYFUNCTION("""COMPUTED_VALUE"""),"https://gld.legislaturacba.gob.ar/_cdd/api/Documento/descargar?guid=3bbbbd7d-b4b5-4ef6-86e0-8cfe5ebdff7c&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v>
      </c>
      <c r="R688" s="113" t="str">
        <f ca="1">IFERROR(__xludf.DUMMYFUNCTION("""COMPUTED_VALUE"""),"https://www.youtube.com/watch?v=sC1c01fBw8Q")</f>
        <v>https://www.youtube.com/watch?v=sC1c01fBw8Q</v>
      </c>
      <c r="S688" s="113" t="str">
        <f ca="1">IFERROR(__xludf.DUMMYFUNCTION("""COMPUTED_VALUE"""),"https://gld.legislaturacba.gob.ar/Publics/Actas.aspx?id=dZgwDOdpTcc=")</f>
        <v>https://gld.legislaturacba.gob.ar/Publics/Actas.aspx?id=dZgwDOdpTcc=</v>
      </c>
      <c r="T688" s="99">
        <f t="shared" ca="1" si="0"/>
        <v>0</v>
      </c>
    </row>
    <row r="689" spans="1:20">
      <c r="A689" s="20">
        <f ca="1">IFERROR(__xludf.DUMMYFUNCTION("""COMPUTED_VALUE"""),193)</f>
        <v>193</v>
      </c>
      <c r="B689" s="20">
        <f ca="1">IFERROR(__xludf.DUMMYFUNCTION("""COMPUTED_VALUE"""),2022)</f>
        <v>2022</v>
      </c>
      <c r="C689" s="20" t="str">
        <f ca="1">IFERROR(__xludf.DUMMYFUNCTION("""COMPUTED_VALUE"""),"VIRTUAL")</f>
        <v>VIRTUAL</v>
      </c>
      <c r="D689" s="108">
        <f ca="1">IFERROR(__xludf.DUMMYFUNCTION("""COMPUTED_VALUE"""),44887)</f>
        <v>44887</v>
      </c>
      <c r="E689" s="20" t="str">
        <f ca="1">IFERROR(__xludf.DUMMYFUNCTION("""COMPUTED_VALUE"""),"SI")</f>
        <v>SI</v>
      </c>
      <c r="F689"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89" s="20">
        <f ca="1">IFERROR(__xludf.DUMMYFUNCTION("""COMPUTED_VALUE"""),3)</f>
        <v>3</v>
      </c>
      <c r="H689" s="20">
        <f ca="1">IFERROR(__xludf.DUMMYFUNCTION("""COMPUTED_VALUE"""),3)</f>
        <v>3</v>
      </c>
      <c r="I689" s="20">
        <f ca="1">IFERROR(__xludf.DUMMYFUNCTION("""COMPUTED_VALUE"""),1)</f>
        <v>1</v>
      </c>
      <c r="J689" s="20" t="str">
        <f ca="1">IFERROR(__xludf.DUMMYFUNCTION("""COMPUTED_VALUE"""),"Ley")</f>
        <v>Ley</v>
      </c>
      <c r="K689" s="20">
        <f ca="1">IFERROR(__xludf.DUMMYFUNCTION("""COMPUTED_VALUE"""),36472)</f>
        <v>36472</v>
      </c>
      <c r="L689" s="20" t="str">
        <f ca="1">IFERROR(__xludf.DUMMYFUNCTION("""COMPUTED_VALUE"""),"Poder Ejecutivo Provincial")</f>
        <v>Poder Ejecutivo Provincial</v>
      </c>
      <c r="M689" s="20" t="str">
        <f ca="1">IFERROR(__xludf.DUMMYFUNCTION("""COMPUTED_VALUE"""),"Estableciendo el Presupuesto General de la Administración Pública Provincial para el año 2023.")</f>
        <v>Estableciendo el Presupuesto General de la Administración Pública Provincial para el año 2023.</v>
      </c>
      <c r="N689" s="20" t="str">
        <f ca="1">IFERROR(__xludf.DUMMYFUNCTION("""COMPUTED_VALUE"""),"SI")</f>
        <v>SI</v>
      </c>
      <c r="O689" s="20" t="str">
        <f ca="1">IFERROR(__xludf.DUMMYFUNCTION("""COMPUTED_VALUE"""),"NO")</f>
        <v>NO</v>
      </c>
      <c r="P689" s="20">
        <f ca="1">IFERROR(__xludf.DUMMYFUNCTION("""COMPUTED_VALUE"""),0)</f>
        <v>0</v>
      </c>
      <c r="Q689" s="113" t="str">
        <f ca="1">IFERROR(__xludf.DUMMYFUNCTION("""COMPUTED_VALUE"""),"https://gld.legislaturacba.gob.ar/_cdd/api/Documento/descargar?guid=8b60ce30-3c5e-4597-beca-7c00e9f4fba6&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v>
      </c>
      <c r="R689" s="113" t="str">
        <f ca="1">IFERROR(__xludf.DUMMYFUNCTION("""COMPUTED_VALUE"""),"https://www.youtube.com/watch?v=AVntnG6Pdxk")</f>
        <v>https://www.youtube.com/watch?v=AVntnG6Pdxk</v>
      </c>
      <c r="S689" s="113" t="str">
        <f ca="1">IFERROR(__xludf.DUMMYFUNCTION("""COMPUTED_VALUE"""),"https://gld.legislaturacba.gob.ar/Publics/Actas.aspx?id=Mk08PToRx0g=;https://gld.legislaturacba.gob.ar/Publics/Actas.aspx?id=lrBbScnVL1E=;https://gld.legislaturacba.gob.ar/Publics/Actas.aspx?id=Mk08PToRx0g=")</f>
        <v>https://gld.legislaturacba.gob.ar/Publics/Actas.aspx?id=Mk08PToRx0g=;https://gld.legislaturacba.gob.ar/Publics/Actas.aspx?id=lrBbScnVL1E=;https://gld.legislaturacba.gob.ar/Publics/Actas.aspx?id=Mk08PToRx0g=</v>
      </c>
      <c r="T689" s="99">
        <f t="shared" ca="1" si="0"/>
        <v>0</v>
      </c>
    </row>
    <row r="690" spans="1:20">
      <c r="A690" s="20">
        <f ca="1">IFERROR(__xludf.DUMMYFUNCTION("""COMPUTED_VALUE"""),194)</f>
        <v>194</v>
      </c>
      <c r="B690" s="20">
        <f ca="1">IFERROR(__xludf.DUMMYFUNCTION("""COMPUTED_VALUE"""),2022)</f>
        <v>2022</v>
      </c>
      <c r="C690" s="20" t="str">
        <f ca="1">IFERROR(__xludf.DUMMYFUNCTION("""COMPUTED_VALUE"""),"VIRTUAL")</f>
        <v>VIRTUAL</v>
      </c>
      <c r="D690" s="108">
        <f ca="1">IFERROR(__xludf.DUMMYFUNCTION("""COMPUTED_VALUE"""),44887)</f>
        <v>44887</v>
      </c>
      <c r="E690" s="20" t="str">
        <f ca="1">IFERROR(__xludf.DUMMYFUNCTION("""COMPUTED_VALUE"""),"SI")</f>
        <v>SI</v>
      </c>
      <c r="F690" s="20" t="str">
        <f ca="1">IFERROR(__xludf.DUMMYFUNCTION("""COMPUTED_VALUE"""),"EDUCACIÓN, CULTURA, CIENCIA, TECNOLOGÍA E INFORMÁTICA;ECONOMÍA, PRESUPUESTO, GESTIÓN PÚBLICA E INNOVACIÓN")</f>
        <v>EDUCACIÓN, CULTURA, CIENCIA, TECNOLOGÍA E INFORMÁTICA;ECONOMÍA, PRESUPUESTO, GESTIÓN PÚBLICA E INNOVACIÓN</v>
      </c>
      <c r="G690" s="20">
        <f ca="1">IFERROR(__xludf.DUMMYFUNCTION("""COMPUTED_VALUE"""),2)</f>
        <v>2</v>
      </c>
      <c r="H690" s="20">
        <f ca="1">IFERROR(__xludf.DUMMYFUNCTION("""COMPUTED_VALUE"""),2)</f>
        <v>2</v>
      </c>
      <c r="I690" s="20">
        <f ca="1">IFERROR(__xludf.DUMMYFUNCTION("""COMPUTED_VALUE"""),1)</f>
        <v>1</v>
      </c>
      <c r="J690" s="20" t="str">
        <f ca="1">IFERROR(__xludf.DUMMYFUNCTION("""COMPUTED_VALUE"""),"Ley")</f>
        <v>Ley</v>
      </c>
      <c r="K690" s="20">
        <f ca="1">IFERROR(__xludf.DUMMYFUNCTION("""COMPUTED_VALUE"""),36501)</f>
        <v>36501</v>
      </c>
      <c r="L690" s="20" t="str">
        <f ca="1">IFERROR(__xludf.DUMMYFUNCTION("""COMPUTED_VALUE"""),"Poder Ejecutivo Provincial")</f>
        <v>Poder Ejecutivo Provincial</v>
      </c>
      <c r="M690" s="20" t="str">
        <f ca="1">IFERROR(__xludf.DUMMYFUNCTION("""COMPUTED_VALUE"""),"Modificando el artículo 6° de la Ley N° 9835, de Creación del Fondo para la Descentralización del Mantenimiento de Edificios Escolares Provinciales -FODEMEEP-, autorizando al Poder Ejecutivo a incrementar en cada ejercicio presupuestario el monto de dicho"&amp;" fondo, estableciendo como asignación extraordinaria para el ejercicio 2022, la suma de Pesos cuatrocientos cincuenta millones ($450.000.000,00), por única vez. ")</f>
        <v xml:space="preserve">Modificando el artículo 6° de la Ley N° 9835, de Creación del Fondo para la Descentralización del Mantenimiento de Edificios Escolares Provinciales -FODEMEEP-, autorizando al Poder Ejecutivo a incrementar en cada ejercicio presupuestario el monto de dicho fondo, estableciendo como asignación extraordinaria para el ejercicio 2022, la suma de Pesos cuatrocientos cincuenta millones ($450.000.000,00), por única vez. </v>
      </c>
      <c r="N690" s="20" t="str">
        <f ca="1">IFERROR(__xludf.DUMMYFUNCTION("""COMPUTED_VALUE"""),"SI")</f>
        <v>SI</v>
      </c>
      <c r="O690" s="20" t="str">
        <f ca="1">IFERROR(__xludf.DUMMYFUNCTION("""COMPUTED_VALUE"""),"SI")</f>
        <v>SI</v>
      </c>
      <c r="P690" s="20">
        <f ca="1">IFERROR(__xludf.DUMMYFUNCTION("""COMPUTED_VALUE"""),2)</f>
        <v>2</v>
      </c>
      <c r="Q690" s="113" t="str">
        <f ca="1">IFERROR(__xludf.DUMMYFUNCTION("""COMPUTED_VALUE"""),"https://gld.legislaturacba.gob.ar/_cdd/api/Documento/descargar?guid=cb88de8e-5074-4aad-89f8-01fe0bf0fb3d&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v>
      </c>
      <c r="R690" s="20" t="str">
        <f ca="1">IFERROR(__xludf.DUMMYFUNCTION("""COMPUTED_VALUE"""),"NA")</f>
        <v>NA</v>
      </c>
      <c r="S690" s="113" t="str">
        <f ca="1">IFERROR(__xludf.DUMMYFUNCTION("""COMPUTED_VALUE"""),"https://gld.legislaturacba.gob.ar/Publics/Actas.aspx?id=T_idxx1Wvd4=;https://gld.legislaturacba.gob.ar/Publics/Actas.aspx?id=1l0Zvqti13A=")</f>
        <v>https://gld.legislaturacba.gob.ar/Publics/Actas.aspx?id=T_idxx1Wvd4=;https://gld.legislaturacba.gob.ar/Publics/Actas.aspx?id=1l0Zvqti13A=</v>
      </c>
      <c r="T690" s="99">
        <f t="shared" ca="1" si="0"/>
        <v>0</v>
      </c>
    </row>
    <row r="691" spans="1:20">
      <c r="A691" s="20">
        <f ca="1">IFERROR(__xludf.DUMMYFUNCTION("""COMPUTED_VALUE"""),195)</f>
        <v>195</v>
      </c>
      <c r="B691" s="20">
        <f ca="1">IFERROR(__xludf.DUMMYFUNCTION("""COMPUTED_VALUE"""),2022)</f>
        <v>2022</v>
      </c>
      <c r="C691" s="20" t="str">
        <f ca="1">IFERROR(__xludf.DUMMYFUNCTION("""COMPUTED_VALUE"""),"SEMIPRESENCIAL")</f>
        <v>SEMIPRESENCIAL</v>
      </c>
      <c r="D691" s="108">
        <f ca="1">IFERROR(__xludf.DUMMYFUNCTION("""COMPUTED_VALUE"""),44888)</f>
        <v>44888</v>
      </c>
      <c r="E691" s="20" t="str">
        <f ca="1">IFERROR(__xludf.DUMMYFUNCTION("""COMPUTED_VALUE"""),"SI")</f>
        <v>SI</v>
      </c>
      <c r="F691" s="20" t="str">
        <f ca="1">IFERROR(__xludf.DUMMYFUNCTION("""COMPUTED_VALUE"""),"LEGISLACIÓN GENERAL;ASUNTOS CONSTITUCIONALES, JUSTICIA Y ACUERDOS")</f>
        <v>LEGISLACIÓN GENERAL;ASUNTOS CONSTITUCIONALES, JUSTICIA Y ACUERDOS</v>
      </c>
      <c r="G691" s="20">
        <f ca="1">IFERROR(__xludf.DUMMYFUNCTION("""COMPUTED_VALUE"""),2)</f>
        <v>2</v>
      </c>
      <c r="H691" s="20">
        <f ca="1">IFERROR(__xludf.DUMMYFUNCTION("""COMPUTED_VALUE"""),7)</f>
        <v>7</v>
      </c>
      <c r="I691" s="20">
        <f ca="1">IFERROR(__xludf.DUMMYFUNCTION("""COMPUTED_VALUE"""),1)</f>
        <v>1</v>
      </c>
      <c r="J691" s="20" t="str">
        <f ca="1">IFERROR(__xludf.DUMMYFUNCTION("""COMPUTED_VALUE"""),"Ley")</f>
        <v>Ley</v>
      </c>
      <c r="K691" s="20">
        <f ca="1">IFERROR(__xludf.DUMMYFUNCTION("""COMPUTED_VALUE"""),35387)</f>
        <v>35387</v>
      </c>
      <c r="L691" s="20" t="str">
        <f ca="1">IFERROR(__xludf.DUMMYFUNCTION("""COMPUTED_VALUE"""),"Poder Ejecutivo Provincial")</f>
        <v>Poder Ejecutivo Provincial</v>
      </c>
      <c r="M691" s="20" t="str">
        <f ca="1">IFERROR(__xludf.DUMMYFUNCTION("""COMPUTED_VALUE"""),"Modificando el artículo 577 de la Ley N° 8465, Código Procesal Civil y Comercial de la Provincia de Córdoba, referido a las formas de realización de los bienes afectados a la ejecución. ")</f>
        <v xml:space="preserve">Modificando el artículo 577 de la Ley N° 8465, Código Procesal Civil y Comercial de la Provincia de Córdoba, referido a las formas de realización de los bienes afectados a la ejecución. </v>
      </c>
      <c r="N691" s="20" t="str">
        <f ca="1">IFERROR(__xludf.DUMMYFUNCTION("""COMPUTED_VALUE"""),"NO")</f>
        <v>NO</v>
      </c>
      <c r="O691" s="20" t="str">
        <f ca="1">IFERROR(__xludf.DUMMYFUNCTION("""COMPUTED_VALUE"""),"NO")</f>
        <v>NO</v>
      </c>
      <c r="P691" s="20">
        <f ca="1">IFERROR(__xludf.DUMMYFUNCTION("""COMPUTED_VALUE"""),0)</f>
        <v>0</v>
      </c>
      <c r="Q691" s="113" t="str">
        <f ca="1">IFERROR(__xludf.DUMMYFUNCTION("""COMPUTED_VALUE"""),"https://gld.legislaturacba.gob.ar/_cdd/api/Documento/descargar?guid=49677d06-871f-475e-8a5f-b65a9b185b95&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v>
      </c>
      <c r="R691" s="113" t="str">
        <f ca="1">IFERROR(__xludf.DUMMYFUNCTION("""COMPUTED_VALUE"""),"https://www.youtube.com/watch?v=2gLsouC5en8")</f>
        <v>https://www.youtube.com/watch?v=2gLsouC5en8</v>
      </c>
      <c r="S691" s="113" t="str">
        <f ca="1">IFERROR(__xludf.DUMMYFUNCTION("""COMPUTED_VALUE"""),"https://gld.legislaturacba.gob.ar/Publics/Actas.aspx?id=hxOLQatsAHI=;https://gld.legislaturacba.gob.ar/Publics/Actas.aspx?id=GiDdtVCTzm8=")</f>
        <v>https://gld.legislaturacba.gob.ar/Publics/Actas.aspx?id=hxOLQatsAHI=;https://gld.legislaturacba.gob.ar/Publics/Actas.aspx?id=GiDdtVCTzm8=</v>
      </c>
      <c r="T691" s="99">
        <f t="shared" ca="1" si="0"/>
        <v>0</v>
      </c>
    </row>
    <row r="692" spans="1:20">
      <c r="A692" s="20">
        <f ca="1">IFERROR(__xludf.DUMMYFUNCTION("""COMPUTED_VALUE"""),196)</f>
        <v>196</v>
      </c>
      <c r="B692" s="20">
        <f ca="1">IFERROR(__xludf.DUMMYFUNCTION("""COMPUTED_VALUE"""),2022)</f>
        <v>2022</v>
      </c>
      <c r="C692" s="20" t="str">
        <f ca="1">IFERROR(__xludf.DUMMYFUNCTION("""COMPUTED_VALUE"""),"SEMIPRESENCIAL")</f>
        <v>SEMIPRESENCIAL</v>
      </c>
      <c r="D692" s="108">
        <f ca="1">IFERROR(__xludf.DUMMYFUNCTION("""COMPUTED_VALUE"""),44889)</f>
        <v>44889</v>
      </c>
      <c r="E692" s="20" t="str">
        <f ca="1">IFERROR(__xludf.DUMMYFUNCTION("""COMPUTED_VALUE"""),"SI")</f>
        <v>SI</v>
      </c>
      <c r="F692"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92" s="20">
        <f ca="1">IFERROR(__xludf.DUMMYFUNCTION("""COMPUTED_VALUE"""),3)</f>
        <v>3</v>
      </c>
      <c r="H692" s="20">
        <f ca="1">IFERROR(__xludf.DUMMYFUNCTION("""COMPUTED_VALUE"""),3)</f>
        <v>3</v>
      </c>
      <c r="I692" s="20">
        <f ca="1">IFERROR(__xludf.DUMMYFUNCTION("""COMPUTED_VALUE"""),1)</f>
        <v>1</v>
      </c>
      <c r="J692" s="20" t="str">
        <f ca="1">IFERROR(__xludf.DUMMYFUNCTION("""COMPUTED_VALUE"""),"Ley")</f>
        <v>Ley</v>
      </c>
      <c r="K692" s="20">
        <f ca="1">IFERROR(__xludf.DUMMYFUNCTION("""COMPUTED_VALUE"""),36472)</f>
        <v>36472</v>
      </c>
      <c r="L692" s="20" t="str">
        <f ca="1">IFERROR(__xludf.DUMMYFUNCTION("""COMPUTED_VALUE"""),"Poder Ejecutivo Provincial")</f>
        <v>Poder Ejecutivo Provincial</v>
      </c>
      <c r="M692" s="20" t="str">
        <f ca="1">IFERROR(__xludf.DUMMYFUNCTION("""COMPUTED_VALUE"""),"Estableciendo el Presupuesto General de la Administración Pública Provincial para el año 2023.")</f>
        <v>Estableciendo el Presupuesto General de la Administración Pública Provincial para el año 2023.</v>
      </c>
      <c r="N692" s="20" t="str">
        <f ca="1">IFERROR(__xludf.DUMMYFUNCTION("""COMPUTED_VALUE"""),"NO")</f>
        <v>NO</v>
      </c>
      <c r="O692" s="20" t="str">
        <f ca="1">IFERROR(__xludf.DUMMYFUNCTION("""COMPUTED_VALUE"""),"SI")</f>
        <v>SI</v>
      </c>
      <c r="P692" s="20">
        <f ca="1">IFERROR(__xludf.DUMMYFUNCTION("""COMPUTED_VALUE"""),33)</f>
        <v>33</v>
      </c>
      <c r="Q692" s="113" t="str">
        <f ca="1">IFERROR(__xludf.DUMMYFUNCTION("""COMPUTED_VALUE"""),"https://gld.legislaturacba.gob.ar/_cdd/api/Documento/descargar?guid=d80140e5-cdf6-44f0-83fc-48fdacac66ee&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v>
      </c>
      <c r="R692" s="113" t="str">
        <f ca="1">IFERROR(__xludf.DUMMYFUNCTION("""COMPUTED_VALUE"""),"https://www.youtube.com/watch?v=06GVseSwD4w")</f>
        <v>https://www.youtube.com/watch?v=06GVseSwD4w</v>
      </c>
      <c r="S692" s="113" t="str">
        <f ca="1">IFERROR(__xludf.DUMMYFUNCTION("""COMPUTED_VALUE"""),"https://gld.legislaturacba.gob.ar/Publics/Actas.aspx?id=508ZW6emrrk=;https://gld.legislaturacba.gob.ar/Publics/Actas.aspx?id=jAuWtXDRfOg=;https://gld.legislaturacba.gob.ar/Publics/Actas.aspx?id=-ojVCtNQpUY=")</f>
        <v>https://gld.legislaturacba.gob.ar/Publics/Actas.aspx?id=508ZW6emrrk=;https://gld.legislaturacba.gob.ar/Publics/Actas.aspx?id=jAuWtXDRfOg=;https://gld.legislaturacba.gob.ar/Publics/Actas.aspx?id=-ojVCtNQpUY=</v>
      </c>
      <c r="T692" s="99">
        <f t="shared" ca="1" si="0"/>
        <v>0</v>
      </c>
    </row>
    <row r="693" spans="1:20">
      <c r="A693" s="20">
        <f ca="1">IFERROR(__xludf.DUMMYFUNCTION("""COMPUTED_VALUE"""),197)</f>
        <v>197</v>
      </c>
      <c r="B693" s="20">
        <f ca="1">IFERROR(__xludf.DUMMYFUNCTION("""COMPUTED_VALUE"""),2022)</f>
        <v>2022</v>
      </c>
      <c r="C693" s="20" t="str">
        <f ca="1">IFERROR(__xludf.DUMMYFUNCTION("""COMPUTED_VALUE"""),"VIRTUAL")</f>
        <v>VIRTUAL</v>
      </c>
      <c r="D693" s="108">
        <f ca="1">IFERROR(__xludf.DUMMYFUNCTION("""COMPUTED_VALUE"""),44889)</f>
        <v>44889</v>
      </c>
      <c r="E693" s="20" t="str">
        <f ca="1">IFERROR(__xludf.DUMMYFUNCTION("""COMPUTED_VALUE"""),"SI")</f>
        <v>SI</v>
      </c>
      <c r="F693" s="20" t="str">
        <f ca="1">IFERROR(__xludf.DUMMYFUNCTION("""COMPUTED_VALUE"""),"ASUNTOS CONSTITUCIONALES, JUSTICIA Y ACUERDOS;ASUNTOS INSTITUCIONALES, MUNICIPALES Y COMUNALES")</f>
        <v>ASUNTOS CONSTITUCIONALES, JUSTICIA Y ACUERDOS;ASUNTOS INSTITUCIONALES, MUNICIPALES Y COMUNALES</v>
      </c>
      <c r="G693" s="20">
        <f ca="1">IFERROR(__xludf.DUMMYFUNCTION("""COMPUTED_VALUE"""),2)</f>
        <v>2</v>
      </c>
      <c r="H693" s="20">
        <f ca="1">IFERROR(__xludf.DUMMYFUNCTION("""COMPUTED_VALUE"""),5)</f>
        <v>5</v>
      </c>
      <c r="I693" s="20">
        <f ca="1">IFERROR(__xludf.DUMMYFUNCTION("""COMPUTED_VALUE"""),1)</f>
        <v>1</v>
      </c>
      <c r="J693" s="20" t="str">
        <f ca="1">IFERROR(__xludf.DUMMYFUNCTION("""COMPUTED_VALUE"""),"NA")</f>
        <v>NA</v>
      </c>
      <c r="K693" s="20">
        <f ca="1">IFERROR(__xludf.DUMMYFUNCTION("""COMPUTED_VALUE"""),36489)</f>
        <v>36489</v>
      </c>
      <c r="L693" s="20" t="str">
        <f ca="1">IFERROR(__xludf.DUMMYFUNCTION("""COMPUTED_VALUE"""),"Poder Legislativo Provincial")</f>
        <v>Poder Legislativo Provincial</v>
      </c>
      <c r="M693" s="20" t="str">
        <f ca="1">IFERROR(__xludf.DUMMYFUNCTION("""COMPUTED_VALUE"""),"En contra del Legislador Oscar Gonzalez")</f>
        <v>En contra del Legislador Oscar Gonzalez</v>
      </c>
      <c r="N693" s="20" t="str">
        <f ca="1">IFERROR(__xludf.DUMMYFUNCTION("""COMPUTED_VALUE"""),"NO")</f>
        <v>NO</v>
      </c>
      <c r="O693" s="20" t="str">
        <f ca="1">IFERROR(__xludf.DUMMYFUNCTION("""COMPUTED_VALUE"""),"NO")</f>
        <v>NO</v>
      </c>
      <c r="P693" s="20">
        <f ca="1">IFERROR(__xludf.DUMMYFUNCTION("""COMPUTED_VALUE"""),0)</f>
        <v>0</v>
      </c>
      <c r="Q693" s="113" t="str">
        <f ca="1">IFERROR(__xludf.DUMMYFUNCTION("""COMPUTED_VALUE"""),"https://gld.legislaturacba.gob.ar/_cdd/api/Documento/descargar?guid=3c4af2e1-f021-479d-a36b-5be30817de68&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v>
      </c>
      <c r="R693" s="113" t="str">
        <f ca="1">IFERROR(__xludf.DUMMYFUNCTION("""COMPUTED_VALUE"""),"https://www.youtube.com/watch?v=Y8ewZxzBw6w")</f>
        <v>https://www.youtube.com/watch?v=Y8ewZxzBw6w</v>
      </c>
      <c r="S693" s="113" t="str">
        <f ca="1">IFERROR(__xludf.DUMMYFUNCTION("""COMPUTED_VALUE"""),"https://gld.legislaturacba.gob.ar/Publics/Actas.aspx?id=U5gSrD5YMhA=;https://gld.legislaturacba.gob.ar/Publics/Actas.aspx?id=a6OHmrsqL3o=")</f>
        <v>https://gld.legislaturacba.gob.ar/Publics/Actas.aspx?id=U5gSrD5YMhA=;https://gld.legislaturacba.gob.ar/Publics/Actas.aspx?id=a6OHmrsqL3o=</v>
      </c>
      <c r="T693" s="99">
        <f t="shared" ca="1" si="0"/>
        <v>0</v>
      </c>
    </row>
    <row r="694" spans="1:20">
      <c r="A694" s="20">
        <f ca="1">IFERROR(__xludf.DUMMYFUNCTION("""COMPUTED_VALUE"""),198)</f>
        <v>198</v>
      </c>
      <c r="B694" s="20">
        <f ca="1">IFERROR(__xludf.DUMMYFUNCTION("""COMPUTED_VALUE"""),2022)</f>
        <v>2022</v>
      </c>
      <c r="C694" s="20" t="str">
        <f ca="1">IFERROR(__xludf.DUMMYFUNCTION("""COMPUTED_VALUE"""),"SEMIPRESENCIAL")</f>
        <v>SEMIPRESENCIAL</v>
      </c>
      <c r="D694" s="108">
        <f ca="1">IFERROR(__xludf.DUMMYFUNCTION("""COMPUTED_VALUE"""),44894)</f>
        <v>44894</v>
      </c>
      <c r="E694" s="20" t="str">
        <f ca="1">IFERROR(__xludf.DUMMYFUNCTION("""COMPUTED_VALUE"""),"SI")</f>
        <v>SI</v>
      </c>
      <c r="F694"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94" s="20">
        <f ca="1">IFERROR(__xludf.DUMMYFUNCTION("""COMPUTED_VALUE"""),3)</f>
        <v>3</v>
      </c>
      <c r="H694" s="20">
        <f ca="1">IFERROR(__xludf.DUMMYFUNCTION("""COMPUTED_VALUE"""),3)</f>
        <v>3</v>
      </c>
      <c r="I694" s="20">
        <f ca="1">IFERROR(__xludf.DUMMYFUNCTION("""COMPUTED_VALUE"""),1)</f>
        <v>1</v>
      </c>
      <c r="J694" s="20" t="str">
        <f ca="1">IFERROR(__xludf.DUMMYFUNCTION("""COMPUTED_VALUE"""),"Ley")</f>
        <v>Ley</v>
      </c>
      <c r="K694" s="20">
        <f ca="1">IFERROR(__xludf.DUMMYFUNCTION("""COMPUTED_VALUE"""),36472)</f>
        <v>36472</v>
      </c>
      <c r="L694" s="20" t="str">
        <f ca="1">IFERROR(__xludf.DUMMYFUNCTION("""COMPUTED_VALUE"""),"Poder Ejecutivo Provincial")</f>
        <v>Poder Ejecutivo Provincial</v>
      </c>
      <c r="M694" s="20" t="str">
        <f ca="1">IFERROR(__xludf.DUMMYFUNCTION("""COMPUTED_VALUE"""),"Estableciendo el Presupuesto General de la Administración Pública Provincial para el año 2023.")</f>
        <v>Estableciendo el Presupuesto General de la Administración Pública Provincial para el año 2023.</v>
      </c>
      <c r="N694" s="20" t="str">
        <f ca="1">IFERROR(__xludf.DUMMYFUNCTION("""COMPUTED_VALUE"""),"NO")</f>
        <v>NO</v>
      </c>
      <c r="O694" s="20" t="str">
        <f ca="1">IFERROR(__xludf.DUMMYFUNCTION("""COMPUTED_VALUE"""),"SI")</f>
        <v>SI</v>
      </c>
      <c r="P694" s="20">
        <f ca="1">IFERROR(__xludf.DUMMYFUNCTION("""COMPUTED_VALUE"""),15)</f>
        <v>15</v>
      </c>
      <c r="Q694" s="113" t="str">
        <f ca="1">IFERROR(__xludf.DUMMYFUNCTION("""COMPUTED_VALUE"""),"https://gld.legislaturacba.gob.ar/_cdd/api/Documento/descargar?guid=717df267-e40b-4bb6-8f41-00af27e9adcb&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v>
      </c>
      <c r="R694" s="113" t="str">
        <f ca="1">IFERROR(__xludf.DUMMYFUNCTION("""COMPUTED_VALUE"""),"https://www.youtube.com/watch?v=l51lS1cLEWk")</f>
        <v>https://www.youtube.com/watch?v=l51lS1cLEWk</v>
      </c>
      <c r="S694" s="113" t="str">
        <f ca="1">IFERROR(__xludf.DUMMYFUNCTION("""COMPUTED_VALUE"""),"https://gld.legislaturacba.gob.ar/Publics/Actas.aspx?id=GXaR9BqpPfk=;https://gld.legislaturacba.gob.ar/Publics/Actas.aspx?id=8iIOthmVQgM=;https://gld.legislaturacba.gob.ar/Publics/Actas.aspx?id=j7_Nd1mnVBc=")</f>
        <v>https://gld.legislaturacba.gob.ar/Publics/Actas.aspx?id=GXaR9BqpPfk=;https://gld.legislaturacba.gob.ar/Publics/Actas.aspx?id=8iIOthmVQgM=;https://gld.legislaturacba.gob.ar/Publics/Actas.aspx?id=j7_Nd1mnVBc=</v>
      </c>
      <c r="T694" s="99">
        <f t="shared" ca="1" si="0"/>
        <v>0</v>
      </c>
    </row>
    <row r="695" spans="1:20">
      <c r="A695" s="20">
        <f ca="1">IFERROR(__xludf.DUMMYFUNCTION("""COMPUTED_VALUE"""),199)</f>
        <v>199</v>
      </c>
      <c r="B695" s="20">
        <f ca="1">IFERROR(__xludf.DUMMYFUNCTION("""COMPUTED_VALUE"""),2022)</f>
        <v>2022</v>
      </c>
      <c r="C695" s="20" t="str">
        <f ca="1">IFERROR(__xludf.DUMMYFUNCTION("""COMPUTED_VALUE"""),"VIRTUAL")</f>
        <v>VIRTUAL</v>
      </c>
      <c r="D695" s="108">
        <f ca="1">IFERROR(__xludf.DUMMYFUNCTION("""COMPUTED_VALUE"""),44894)</f>
        <v>44894</v>
      </c>
      <c r="E695" s="20" t="str">
        <f ca="1">IFERROR(__xludf.DUMMYFUNCTION("""COMPUTED_VALUE"""),"SI")</f>
        <v>SI</v>
      </c>
      <c r="F695" s="20" t="str">
        <f ca="1">IFERROR(__xludf.DUMMYFUNCTION("""COMPUTED_VALUE"""),"ASUNTOS CONSTITUCIONALES, JUSTICIA Y ACUERDOS;ASUNTOS INSTITUCIONALES, MUNICIPALES Y COMUNALES")</f>
        <v>ASUNTOS CONSTITUCIONALES, JUSTICIA Y ACUERDOS;ASUNTOS INSTITUCIONALES, MUNICIPALES Y COMUNALES</v>
      </c>
      <c r="G695" s="20">
        <f ca="1">IFERROR(__xludf.DUMMYFUNCTION("""COMPUTED_VALUE"""),2)</f>
        <v>2</v>
      </c>
      <c r="H695" s="20">
        <f ca="1">IFERROR(__xludf.DUMMYFUNCTION("""COMPUTED_VALUE"""),5)</f>
        <v>5</v>
      </c>
      <c r="I695" s="20">
        <f ca="1">IFERROR(__xludf.DUMMYFUNCTION("""COMPUTED_VALUE"""),1)</f>
        <v>1</v>
      </c>
      <c r="J695" s="20" t="str">
        <f ca="1">IFERROR(__xludf.DUMMYFUNCTION("""COMPUTED_VALUE"""),"Cuestión de Privilegio")</f>
        <v>Cuestión de Privilegio</v>
      </c>
      <c r="K695" s="20">
        <f ca="1">IFERROR(__xludf.DUMMYFUNCTION("""COMPUTED_VALUE"""),36489)</f>
        <v>36489</v>
      </c>
      <c r="L695" s="20" t="str">
        <f ca="1">IFERROR(__xludf.DUMMYFUNCTION("""COMPUTED_VALUE"""),"Poder Legislativo Provincial")</f>
        <v>Poder Legislativo Provincial</v>
      </c>
      <c r="M695" s="20" t="str">
        <f ca="1">IFERROR(__xludf.DUMMYFUNCTION("""COMPUTED_VALUE"""),"En contra del Legislador Oscar Gonzalez")</f>
        <v>En contra del Legislador Oscar Gonzalez</v>
      </c>
      <c r="N695" s="20" t="str">
        <f ca="1">IFERROR(__xludf.DUMMYFUNCTION("""COMPUTED_VALUE"""),"SI")</f>
        <v>SI</v>
      </c>
      <c r="O695" s="20" t="str">
        <f ca="1">IFERROR(__xludf.DUMMYFUNCTION("""COMPUTED_VALUE"""),"NO")</f>
        <v>NO</v>
      </c>
      <c r="P695" s="20">
        <f ca="1">IFERROR(__xludf.DUMMYFUNCTION("""COMPUTED_VALUE"""),0)</f>
        <v>0</v>
      </c>
      <c r="Q695" s="113" t="str">
        <f ca="1">IFERROR(__xludf.DUMMYFUNCTION("""COMPUTED_VALUE"""),"https://gld.legislaturacba.gob.ar/_cdd/api/Documento/descargar?guid=78b9d0fa-ee8d-4254-a436-ce3ec46d3693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v>
      </c>
      <c r="R695" s="113" t="str">
        <f ca="1">IFERROR(__xludf.DUMMYFUNCTION("""COMPUTED_VALUE"""),"https://www.youtube.com/watch?v=p5cNu3Z53L0")</f>
        <v>https://www.youtube.com/watch?v=p5cNu3Z53L0</v>
      </c>
      <c r="S695" s="113" t="str">
        <f ca="1">IFERROR(__xludf.DUMMYFUNCTION("""COMPUTED_VALUE"""),"https://gld.legislaturacba.gob.ar/Publics/Actas.aspx?id=ozPghPo4spM=;https://gld.legislaturacba.gob.ar/Publics/Actas.aspx?id=F0U7XNDlbbw=")</f>
        <v>https://gld.legislaturacba.gob.ar/Publics/Actas.aspx?id=ozPghPo4spM=;https://gld.legislaturacba.gob.ar/Publics/Actas.aspx?id=F0U7XNDlbbw=</v>
      </c>
      <c r="T695" s="99">
        <f t="shared" ca="1" si="0"/>
        <v>0</v>
      </c>
    </row>
    <row r="696" spans="1:20">
      <c r="A696" s="20">
        <f ca="1">IFERROR(__xludf.DUMMYFUNCTION("""COMPUTED_VALUE"""),200)</f>
        <v>200</v>
      </c>
      <c r="B696" s="20">
        <f ca="1">IFERROR(__xludf.DUMMYFUNCTION("""COMPUTED_VALUE"""),2022)</f>
        <v>2022</v>
      </c>
      <c r="C696" s="20" t="str">
        <f ca="1">IFERROR(__xludf.DUMMYFUNCTION("""COMPUTED_VALUE"""),"VIRTUAL")</f>
        <v>VIRTUAL</v>
      </c>
      <c r="D696" s="106">
        <f ca="1">IFERROR(__xludf.DUMMYFUNCTION("""COMPUTED_VALUE"""),44896)</f>
        <v>44896</v>
      </c>
      <c r="E696" s="20" t="str">
        <f ca="1">IFERROR(__xludf.DUMMYFUNCTION("""COMPUTED_VALUE"""),"NO")</f>
        <v>NO</v>
      </c>
      <c r="F696" s="20" t="str">
        <f ca="1">IFERROR(__xludf.DUMMYFUNCTION("""COMPUTED_VALUE"""),"ASUNTOS CONSTITUCIONALES, JUSTICIA Y ACUERDOS")</f>
        <v>ASUNTOS CONSTITUCIONALES, JUSTICIA Y ACUERDOS</v>
      </c>
      <c r="G696" s="20">
        <f ca="1">IFERROR(__xludf.DUMMYFUNCTION("""COMPUTED_VALUE"""),1)</f>
        <v>1</v>
      </c>
      <c r="H696" s="20">
        <f ca="1">IFERROR(__xludf.DUMMYFUNCTION("""COMPUTED_VALUE"""),1)</f>
        <v>1</v>
      </c>
      <c r="I696" s="20">
        <f ca="1">IFERROR(__xludf.DUMMYFUNCTION("""COMPUTED_VALUE"""),1)</f>
        <v>1</v>
      </c>
      <c r="J696" s="20" t="str">
        <f ca="1">IFERROR(__xludf.DUMMYFUNCTION("""COMPUTED_VALUE"""),"Resolución")</f>
        <v>Resolución</v>
      </c>
      <c r="K696" s="20">
        <f ca="1">IFERROR(__xludf.DUMMYFUNCTION("""COMPUTED_VALUE"""),36504)</f>
        <v>36504</v>
      </c>
      <c r="L696" s="20" t="str">
        <f ca="1">IFERROR(__xludf.DUMMYFUNCTION("""COMPUTED_VALUE"""),"Poder Legislativo Provincial")</f>
        <v>Poder Legislativo Provincial</v>
      </c>
      <c r="M696" s="20" t="str">
        <f ca="1">IFERROR(__xludf.DUMMYFUNCTION("""COMPUTED_VALUE"""),"Iniciando Juicio Político al Sr. Presidente del Tribunal Superior de Justicia, Dr. Sebastián López Peña, por causal de mal desempeño en el ejercicio de sus funciones, según lo establecido en el artículo 112 de la Constitución de Córdoba.")</f>
        <v>Iniciando Juicio Político al Sr. Presidente del Tribunal Superior de Justicia, Dr. Sebastián López Peña, por causal de mal desempeño en el ejercicio de sus funciones, según lo establecido en el artículo 112 de la Constitución de Córdoba.</v>
      </c>
      <c r="N696" s="20" t="str">
        <f ca="1">IFERROR(__xludf.DUMMYFUNCTION("""COMPUTED_VALUE"""),"SI")</f>
        <v>SI</v>
      </c>
      <c r="O696" s="20" t="str">
        <f ca="1">IFERROR(__xludf.DUMMYFUNCTION("""COMPUTED_VALUE"""),"NO")</f>
        <v>NO</v>
      </c>
      <c r="P696" s="20">
        <f ca="1">IFERROR(__xludf.DUMMYFUNCTION("""COMPUTED_VALUE"""),0)</f>
        <v>0</v>
      </c>
      <c r="Q696" s="113" t="str">
        <f ca="1">IFERROR(__xludf.DUMMYFUNCTION("""COMPUTED_VALUE"""),"https://gld.legislaturacba.gob.ar/_cdd/api/Documento/descargar?guid=a36da000-d58d-48e9-a423-44cfbac15c7f&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v>
      </c>
      <c r="R696" s="20" t="str">
        <f ca="1">IFERROR(__xludf.DUMMYFUNCTION("""COMPUTED_VALUE"""),"NA")</f>
        <v>NA</v>
      </c>
      <c r="S696" s="113" t="str">
        <f ca="1">IFERROR(__xludf.DUMMYFUNCTION("""COMPUTED_VALUE"""),"https://gld.legislaturacba.gob.ar/Publics/Actas.aspx?id=YzxJt8vGEq0=")</f>
        <v>https://gld.legislaturacba.gob.ar/Publics/Actas.aspx?id=YzxJt8vGEq0=</v>
      </c>
      <c r="T696" s="99">
        <f t="shared" ca="1" si="0"/>
        <v>0</v>
      </c>
    </row>
    <row r="697" spans="1:20">
      <c r="A697" s="20">
        <f ca="1">IFERROR(__xludf.DUMMYFUNCTION("""COMPUTED_VALUE"""),201)</f>
        <v>201</v>
      </c>
      <c r="B697" s="20">
        <f ca="1">IFERROR(__xludf.DUMMYFUNCTION("""COMPUTED_VALUE"""),2022)</f>
        <v>2022</v>
      </c>
      <c r="C697" s="20" t="str">
        <f ca="1">IFERROR(__xludf.DUMMYFUNCTION("""COMPUTED_VALUE"""),"PRESENCIAL")</f>
        <v>PRESENCIAL</v>
      </c>
      <c r="D697" s="106">
        <f ca="1">IFERROR(__xludf.DUMMYFUNCTION("""COMPUTED_VALUE"""),44901)</f>
        <v>44901</v>
      </c>
      <c r="E697" s="20" t="str">
        <f ca="1">IFERROR(__xludf.DUMMYFUNCTION("""COMPUTED_VALUE"""),"NO")</f>
        <v>NO</v>
      </c>
      <c r="F697" s="20" t="str">
        <f ca="1">IFERROR(__xludf.DUMMYFUNCTION("""COMPUTED_VALUE"""),"LEGISLACIÓN GENERAL")</f>
        <v>LEGISLACIÓN GENERAL</v>
      </c>
      <c r="G697" s="20">
        <f ca="1">IFERROR(__xludf.DUMMYFUNCTION("""COMPUTED_VALUE"""),1)</f>
        <v>1</v>
      </c>
      <c r="H697" s="20">
        <f ca="1">IFERROR(__xludf.DUMMYFUNCTION("""COMPUTED_VALUE"""),1)</f>
        <v>1</v>
      </c>
      <c r="I697" s="20">
        <f ca="1">IFERROR(__xludf.DUMMYFUNCTION("""COMPUTED_VALUE"""),1)</f>
        <v>1</v>
      </c>
      <c r="J697" s="20" t="str">
        <f ca="1">IFERROR(__xludf.DUMMYFUNCTION("""COMPUTED_VALUE"""),"NA")</f>
        <v>NA</v>
      </c>
      <c r="K697" s="20" t="str">
        <f ca="1">IFERROR(__xludf.DUMMYFUNCTION("""COMPUTED_VALUE"""),"NA")</f>
        <v>NA</v>
      </c>
      <c r="L697" s="20" t="str">
        <f ca="1">IFERROR(__xludf.DUMMYFUNCTION("""COMPUTED_VALUE"""),"NA")</f>
        <v>NA</v>
      </c>
      <c r="M697" s="20" t="str">
        <f ca="1">IFERROR(__xludf.DUMMYFUNCTION("""COMPUTED_VALUE"""),"Visita a la Cárcel de Bouwer")</f>
        <v>Visita a la Cárcel de Bouwer</v>
      </c>
      <c r="N697" s="20" t="str">
        <f ca="1">IFERROR(__xludf.DUMMYFUNCTION("""COMPUTED_VALUE"""),"NA")</f>
        <v>NA</v>
      </c>
      <c r="O697" s="20" t="str">
        <f ca="1">IFERROR(__xludf.DUMMYFUNCTION("""COMPUTED_VALUE"""),"NO")</f>
        <v>NO</v>
      </c>
      <c r="P697" s="20">
        <f ca="1">IFERROR(__xludf.DUMMYFUNCTION("""COMPUTED_VALUE"""),0)</f>
        <v>0</v>
      </c>
      <c r="Q697" s="20" t="str">
        <f ca="1">IFERROR(__xludf.DUMMYFUNCTION("""COMPUTED_VALUE"""),"NA")</f>
        <v>NA</v>
      </c>
      <c r="R697" s="20" t="str">
        <f ca="1">IFERROR(__xludf.DUMMYFUNCTION("""COMPUTED_VALUE"""),"NA")</f>
        <v>NA</v>
      </c>
      <c r="S697" s="113" t="str">
        <f ca="1">IFERROR(__xludf.DUMMYFUNCTION("""COMPUTED_VALUE"""),"https://gld.legislaturacba.gob.ar/Publics/Actas.aspx?id=eIt4rSiGWnU=")</f>
        <v>https://gld.legislaturacba.gob.ar/Publics/Actas.aspx?id=eIt4rSiGWnU=</v>
      </c>
      <c r="T697" s="99">
        <f t="shared" ca="1" si="0"/>
        <v>0</v>
      </c>
    </row>
    <row r="698" spans="1:20">
      <c r="A698" s="20">
        <f ca="1">IFERROR(__xludf.DUMMYFUNCTION("""COMPUTED_VALUE"""),202)</f>
        <v>202</v>
      </c>
      <c r="B698" s="20">
        <f ca="1">IFERROR(__xludf.DUMMYFUNCTION("""COMPUTED_VALUE"""),2022)</f>
        <v>2022</v>
      </c>
      <c r="C698" s="20" t="str">
        <f ca="1">IFERROR(__xludf.DUMMYFUNCTION("""COMPUTED_VALUE"""),"VIRTUAL")</f>
        <v>VIRTUAL</v>
      </c>
      <c r="D698" s="106">
        <f ca="1">IFERROR(__xludf.DUMMYFUNCTION("""COMPUTED_VALUE"""),44901)</f>
        <v>44901</v>
      </c>
      <c r="E698" s="20" t="str">
        <f ca="1">IFERROR(__xludf.DUMMYFUNCTION("""COMPUTED_VALUE"""),"SI")</f>
        <v>SI</v>
      </c>
      <c r="F698" s="20" t="str">
        <f ca="1">IFERROR(__xludf.DUMMYFUNCTION("""COMPUTED_VALUE"""),"LEGISLACIÓN GENERAL;ASUNTOS CONSTITUCIONALES, JUSTICIA Y ACUERDOS;ECONOMÍA, PRESUPUESTO, GESTIÓN PÚBLICA E INNOVACIÓN")</f>
        <v>LEGISLACIÓN GENERAL;ASUNTOS CONSTITUCIONALES, JUSTICIA Y ACUERDOS;ECONOMÍA, PRESUPUESTO, GESTIÓN PÚBLICA E INNOVACIÓN</v>
      </c>
      <c r="G698" s="20">
        <f ca="1">IFERROR(__xludf.DUMMYFUNCTION("""COMPUTED_VALUE"""),3)</f>
        <v>3</v>
      </c>
      <c r="H698" s="20">
        <f ca="1">IFERROR(__xludf.DUMMYFUNCTION("""COMPUTED_VALUE"""),3)</f>
        <v>3</v>
      </c>
      <c r="I698" s="20">
        <f ca="1">IFERROR(__xludf.DUMMYFUNCTION("""COMPUTED_VALUE"""),1)</f>
        <v>1</v>
      </c>
      <c r="J698" s="20" t="str">
        <f ca="1">IFERROR(__xludf.DUMMYFUNCTION("""COMPUTED_VALUE"""),"Ley")</f>
        <v>Ley</v>
      </c>
      <c r="K698" s="20">
        <f ca="1">IFERROR(__xludf.DUMMYFUNCTION("""COMPUTED_VALUE"""),36472)</f>
        <v>36472</v>
      </c>
      <c r="L698" s="20" t="str">
        <f ca="1">IFERROR(__xludf.DUMMYFUNCTION("""COMPUTED_VALUE"""),"Poder Ejecutivo Provincial")</f>
        <v>Poder Ejecutivo Provincial</v>
      </c>
      <c r="M698" s="20" t="str">
        <f ca="1">IFERROR(__xludf.DUMMYFUNCTION("""COMPUTED_VALUE"""),"Estableciendo el Presupuesto General de la Administración Pública Provincial para el año 2023.")</f>
        <v>Estableciendo el Presupuesto General de la Administración Pública Provincial para el año 2023.</v>
      </c>
      <c r="N698" s="20" t="str">
        <f ca="1">IFERROR(__xludf.DUMMYFUNCTION("""COMPUTED_VALUE"""),"SI")</f>
        <v>SI</v>
      </c>
      <c r="O698" s="20" t="str">
        <f ca="1">IFERROR(__xludf.DUMMYFUNCTION("""COMPUTED_VALUE"""),"NO")</f>
        <v>NO</v>
      </c>
      <c r="P698" s="20">
        <f ca="1">IFERROR(__xludf.DUMMYFUNCTION("""COMPUTED_VALUE"""),0)</f>
        <v>0</v>
      </c>
      <c r="Q698" s="113" t="str">
        <f ca="1">IFERROR(__xludf.DUMMYFUNCTION("""COMPUTED_VALUE"""),"https://gld.legislaturacba.gob.ar/_cdd/api/Documento/descargar?guid=bad921a2-3e9a-4c99-970b-03b812dedef5&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v>
      </c>
      <c r="R698" s="113" t="str">
        <f ca="1">IFERROR(__xludf.DUMMYFUNCTION("""COMPUTED_VALUE"""),"https://www.youtube.com/watch?v=O4sN6vpiaaA")</f>
        <v>https://www.youtube.com/watch?v=O4sN6vpiaaA</v>
      </c>
      <c r="S698" s="113" t="str">
        <f ca="1">IFERROR(__xludf.DUMMYFUNCTION("""COMPUTED_VALUE"""),"https://gld.legislaturacba.gob.ar/Publics/Actas.aspx?id=TgSiiAeUrcg=;https://gld.legislaturacba.gob.ar/Publics/Actas.aspx?id=1XoduSbfkXo=;https://gld.legislaturacba.gob.ar/Publics/Actas.aspx?id=X3Wm8TfEQ54=")</f>
        <v>https://gld.legislaturacba.gob.ar/Publics/Actas.aspx?id=TgSiiAeUrcg=;https://gld.legislaturacba.gob.ar/Publics/Actas.aspx?id=1XoduSbfkXo=;https://gld.legislaturacba.gob.ar/Publics/Actas.aspx?id=X3Wm8TfEQ54=</v>
      </c>
      <c r="T698" s="99">
        <f t="shared" ca="1" si="0"/>
        <v>0</v>
      </c>
    </row>
    <row r="699" spans="1:20">
      <c r="A699" s="20">
        <f ca="1">IFERROR(__xludf.DUMMYFUNCTION("""COMPUTED_VALUE"""),203)</f>
        <v>203</v>
      </c>
      <c r="B699" s="20">
        <f ca="1">IFERROR(__xludf.DUMMYFUNCTION("""COMPUTED_VALUE"""),2022)</f>
        <v>2022</v>
      </c>
      <c r="C699" s="20" t="str">
        <f ca="1">IFERROR(__xludf.DUMMYFUNCTION("""COMPUTED_VALUE"""),"VIRTUAL")</f>
        <v>VIRTUAL</v>
      </c>
      <c r="D699" s="106">
        <f ca="1">IFERROR(__xludf.DUMMYFUNCTION("""COMPUTED_VALUE"""),44901)</f>
        <v>44901</v>
      </c>
      <c r="E699" s="20" t="str">
        <f ca="1">IFERROR(__xludf.DUMMYFUNCTION("""COMPUTED_VALUE"""),"NO")</f>
        <v>NO</v>
      </c>
      <c r="F699" s="20" t="str">
        <f ca="1">IFERROR(__xludf.DUMMYFUNCTION("""COMPUTED_VALUE"""),"ASUNTOS INSTITUCIONALES, MUNICIPALES Y COMUNALES")</f>
        <v>ASUNTOS INSTITUCIONALES, MUNICIPALES Y COMUNALES</v>
      </c>
      <c r="G699" s="20">
        <f ca="1">IFERROR(__xludf.DUMMYFUNCTION("""COMPUTED_VALUE"""),1)</f>
        <v>1</v>
      </c>
      <c r="H699" s="20">
        <f ca="1">IFERROR(__xludf.DUMMYFUNCTION("""COMPUTED_VALUE"""),2)</f>
        <v>2</v>
      </c>
      <c r="I699" s="20">
        <f ca="1">IFERROR(__xludf.DUMMYFUNCTION("""COMPUTED_VALUE"""),1)</f>
        <v>1</v>
      </c>
      <c r="J699" s="20" t="str">
        <f ca="1">IFERROR(__xludf.DUMMYFUNCTION("""COMPUTED_VALUE"""),"Ley")</f>
        <v>Ley</v>
      </c>
      <c r="K699" s="20">
        <f ca="1">IFERROR(__xludf.DUMMYFUNCTION("""COMPUTED_VALUE"""),36588)</f>
        <v>36588</v>
      </c>
      <c r="L699" s="20" t="str">
        <f ca="1">IFERROR(__xludf.DUMMYFUNCTION("""COMPUTED_VALUE"""),"Poder Ejecutivo Provincial")</f>
        <v>Poder Ejecutivo Provincial</v>
      </c>
      <c r="M699" s="20" t="str">
        <f ca="1">IFERROR(__xludf.DUMMYFUNCTION("""COMPUTED_VALUE"""),"Modificando el radio municipal de la ciudad de Monte Cristo, Dpto. Rio Primero")</f>
        <v>Modificando el radio municipal de la ciudad de Monte Cristo, Dpto. Rio Primero</v>
      </c>
      <c r="N699" s="20" t="str">
        <f ca="1">IFERROR(__xludf.DUMMYFUNCTION("""COMPUTED_VALUE"""),"SI")</f>
        <v>SI</v>
      </c>
      <c r="O699" s="20" t="str">
        <f ca="1">IFERROR(__xludf.DUMMYFUNCTION("""COMPUTED_VALUE"""),"SI")</f>
        <v>SI</v>
      </c>
      <c r="P699" s="20">
        <f ca="1">IFERROR(__xludf.DUMMYFUNCTION("""COMPUTED_VALUE"""),2)</f>
        <v>2</v>
      </c>
      <c r="Q699" s="113" t="str">
        <f ca="1">IFERROR(__xludf.DUMMYFUNCTION("""COMPUTED_VALUE"""),"https://gld.legislaturacba.gob.ar/_cdd/api/Documento/descargar?guid=0ce04526-990a-45b0-ab81-a748028fd697&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v>
      </c>
      <c r="R699" s="113" t="str">
        <f ca="1">IFERROR(__xludf.DUMMYFUNCTION("""COMPUTED_VALUE"""),"https://www.youtube.com/watch?v=Wy911CvDqdk")</f>
        <v>https://www.youtube.com/watch?v=Wy911CvDqdk</v>
      </c>
      <c r="S699" s="113" t="str">
        <f ca="1">IFERROR(__xludf.DUMMYFUNCTION("""COMPUTED_VALUE"""),"https://gld.legislaturacba.gob.ar/Publics/Actas.aspx?id=jvFNcpyEgxU=")</f>
        <v>https://gld.legislaturacba.gob.ar/Publics/Actas.aspx?id=jvFNcpyEgxU=</v>
      </c>
      <c r="T699" s="99">
        <f t="shared" ca="1" si="0"/>
        <v>0</v>
      </c>
    </row>
    <row r="700" spans="1:20">
      <c r="A700" s="20">
        <f ca="1">IFERROR(__xludf.DUMMYFUNCTION("""COMPUTED_VALUE"""),204)</f>
        <v>204</v>
      </c>
      <c r="B700" s="20">
        <f ca="1">IFERROR(__xludf.DUMMYFUNCTION("""COMPUTED_VALUE"""),2022)</f>
        <v>2022</v>
      </c>
      <c r="C700" s="20" t="str">
        <f ca="1">IFERROR(__xludf.DUMMYFUNCTION("""COMPUTED_VALUE"""),"SEMIPRESENCIAL")</f>
        <v>SEMIPRESENCIAL</v>
      </c>
      <c r="D700" s="106">
        <f ca="1">IFERROR(__xludf.DUMMYFUNCTION("""COMPUTED_VALUE"""),44902)</f>
        <v>44902</v>
      </c>
      <c r="E700" s="20" t="str">
        <f ca="1">IFERROR(__xludf.DUMMYFUNCTION("""COMPUTED_VALUE"""),"SI")</f>
        <v>SI</v>
      </c>
      <c r="F700" s="20" t="str">
        <f ca="1">IFERROR(__xludf.DUMMYFUNCTION("""COMPUTED_VALUE"""),"LEGISLACIÓN GENERAL;ASUNTOS CONSTITUCIONALES, JUSTICIA Y ACUERDOS")</f>
        <v>LEGISLACIÓN GENERAL;ASUNTOS CONSTITUCIONALES, JUSTICIA Y ACUERDOS</v>
      </c>
      <c r="G700" s="20">
        <f ca="1">IFERROR(__xludf.DUMMYFUNCTION("""COMPUTED_VALUE"""),2)</f>
        <v>2</v>
      </c>
      <c r="H700" s="20">
        <f ca="1">IFERROR(__xludf.DUMMYFUNCTION("""COMPUTED_VALUE"""),7)</f>
        <v>7</v>
      </c>
      <c r="I700" s="20">
        <f ca="1">IFERROR(__xludf.DUMMYFUNCTION("""COMPUTED_VALUE"""),1)</f>
        <v>1</v>
      </c>
      <c r="J700" s="20" t="str">
        <f ca="1">IFERROR(__xludf.DUMMYFUNCTION("""COMPUTED_VALUE"""),"Ley")</f>
        <v>Ley</v>
      </c>
      <c r="K700" s="20">
        <f ca="1">IFERROR(__xludf.DUMMYFUNCTION("""COMPUTED_VALUE"""),35387)</f>
        <v>35387</v>
      </c>
      <c r="L700" s="20" t="str">
        <f ca="1">IFERROR(__xludf.DUMMYFUNCTION("""COMPUTED_VALUE"""),"Poder Ejecutivo Provincial")</f>
        <v>Poder Ejecutivo Provincial</v>
      </c>
      <c r="M700" s="20" t="str">
        <f ca="1">IFERROR(__xludf.DUMMYFUNCTION("""COMPUTED_VALUE"""),"Modificando el artículo 577 de la Ley N° 8465, Código Procesal Civil y Comercial de la Provincia de Córdoba, referido a las formas de realización de los bienes afectados a la ejecución. ")</f>
        <v xml:space="preserve">Modificando el artículo 577 de la Ley N° 8465, Código Procesal Civil y Comercial de la Provincia de Córdoba, referido a las formas de realización de los bienes afectados a la ejecución. </v>
      </c>
      <c r="N700" s="20" t="str">
        <f ca="1">IFERROR(__xludf.DUMMYFUNCTION("""COMPUTED_VALUE"""),"NO")</f>
        <v>NO</v>
      </c>
      <c r="O700" s="20" t="str">
        <f ca="1">IFERROR(__xludf.DUMMYFUNCTION("""COMPUTED_VALUE"""),"SI")</f>
        <v>SI</v>
      </c>
      <c r="P700" s="20">
        <f ca="1">IFERROR(__xludf.DUMMYFUNCTION("""COMPUTED_VALUE"""),1)</f>
        <v>1</v>
      </c>
      <c r="Q700" s="113" t="str">
        <f ca="1">IFERROR(__xludf.DUMMYFUNCTION("""COMPUTED_VALUE"""),"https://gld.legislaturacba.gob.ar/_cdd/api/Documento/descargar?guid=bc4517c4-676c-488a-afa0-95113fe10b03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v>
      </c>
      <c r="R700" s="113" t="str">
        <f ca="1">IFERROR(__xludf.DUMMYFUNCTION("""COMPUTED_VALUE"""),"https://www.youtube.com/watch?time_continue=1&amp;v=_e02mqg2AMw&amp;feature=emb_logo")</f>
        <v>https://www.youtube.com/watch?time_continue=1&amp;v=_e02mqg2AMw&amp;feature=emb_logo</v>
      </c>
      <c r="S700" s="113" t="str">
        <f ca="1">IFERROR(__xludf.DUMMYFUNCTION("""COMPUTED_VALUE"""),"https://gld.legislaturacba.gob.ar/Publics/Actas.aspx?id=5vHxuL67dEA=;https://gld.legislaturacba.gob.ar/Publics/Actas.aspx?id=d1H4C305EcY=")</f>
        <v>https://gld.legislaturacba.gob.ar/Publics/Actas.aspx?id=5vHxuL67dEA=;https://gld.legislaturacba.gob.ar/Publics/Actas.aspx?id=d1H4C305EcY=</v>
      </c>
      <c r="T700" s="99">
        <f t="shared" ca="1" si="0"/>
        <v>0</v>
      </c>
    </row>
    <row r="701" spans="1:20">
      <c r="A701" s="20">
        <f ca="1">IFERROR(__xludf.DUMMYFUNCTION("""COMPUTED_VALUE"""),205)</f>
        <v>205</v>
      </c>
      <c r="B701" s="20">
        <f ca="1">IFERROR(__xludf.DUMMYFUNCTION("""COMPUTED_VALUE"""),2022)</f>
        <v>2022</v>
      </c>
      <c r="C701" s="20" t="str">
        <f ca="1">IFERROR(__xludf.DUMMYFUNCTION("""COMPUTED_VALUE"""),"VIRTUAL")</f>
        <v>VIRTUAL</v>
      </c>
      <c r="D701" s="108">
        <f ca="1">IFERROR(__xludf.DUMMYFUNCTION("""COMPUTED_VALUE"""),44908)</f>
        <v>44908</v>
      </c>
      <c r="E701" s="20" t="str">
        <f ca="1">IFERROR(__xludf.DUMMYFUNCTION("""COMPUTED_VALUE"""),"NO")</f>
        <v>NO</v>
      </c>
      <c r="F701" s="20" t="str">
        <f ca="1">IFERROR(__xludf.DUMMYFUNCTION("""COMPUTED_VALUE"""),"ASUNTOS INSTITUCIONALES, MUNICIPALES Y COMUNALES")</f>
        <v>ASUNTOS INSTITUCIONALES, MUNICIPALES Y COMUNALES</v>
      </c>
      <c r="G701" s="20">
        <f ca="1">IFERROR(__xludf.DUMMYFUNCTION("""COMPUTED_VALUE"""),1)</f>
        <v>1</v>
      </c>
      <c r="H701" s="20">
        <f ca="1">IFERROR(__xludf.DUMMYFUNCTION("""COMPUTED_VALUE"""),1)</f>
        <v>1</v>
      </c>
      <c r="I701" s="20">
        <f ca="1">IFERROR(__xludf.DUMMYFUNCTION("""COMPUTED_VALUE"""),1)</f>
        <v>1</v>
      </c>
      <c r="J701" s="20" t="str">
        <f ca="1">IFERROR(__xludf.DUMMYFUNCTION("""COMPUTED_VALUE"""),"Ley")</f>
        <v>Ley</v>
      </c>
      <c r="K701" s="20">
        <f ca="1">IFERROR(__xludf.DUMMYFUNCTION("""COMPUTED_VALUE"""),36589)</f>
        <v>36589</v>
      </c>
      <c r="L701" s="20" t="str">
        <f ca="1">IFERROR(__xludf.DUMMYFUNCTION("""COMPUTED_VALUE"""),"Poder Ejecutivo Provincial")</f>
        <v>Poder Ejecutivo Provincial</v>
      </c>
      <c r="M701" s="20" t="str">
        <f ca="1">IFERROR(__xludf.DUMMYFUNCTION("""COMPUTED_VALUE"""),"Modificando el radio comunal de la localidad de Toro Pujio, Dpto. San Justo. ")</f>
        <v xml:space="preserve">Modificando el radio comunal de la localidad de Toro Pujio, Dpto. San Justo. </v>
      </c>
      <c r="N701" s="20" t="str">
        <f ca="1">IFERROR(__xludf.DUMMYFUNCTION("""COMPUTED_VALUE"""),"NO")</f>
        <v>NO</v>
      </c>
      <c r="O701" s="20" t="str">
        <f ca="1">IFERROR(__xludf.DUMMYFUNCTION("""COMPUTED_VALUE"""),"SI")</f>
        <v>SI</v>
      </c>
      <c r="P701" s="20">
        <f ca="1">IFERROR(__xludf.DUMMYFUNCTION("""COMPUTED_VALUE"""),1)</f>
        <v>1</v>
      </c>
      <c r="Q701" s="113" t="str">
        <f ca="1">IFERROR(__xludf.DUMMYFUNCTION("""COMPUTED_VALUE"""),"https://gld.legislaturacba.gob.ar/_cdd/api/Documento/descargar?guid=0b3f6582-ba3a-4d8f-ae6f-e4a8da9a765b&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v>
      </c>
      <c r="R701" s="113" t="str">
        <f ca="1">IFERROR(__xludf.DUMMYFUNCTION("""COMPUTED_VALUE"""),"https://www.youtube.com/watch?v=Da5GuV0dKxc")</f>
        <v>https://www.youtube.com/watch?v=Da5GuV0dKxc</v>
      </c>
      <c r="S701" s="113" t="str">
        <f ca="1">IFERROR(__xludf.DUMMYFUNCTION("""COMPUTED_VALUE"""),"https://gld.legislaturacba.gob.ar/Publics/Actas.aspx?id=0MEgQYxMuA8=")</f>
        <v>https://gld.legislaturacba.gob.ar/Publics/Actas.aspx?id=0MEgQYxMuA8=</v>
      </c>
      <c r="T701" s="99">
        <f t="shared" ca="1" si="0"/>
        <v>0</v>
      </c>
    </row>
    <row r="702" spans="1:20">
      <c r="A702" s="20">
        <f ca="1">IFERROR(__xludf.DUMMYFUNCTION("""COMPUTED_VALUE"""),206)</f>
        <v>206</v>
      </c>
      <c r="B702" s="20">
        <f ca="1">IFERROR(__xludf.DUMMYFUNCTION("""COMPUTED_VALUE"""),2022)</f>
        <v>2022</v>
      </c>
      <c r="C702" s="20" t="str">
        <f ca="1">IFERROR(__xludf.DUMMYFUNCTION("""COMPUTED_VALUE"""),"SEMIPRESENCIAL")</f>
        <v>SEMIPRESENCIAL</v>
      </c>
      <c r="D702" s="108">
        <f ca="1">IFERROR(__xludf.DUMMYFUNCTION("""COMPUTED_VALUE"""),44909)</f>
        <v>44909</v>
      </c>
      <c r="E702" s="20" t="str">
        <f ca="1">IFERROR(__xludf.DUMMYFUNCTION("""COMPUTED_VALUE"""),"SI")</f>
        <v>SI</v>
      </c>
      <c r="F702" s="20" t="str">
        <f ca="1">IFERROR(__xludf.DUMMYFUNCTION("""COMPUTED_VALUE"""),"LEGISLACIÓN GENERAL;ASUNTOS CONSTITUCIONALES, JUSTICIA Y ACUERDOS")</f>
        <v>LEGISLACIÓN GENERAL;ASUNTOS CONSTITUCIONALES, JUSTICIA Y ACUERDOS</v>
      </c>
      <c r="G702" s="20">
        <f ca="1">IFERROR(__xludf.DUMMYFUNCTION("""COMPUTED_VALUE"""),2)</f>
        <v>2</v>
      </c>
      <c r="H702" s="20">
        <f ca="1">IFERROR(__xludf.DUMMYFUNCTION("""COMPUTED_VALUE"""),11)</f>
        <v>11</v>
      </c>
      <c r="I702" s="20">
        <f ca="1">IFERROR(__xludf.DUMMYFUNCTION("""COMPUTED_VALUE"""),1)</f>
        <v>1</v>
      </c>
      <c r="J702" s="20" t="str">
        <f ca="1">IFERROR(__xludf.DUMMYFUNCTION("""COMPUTED_VALUE"""),"Ley")</f>
        <v>Ley</v>
      </c>
      <c r="K702" s="20">
        <f ca="1">IFERROR(__xludf.DUMMYFUNCTION("""COMPUTED_VALUE"""),36273)</f>
        <v>36273</v>
      </c>
      <c r="L702" s="20" t="str">
        <f ca="1">IFERROR(__xludf.DUMMYFUNCTION("""COMPUTED_VALUE"""),"Poder Legislativo Provincial")</f>
        <v>Poder Legislativo Provincial</v>
      </c>
      <c r="M702" s="20" t="str">
        <f ca="1">IFERROR(__xludf.DUMMYFUNCTION("""COMPUTED_VALUE"""),"Asignando competencia en materia de violencia familiar y de género al Juzgado de Control, Niñez, Juventud y Penal Juvenil y Faltas de la ciudad de Villa Carlos Paz perteneciente a la Primera Circunscripción Judicial, denominándose Juzgado de Control, Niñe"&amp;"z, Juventud, Penal Juvenil, Violencia Familiar, de Género y Faltas.")</f>
        <v>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v>
      </c>
      <c r="N702" s="20" t="str">
        <f ca="1">IFERROR(__xludf.DUMMYFUNCTION("""COMPUTED_VALUE"""),"SI")</f>
        <v>SI</v>
      </c>
      <c r="O702" s="20" t="str">
        <f ca="1">IFERROR(__xludf.DUMMYFUNCTION("""COMPUTED_VALUE"""),"NO")</f>
        <v>NO</v>
      </c>
      <c r="P702" s="20">
        <f ca="1">IFERROR(__xludf.DUMMYFUNCTION("""COMPUTED_VALUE"""),0)</f>
        <v>0</v>
      </c>
      <c r="Q702" s="113" t="str">
        <f ca="1">IFERROR(__xludf.DUMMYFUNCTION("""COMPUTED_VALUE"""),"https://gld.legislaturacba.gob.ar/_cdd/api/Documento/descargar?guid=7b08f31c-6de2-45b5-bea0-cfa27d05dfb8&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v>
      </c>
      <c r="R702" s="20" t="str">
        <f ca="1">IFERROR(__xludf.DUMMYFUNCTION("""COMPUTED_VALUE"""),"NA")</f>
        <v>NA</v>
      </c>
      <c r="S702" s="113" t="str">
        <f ca="1">IFERROR(__xludf.DUMMYFUNCTION("""COMPUTED_VALUE"""),"https://gld.legislaturacba.gob.ar/Publics/Actas.aspx?id=M0MFidCBOXw=;https://gld.legislaturacba.gob.ar/Publics/Actas.aspx?id=wbGYaPKjYvg=")</f>
        <v>https://gld.legislaturacba.gob.ar/Publics/Actas.aspx?id=M0MFidCBOXw=;https://gld.legislaturacba.gob.ar/Publics/Actas.aspx?id=wbGYaPKjYvg=</v>
      </c>
      <c r="T702" s="99">
        <f t="shared" ca="1" si="0"/>
        <v>0</v>
      </c>
    </row>
    <row r="703" spans="1:20">
      <c r="A703" s="20">
        <f ca="1">IFERROR(__xludf.DUMMYFUNCTION("""COMPUTED_VALUE"""),207)</f>
        <v>207</v>
      </c>
      <c r="B703" s="20">
        <f ca="1">IFERROR(__xludf.DUMMYFUNCTION("""COMPUTED_VALUE"""),2022)</f>
        <v>2022</v>
      </c>
      <c r="C703" s="20" t="str">
        <f ca="1">IFERROR(__xludf.DUMMYFUNCTION("""COMPUTED_VALUE"""),"VIRTUAL")</f>
        <v>VIRTUAL</v>
      </c>
      <c r="D703" s="108">
        <f ca="1">IFERROR(__xludf.DUMMYFUNCTION("""COMPUTED_VALUE"""),44910)</f>
        <v>44910</v>
      </c>
      <c r="E703" s="20" t="str">
        <f ca="1">IFERROR(__xludf.DUMMYFUNCTION("""COMPUTED_VALUE"""),"NO")</f>
        <v>NO</v>
      </c>
      <c r="F703" s="20" t="str">
        <f ca="1">IFERROR(__xludf.DUMMYFUNCTION("""COMPUTED_VALUE"""),"ASUNTOS INSTITUCIONALES, MUNICIPALES Y COMUNALES")</f>
        <v>ASUNTOS INSTITUCIONALES, MUNICIPALES Y COMUNALES</v>
      </c>
      <c r="G703" s="20">
        <f ca="1">IFERROR(__xludf.DUMMYFUNCTION("""COMPUTED_VALUE"""),1)</f>
        <v>1</v>
      </c>
      <c r="H703" s="20">
        <f ca="1">IFERROR(__xludf.DUMMYFUNCTION("""COMPUTED_VALUE"""),1)</f>
        <v>1</v>
      </c>
      <c r="I703" s="20">
        <f ca="1">IFERROR(__xludf.DUMMYFUNCTION("""COMPUTED_VALUE"""),1)</f>
        <v>1</v>
      </c>
      <c r="J703" s="20" t="str">
        <f ca="1">IFERROR(__xludf.DUMMYFUNCTION("""COMPUTED_VALUE"""),"Ley")</f>
        <v>Ley</v>
      </c>
      <c r="K703" s="20">
        <f ca="1">IFERROR(__xludf.DUMMYFUNCTION("""COMPUTED_VALUE"""),36590)</f>
        <v>36590</v>
      </c>
      <c r="L703" s="20" t="str">
        <f ca="1">IFERROR(__xludf.DUMMYFUNCTION("""COMPUTED_VALUE"""),"Poder Ejecutivo Provincial")</f>
        <v>Poder Ejecutivo Provincial</v>
      </c>
      <c r="M703" s="20" t="str">
        <f ca="1">IFERROR(__xludf.DUMMYFUNCTION("""COMPUTED_VALUE"""),"Modificando el radio comunal de la localidad de Chuña")</f>
        <v>Modificando el radio comunal de la localidad de Chuña</v>
      </c>
      <c r="N703" s="20" t="str">
        <f ca="1">IFERROR(__xludf.DUMMYFUNCTION("""COMPUTED_VALUE"""),"SI")</f>
        <v>SI</v>
      </c>
      <c r="O703" s="20" t="str">
        <f ca="1">IFERROR(__xludf.DUMMYFUNCTION("""COMPUTED_VALUE"""),"SI")</f>
        <v>SI</v>
      </c>
      <c r="P703" s="20">
        <f ca="1">IFERROR(__xludf.DUMMYFUNCTION("""COMPUTED_VALUE"""),1)</f>
        <v>1</v>
      </c>
      <c r="Q703" s="113" t="str">
        <f ca="1">IFERROR(__xludf.DUMMYFUNCTION("""COMPUTED_VALUE"""),"https://gld.legislaturacba.gob.ar/_cdd/api/Documento/descargar?guid=1ebe9031-6da0-46a6-ab92-e6301524aa73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v>
      </c>
      <c r="R703" s="113" t="str">
        <f ca="1">IFERROR(__xludf.DUMMYFUNCTION("""COMPUTED_VALUE"""),"https://www.youtube.com/watch?v=yvwCIoIcgns")</f>
        <v>https://www.youtube.com/watch?v=yvwCIoIcgns</v>
      </c>
      <c r="S703" s="113" t="str">
        <f ca="1">IFERROR(__xludf.DUMMYFUNCTION("""COMPUTED_VALUE"""),"https://gld.legislaturacba.gob.ar/Publics/Actas.aspx?id=0El0RZAZIwA=")</f>
        <v>https://gld.legislaturacba.gob.ar/Publics/Actas.aspx?id=0El0RZAZIwA=</v>
      </c>
      <c r="T703" s="99">
        <f t="shared" ca="1" si="0"/>
        <v>0</v>
      </c>
    </row>
    <row r="704" spans="1:20">
      <c r="A704" s="20">
        <f ca="1">IFERROR(__xludf.DUMMYFUNCTION("""COMPUTED_VALUE"""),208)</f>
        <v>208</v>
      </c>
      <c r="B704" s="20">
        <f ca="1">IFERROR(__xludf.DUMMYFUNCTION("""COMPUTED_VALUE"""),2022)</f>
        <v>2022</v>
      </c>
      <c r="C704" s="20" t="str">
        <f ca="1">IFERROR(__xludf.DUMMYFUNCTION("""COMPUTED_VALUE"""),"SEMIPRESENCIAL")</f>
        <v>SEMIPRESENCIAL</v>
      </c>
      <c r="D704" s="108">
        <f ca="1">IFERROR(__xludf.DUMMYFUNCTION("""COMPUTED_VALUE"""),44916)</f>
        <v>44916</v>
      </c>
      <c r="E704" s="20" t="str">
        <f ca="1">IFERROR(__xludf.DUMMYFUNCTION("""COMPUTED_VALUE"""),"SI")</f>
        <v>SI</v>
      </c>
      <c r="F704" s="20" t="str">
        <f ca="1">IFERROR(__xludf.DUMMYFUNCTION("""COMPUTED_VALUE"""),"LEGISLACIÓN GENERAL;ASUNTOS CONSTITUCIONALES, JUSTICIA Y ACUERDOS;ASUNTOS INSTITUCIONALES, MUNICIPALES Y COMUNALES")</f>
        <v>LEGISLACIÓN GENERAL;ASUNTOS CONSTITUCIONALES, JUSTICIA Y ACUERDOS;ASUNTOS INSTITUCIONALES, MUNICIPALES Y COMUNALES</v>
      </c>
      <c r="G704" s="20">
        <f ca="1">IFERROR(__xludf.DUMMYFUNCTION("""COMPUTED_VALUE"""),3)</f>
        <v>3</v>
      </c>
      <c r="H704" s="20">
        <f ca="1">IFERROR(__xludf.DUMMYFUNCTION("""COMPUTED_VALUE"""),6)</f>
        <v>6</v>
      </c>
      <c r="I704" s="20">
        <f ca="1">IFERROR(__xludf.DUMMYFUNCTION("""COMPUTED_VALUE"""),1)</f>
        <v>1</v>
      </c>
      <c r="J704" s="20" t="str">
        <f ca="1">IFERROR(__xludf.DUMMYFUNCTION("""COMPUTED_VALUE"""),"Ley")</f>
        <v>Ley</v>
      </c>
      <c r="K704" s="20">
        <f ca="1">IFERROR(__xludf.DUMMYFUNCTION("""COMPUTED_VALUE"""),36594)</f>
        <v>36594</v>
      </c>
      <c r="L704" s="20" t="str">
        <f ca="1">IFERROR(__xludf.DUMMYFUNCTION("""COMPUTED_VALUE"""),"Poder Ejecutivo Provincial")</f>
        <v>Poder Ejecutivo Provincial</v>
      </c>
      <c r="M704" s="20" t="str">
        <f ca="1">IFERROR(__xludf.DUMMYFUNCTION("""COMPUTED_VALUE"""),"Armonizando los requisitos y condiciones de validez para los centros de emisión de licencias de conducir en la provincia, modificando e incorporando artículos a las leyes Nº 8560 (T.O. 2004) - de Tránsito - y Nº 10326 - Código de Convivencia Ciudadana. ")</f>
        <v xml:space="preserve">Armonizando los requisitos y condiciones de validez para los centros de emisión de licencias de conducir en la provincia, modificando e incorporando artículos a las leyes Nº 8560 (T.O. 2004) - de Tránsito - y Nº 10326 - Código de Convivencia Ciudadana. </v>
      </c>
      <c r="N704" s="20" t="str">
        <f ca="1">IFERROR(__xludf.DUMMYFUNCTION("""COMPUTED_VALUE"""),"SI")</f>
        <v>SI</v>
      </c>
      <c r="O704" s="20" t="str">
        <f ca="1">IFERROR(__xludf.DUMMYFUNCTION("""COMPUTED_VALUE"""),"NO")</f>
        <v>NO</v>
      </c>
      <c r="P704" s="20">
        <f ca="1">IFERROR(__xludf.DUMMYFUNCTION("""COMPUTED_VALUE"""),0)</f>
        <v>0</v>
      </c>
      <c r="Q704" s="113" t="str">
        <f ca="1">IFERROR(__xludf.DUMMYFUNCTION("""COMPUTED_VALUE"""),"https://gld.legislaturacba.gob.ar/_cdd/api/Documento/descargar?guid=3a08d3d0-82ac-4381-9d1c-2879772604be&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v>
      </c>
      <c r="R704" s="113" t="str">
        <f ca="1">IFERROR(__xludf.DUMMYFUNCTION("""COMPUTED_VALUE"""),"https://www.youtube.com/watch?v=s-lFYTMCcwY")</f>
        <v>https://www.youtube.com/watch?v=s-lFYTMCcwY</v>
      </c>
      <c r="S704" s="113" t="str">
        <f ca="1">IFERROR(__xludf.DUMMYFUNCTION("""COMPUTED_VALUE"""),"https://gld.legislaturacba.gob.ar/Publics/Actas.aspx?id=6RyHc34pvPQ=;https://gld.legislaturacba.gob.ar/Publics/Actas.aspx?id=lntnUHabJdg=;https://gld.legislaturacba.gob.ar/Publics/Actas.aspx?id=xXJzwDiTwBQ=")</f>
        <v>https://gld.legislaturacba.gob.ar/Publics/Actas.aspx?id=6RyHc34pvPQ=;https://gld.legislaturacba.gob.ar/Publics/Actas.aspx?id=lntnUHabJdg=;https://gld.legislaturacba.gob.ar/Publics/Actas.aspx?id=xXJzwDiTwBQ=</v>
      </c>
      <c r="T704" s="99">
        <f t="shared" ca="1" si="0"/>
        <v>0</v>
      </c>
    </row>
    <row r="705" spans="1:20">
      <c r="A705" s="20">
        <f ca="1">IFERROR(__xludf.DUMMYFUNCTION("""COMPUTED_VALUE"""),209)</f>
        <v>209</v>
      </c>
      <c r="B705" s="20">
        <f ca="1">IFERROR(__xludf.DUMMYFUNCTION("""COMPUTED_VALUE"""),2022)</f>
        <v>2022</v>
      </c>
      <c r="C705" s="20" t="str">
        <f ca="1">IFERROR(__xludf.DUMMYFUNCTION("""COMPUTED_VALUE"""),"VIRTUAL")</f>
        <v>VIRTUAL</v>
      </c>
      <c r="D705" s="108">
        <f ca="1">IFERROR(__xludf.DUMMYFUNCTION("""COMPUTED_VALUE"""),44922)</f>
        <v>44922</v>
      </c>
      <c r="E705" s="20" t="str">
        <f ca="1">IFERROR(__xludf.DUMMYFUNCTION("""COMPUTED_VALUE"""),"NO")</f>
        <v>NO</v>
      </c>
      <c r="F705" s="20" t="str">
        <f ca="1">IFERROR(__xludf.DUMMYFUNCTION("""COMPUTED_VALUE"""),"ASUNTOS INSTITUCIONALES, MUNICIPALES Y COMUNALES")</f>
        <v>ASUNTOS INSTITUCIONALES, MUNICIPALES Y COMUNALES</v>
      </c>
      <c r="G705" s="20">
        <f ca="1">IFERROR(__xludf.DUMMYFUNCTION("""COMPUTED_VALUE"""),1)</f>
        <v>1</v>
      </c>
      <c r="H705" s="20">
        <f ca="1">IFERROR(__xludf.DUMMYFUNCTION("""COMPUTED_VALUE"""),1)</f>
        <v>1</v>
      </c>
      <c r="I705" s="20">
        <f ca="1">IFERROR(__xludf.DUMMYFUNCTION("""COMPUTED_VALUE"""),1)</f>
        <v>1</v>
      </c>
      <c r="J705" s="20" t="str">
        <f ca="1">IFERROR(__xludf.DUMMYFUNCTION("""COMPUTED_VALUE"""),"Ley")</f>
        <v>Ley</v>
      </c>
      <c r="K705" s="20">
        <f ca="1">IFERROR(__xludf.DUMMYFUNCTION("""COMPUTED_VALUE"""),36591)</f>
        <v>36591</v>
      </c>
      <c r="L705" s="20" t="str">
        <f ca="1">IFERROR(__xludf.DUMMYFUNCTION("""COMPUTED_VALUE"""),"Poder Ejecutivo Provincial")</f>
        <v>Poder Ejecutivo Provincial</v>
      </c>
      <c r="M705" s="20" t="str">
        <f ca="1">IFERROR(__xludf.DUMMYFUNCTION("""COMPUTED_VALUE"""),"Modificando el radio comunal de la localidad de Charbonier")</f>
        <v>Modificando el radio comunal de la localidad de Charbonier</v>
      </c>
      <c r="N705" s="20" t="str">
        <f ca="1">IFERROR(__xludf.DUMMYFUNCTION("""COMPUTED_VALUE"""),"NO")</f>
        <v>NO</v>
      </c>
      <c r="O705" s="20" t="str">
        <f ca="1">IFERROR(__xludf.DUMMYFUNCTION("""COMPUTED_VALUE"""),"SI")</f>
        <v>SI</v>
      </c>
      <c r="P705" s="20">
        <f ca="1">IFERROR(__xludf.DUMMYFUNCTION("""COMPUTED_VALUE"""),1)</f>
        <v>1</v>
      </c>
      <c r="Q705" s="113" t="str">
        <f ca="1">IFERROR(__xludf.DUMMYFUNCTION("""COMPUTED_VALUE"""),"https://gld.legislaturacba.gob.ar/_cdd/api/Documento/descargar?guid=e682a8be-00fb-4bb5-b4d7-ef5652a5e342&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v>
      </c>
      <c r="R705" s="20" t="str">
        <f ca="1">IFERROR(__xludf.DUMMYFUNCTION("""COMPUTED_VALUE"""),"NA")</f>
        <v>NA</v>
      </c>
      <c r="S705" s="113" t="str">
        <f ca="1">IFERROR(__xludf.DUMMYFUNCTION("""COMPUTED_VALUE"""),"https://gld.legislaturacba.gob.ar/Publics/Actas.aspx?id=cM-W_H8ab34=")</f>
        <v>https://gld.legislaturacba.gob.ar/Publics/Actas.aspx?id=cM-W_H8ab34=</v>
      </c>
      <c r="T705" s="99">
        <f t="shared" ca="1" si="0"/>
        <v>0</v>
      </c>
    </row>
    <row r="706" spans="1:20">
      <c r="A706" s="20">
        <f ca="1">IFERROR(__xludf.DUMMYFUNCTION("""COMPUTED_VALUE"""),210)</f>
        <v>210</v>
      </c>
      <c r="B706" s="20">
        <f ca="1">IFERROR(__xludf.DUMMYFUNCTION("""COMPUTED_VALUE"""),2022)</f>
        <v>2022</v>
      </c>
      <c r="C706" s="20" t="str">
        <f ca="1">IFERROR(__xludf.DUMMYFUNCTION("""COMPUTED_VALUE"""),"VIRTUAL")</f>
        <v>VIRTUAL</v>
      </c>
      <c r="D706" s="108">
        <f ca="1">IFERROR(__xludf.DUMMYFUNCTION("""COMPUTED_VALUE"""),44923)</f>
        <v>44923</v>
      </c>
      <c r="E706" s="20" t="str">
        <f ca="1">IFERROR(__xludf.DUMMYFUNCTION("""COMPUTED_VALUE"""),"NO")</f>
        <v>NO</v>
      </c>
      <c r="F706" s="20" t="str">
        <f ca="1">IFERROR(__xludf.DUMMYFUNCTION("""COMPUTED_VALUE"""),"LEGISLACIÓN GENERAL")</f>
        <v>LEGISLACIÓN GENERAL</v>
      </c>
      <c r="G706" s="20">
        <f ca="1">IFERROR(__xludf.DUMMYFUNCTION("""COMPUTED_VALUE"""),1)</f>
        <v>1</v>
      </c>
      <c r="H706" s="20">
        <f ca="1">IFERROR(__xludf.DUMMYFUNCTION("""COMPUTED_VALUE"""),2)</f>
        <v>2</v>
      </c>
      <c r="I706" s="20">
        <f ca="1">IFERROR(__xludf.DUMMYFUNCTION("""COMPUTED_VALUE"""),1)</f>
        <v>1</v>
      </c>
      <c r="J706" s="20" t="str">
        <f ca="1">IFERROR(__xludf.DUMMYFUNCTION("""COMPUTED_VALUE"""),"Ley")</f>
        <v>Ley</v>
      </c>
      <c r="K706" s="20">
        <f ca="1">IFERROR(__xludf.DUMMYFUNCTION("""COMPUTED_VALUE"""),36590)</f>
        <v>36590</v>
      </c>
      <c r="L706" s="20" t="str">
        <f ca="1">IFERROR(__xludf.DUMMYFUNCTION("""COMPUTED_VALUE"""),"Poder Ejecutivo Provincial")</f>
        <v>Poder Ejecutivo Provincial</v>
      </c>
      <c r="M706" s="20" t="str">
        <f ca="1">IFERROR(__xludf.DUMMYFUNCTION("""COMPUTED_VALUE"""),"Modificando el radio comunal de la localidad de Chuña, Dpto. Ischilín")</f>
        <v>Modificando el radio comunal de la localidad de Chuña, Dpto. Ischilín</v>
      </c>
      <c r="N706" s="20" t="str">
        <f ca="1">IFERROR(__xludf.DUMMYFUNCTION("""COMPUTED_VALUE"""),"NO")</f>
        <v>NO</v>
      </c>
      <c r="O706" s="20" t="str">
        <f ca="1">IFERROR(__xludf.DUMMYFUNCTION("""COMPUTED_VALUE"""),"NO")</f>
        <v>NO</v>
      </c>
      <c r="P706" s="20">
        <f ca="1">IFERROR(__xludf.DUMMYFUNCTION("""COMPUTED_VALUE"""),0)</f>
        <v>0</v>
      </c>
      <c r="Q706" s="113" t="str">
        <f ca="1">IFERROR(__xludf.DUMMYFUNCTION("""COMPUTED_VALUE"""),"https://gld.legislaturacba.gob.ar/_cdd/api/Documento/descargar?guid=6a401fec-215d-45b1-b13d-af835586b193&amp;token=_StPyoT4g3gzPFLo1yrV3dXBUcJM0GWcGfVipvgJngaHfboZd8bh1CysuzxbSa0_3ewD8f0ta86IIrwLMPVZOzmgs3Cx_VCFsN5Lu6rlo86wCCsewRjP5sO0yQQua59K9sDhi8JbEiyH0sKa"&amp;"WV9TIGe5QKNfea29R_L2lHCNfz6TBTlRg_TPn_898sF80qZQiu6gSk4Yr3L3OTp--ZL79ys2b-Qs35IrabDKKtJ3IxJZ4ElpoAsISrLdzlPiJQLa")</f>
        <v>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v>
      </c>
      <c r="R706" s="113" t="str">
        <f ca="1">IFERROR(__xludf.DUMMYFUNCTION("""COMPUTED_VALUE"""),"https://www.youtube.com/watch?v=uTiJjnZZE_g")</f>
        <v>https://www.youtube.com/watch?v=uTiJjnZZE_g</v>
      </c>
      <c r="S706" s="113" t="str">
        <f ca="1">IFERROR(__xludf.DUMMYFUNCTION("""COMPUTED_VALUE"""),"https://gld.legislaturacba.gob.ar/Publics/Actas.aspx?id=-x3GAk6A9fE=")</f>
        <v>https://gld.legislaturacba.gob.ar/Publics/Actas.aspx?id=-x3GAk6A9fE=</v>
      </c>
      <c r="T706" s="99">
        <f t="shared" ca="1" si="0"/>
        <v>0</v>
      </c>
    </row>
    <row r="707" spans="1:20">
      <c r="A707" s="20">
        <f ca="1">IFERROR(__xludf.DUMMYFUNCTION("""COMPUTED_VALUE"""),1)</f>
        <v>1</v>
      </c>
      <c r="B707" s="20">
        <f ca="1">IFERROR(__xludf.DUMMYFUNCTION("""COMPUTED_VALUE"""),2023)</f>
        <v>2023</v>
      </c>
      <c r="C707" s="20" t="str">
        <f ca="1">IFERROR(__xludf.DUMMYFUNCTION("""COMPUTED_VALUE"""),"VIRTUAL")</f>
        <v>VIRTUAL</v>
      </c>
      <c r="D707" s="106">
        <f ca="1">IFERROR(__xludf.DUMMYFUNCTION("""COMPUTED_VALUE"""),44964)</f>
        <v>44964</v>
      </c>
      <c r="E707" s="20" t="str">
        <f ca="1">IFERROR(__xludf.DUMMYFUNCTION("""COMPUTED_VALUE"""),"NO")</f>
        <v>NO</v>
      </c>
      <c r="F707" s="20" t="str">
        <f ca="1">IFERROR(__xludf.DUMMYFUNCTION("""COMPUTED_VALUE"""),"LEGISLACIÓN GENERAL")</f>
        <v>LEGISLACIÓN GENERAL</v>
      </c>
      <c r="G707" s="20">
        <f ca="1">IFERROR(__xludf.DUMMYFUNCTION("""COMPUTED_VALUE"""),1)</f>
        <v>1</v>
      </c>
      <c r="H707" s="20">
        <f ca="1">IFERROR(__xludf.DUMMYFUNCTION("""COMPUTED_VALUE"""),1)</f>
        <v>1</v>
      </c>
      <c r="I707" s="20">
        <f ca="1">IFERROR(__xludf.DUMMYFUNCTION("""COMPUTED_VALUE"""),1)</f>
        <v>1</v>
      </c>
      <c r="J707" s="20" t="str">
        <f ca="1">IFERROR(__xludf.DUMMYFUNCTION("""COMPUTED_VALUE"""),"Ley")</f>
        <v>Ley</v>
      </c>
      <c r="K707" s="20">
        <f ca="1">IFERROR(__xludf.DUMMYFUNCTION("""COMPUTED_VALUE"""),36215)</f>
        <v>36215</v>
      </c>
      <c r="L707" s="20" t="str">
        <f ca="1">IFERROR(__xludf.DUMMYFUNCTION("""COMPUTED_VALUE"""),"Poder Ejecutivo Provincial")</f>
        <v>Poder Ejecutivo Provincial</v>
      </c>
      <c r="M707" s="20" t="str">
        <f ca="1">IFERROR(__xludf.DUMMYFUNCTION("""COMPUTED_VALUE"""),"Aprobando el ""Acuerdo Marco de Colaboración Mutua en Aspectos Energéticos provincia de Córdoba-provincia de Santa Fe"", suscripto entre los gobernadores de ambos estados provinciales, con el objeto de promover la realización de proyectos en el Sistema Na"&amp;"cional, para mejorar el abastecimiento y la calidad de energía de la Región Centro, en el marco de un proceso de transición energética nacional a partir del uso eficiente de sus recursos. ")</f>
        <v xml:space="preserve">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 </v>
      </c>
      <c r="N707" s="20" t="str">
        <f ca="1">IFERROR(__xludf.DUMMYFUNCTION("""COMPUTED_VALUE"""),"NO")</f>
        <v>NO</v>
      </c>
      <c r="O707" s="20" t="str">
        <f ca="1">IFERROR(__xludf.DUMMYFUNCTION("""COMPUTED_VALUE"""),"NO")</f>
        <v>NO</v>
      </c>
      <c r="P707" s="20">
        <f ca="1">IFERROR(__xludf.DUMMYFUNCTION("""COMPUTED_VALUE"""),0)</f>
        <v>0</v>
      </c>
      <c r="Q707" s="113" t="str">
        <f ca="1">IFERROR(__xludf.DUMMYFUNCTION("""COMPUTED_VALUE"""),"https://gld.legislaturacba.gob.ar/_cdd/api/Documento/descargar?guid=112b7111-cde7-4f23-8972-06843d61c13c&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v>
      </c>
      <c r="R707" s="113" t="str">
        <f ca="1">IFERROR(__xludf.DUMMYFUNCTION("""COMPUTED_VALUE"""),"https://www.youtube.com/watch?v=608SwmAWfrs")</f>
        <v>https://www.youtube.com/watch?v=608SwmAWfrs</v>
      </c>
      <c r="S707" s="113" t="str">
        <f ca="1">IFERROR(__xludf.DUMMYFUNCTION("""COMPUTED_VALUE"""),"https://gld.legislaturacba.gob.ar/Publics/Actas.aspx?id=axBesQQtQ1g=")</f>
        <v>https://gld.legislaturacba.gob.ar/Publics/Actas.aspx?id=axBesQQtQ1g=</v>
      </c>
      <c r="T707" s="99">
        <f t="shared" ca="1" si="0"/>
        <v>0</v>
      </c>
    </row>
    <row r="708" spans="1:20">
      <c r="A708" s="20">
        <f ca="1">IFERROR(__xludf.DUMMYFUNCTION("""COMPUTED_VALUE"""),2)</f>
        <v>2</v>
      </c>
      <c r="B708" s="20">
        <f ca="1">IFERROR(__xludf.DUMMYFUNCTION("""COMPUTED_VALUE"""),2023)</f>
        <v>2023</v>
      </c>
      <c r="C708" s="20" t="str">
        <f ca="1">IFERROR(__xludf.DUMMYFUNCTION("""COMPUTED_VALUE"""),"VIRTUAL")</f>
        <v>VIRTUAL</v>
      </c>
      <c r="D708" s="106">
        <f ca="1">IFERROR(__xludf.DUMMYFUNCTION("""COMPUTED_VALUE"""),44964)</f>
        <v>44964</v>
      </c>
      <c r="E708" s="20" t="str">
        <f ca="1">IFERROR(__xludf.DUMMYFUNCTION("""COMPUTED_VALUE"""),"NO")</f>
        <v>NO</v>
      </c>
      <c r="F708" s="20" t="str">
        <f ca="1">IFERROR(__xludf.DUMMYFUNCTION("""COMPUTED_VALUE"""),"ASUNTOS CONSTITUCIONALES, JUSTICIA Y ACUERDOS")</f>
        <v>ASUNTOS CONSTITUCIONALES, JUSTICIA Y ACUERDOS</v>
      </c>
      <c r="G708" s="20">
        <f ca="1">IFERROR(__xludf.DUMMYFUNCTION("""COMPUTED_VALUE"""),1)</f>
        <v>1</v>
      </c>
      <c r="H708" s="20">
        <f ca="1">IFERROR(__xludf.DUMMYFUNCTION("""COMPUTED_VALUE"""),4)</f>
        <v>4</v>
      </c>
      <c r="I708" s="20">
        <f ca="1">IFERROR(__xludf.DUMMYFUNCTION("""COMPUTED_VALUE"""),1)</f>
        <v>1</v>
      </c>
      <c r="J708" s="20" t="str">
        <f ca="1">IFERROR(__xludf.DUMMYFUNCTION("""COMPUTED_VALUE"""),"Pliego")</f>
        <v>Pliego</v>
      </c>
      <c r="K708" s="20">
        <f ca="1">IFERROR(__xludf.DUMMYFUNCTION("""COMPUTED_VALUE"""),36660)</f>
        <v>36660</v>
      </c>
      <c r="L708" s="20" t="str">
        <f ca="1">IFERROR(__xludf.DUMMYFUNCTION("""COMPUTED_VALUE"""),"Poder Ejecutivo Provincial")</f>
        <v>Poder Ejecutivo Provincial</v>
      </c>
      <c r="M708" s="20" t="str">
        <f ca="1">IFERROR(__xludf.DUMMYFUNCTION("""COMPUTED_VALUE"""),"Solicitando acuerdo para designar al Sr. Abogado Pablo Fernando Ceballos Chiappero, como Vocal de Cámara en la Cámara en lo Criminal y Correccional, Civil, Comercial, Familia y Trabajo, perteneciente a la Novena Circunscripción Judicial con asiento en la "&amp;"ciudad de Deán Funes")</f>
        <v>Solicitando acuerdo para designar al Sr. Abogado Pablo Fernando Ceballos Chiappero, como Vocal de Cámara en la Cámara en lo Criminal y Correccional, Civil, Comercial, Familia y Trabajo, perteneciente a la Novena Circunscripción Judicial con asiento en la ciudad de Deán Funes</v>
      </c>
      <c r="N708" s="20" t="str">
        <f ca="1">IFERROR(__xludf.DUMMYFUNCTION("""COMPUTED_VALUE"""),"SI")</f>
        <v>SI</v>
      </c>
      <c r="O708" s="20" t="str">
        <f ca="1">IFERROR(__xludf.DUMMYFUNCTION("""COMPUTED_VALUE"""),"SI")</f>
        <v>SI</v>
      </c>
      <c r="P708" s="20">
        <f ca="1">IFERROR(__xludf.DUMMYFUNCTION("""COMPUTED_VALUE"""),3)</f>
        <v>3</v>
      </c>
      <c r="Q708" s="113" t="str">
        <f ca="1">IFERROR(__xludf.DUMMYFUNCTION("""COMPUTED_VALUE"""),"https://gld.legislaturacba.gob.ar/_cdd/api/Documento/descargar?guid=005a6d38-889f-4ee6-bd0e-604f0921bc38&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v>
      </c>
      <c r="R708" s="113" t="str">
        <f ca="1">IFERROR(__xludf.DUMMYFUNCTION("""COMPUTED_VALUE"""),"https://www.youtube.com/watch?v=5gufZMVmZrU")</f>
        <v>https://www.youtube.com/watch?v=5gufZMVmZrU</v>
      </c>
      <c r="S708" s="113" t="str">
        <f ca="1">IFERROR(__xludf.DUMMYFUNCTION("""COMPUTED_VALUE"""),"https://gld.legislaturacba.gob.ar/Publics/Actas.aspx?id=W8-WtYEZo3Y=")</f>
        <v>https://gld.legislaturacba.gob.ar/Publics/Actas.aspx?id=W8-WtYEZo3Y=</v>
      </c>
      <c r="T708" s="99">
        <f t="shared" ca="1" si="0"/>
        <v>0</v>
      </c>
    </row>
    <row r="709" spans="1:20">
      <c r="A709" s="20">
        <f ca="1">IFERROR(__xludf.DUMMYFUNCTION("""COMPUTED_VALUE"""),3)</f>
        <v>3</v>
      </c>
      <c r="B709" s="20">
        <f ca="1">IFERROR(__xludf.DUMMYFUNCTION("""COMPUTED_VALUE"""),2023)</f>
        <v>2023</v>
      </c>
      <c r="C709" s="20" t="str">
        <f ca="1">IFERROR(__xludf.DUMMYFUNCTION("""COMPUTED_VALUE"""),"VIRTUAL")</f>
        <v>VIRTUAL</v>
      </c>
      <c r="D709" s="106">
        <f ca="1">IFERROR(__xludf.DUMMYFUNCTION("""COMPUTED_VALUE"""),44964)</f>
        <v>44964</v>
      </c>
      <c r="E709" s="20" t="str">
        <f ca="1">IFERROR(__xludf.DUMMYFUNCTION("""COMPUTED_VALUE"""),"NO")</f>
        <v>NO</v>
      </c>
      <c r="F709" s="20" t="str">
        <f ca="1">IFERROR(__xludf.DUMMYFUNCTION("""COMPUTED_VALUE"""),"ASUNTOS INSTITUCIONALES, MUNICIPALES Y COMUNALES")</f>
        <v>ASUNTOS INSTITUCIONALES, MUNICIPALES Y COMUNALES</v>
      </c>
      <c r="G709" s="20">
        <f ca="1">IFERROR(__xludf.DUMMYFUNCTION("""COMPUTED_VALUE"""),1)</f>
        <v>1</v>
      </c>
      <c r="H709" s="20">
        <f ca="1">IFERROR(__xludf.DUMMYFUNCTION("""COMPUTED_VALUE"""),1)</f>
        <v>1</v>
      </c>
      <c r="I709" s="20">
        <f ca="1">IFERROR(__xludf.DUMMYFUNCTION("""COMPUTED_VALUE"""),1)</f>
        <v>1</v>
      </c>
      <c r="J709" s="20" t="str">
        <f ca="1">IFERROR(__xludf.DUMMYFUNCTION("""COMPUTED_VALUE"""),"Ley")</f>
        <v>Ley</v>
      </c>
      <c r="K709" s="20">
        <f ca="1">IFERROR(__xludf.DUMMYFUNCTION("""COMPUTED_VALUE"""),36730)</f>
        <v>36730</v>
      </c>
      <c r="L709" s="20" t="str">
        <f ca="1">IFERROR(__xludf.DUMMYFUNCTION("""COMPUTED_VALUE"""),"Poder Ejecutivo Provincial")</f>
        <v>Poder Ejecutivo Provincial</v>
      </c>
      <c r="M709" s="20" t="str">
        <f ca="1">IFERROR(__xludf.DUMMYFUNCTION("""COMPUTED_VALUE"""),"Modificando el radio comunal de la localidad de Colonia Barge, Dpto. Marcos Juárez. ")</f>
        <v xml:space="preserve">Modificando el radio comunal de la localidad de Colonia Barge, Dpto. Marcos Juárez. </v>
      </c>
      <c r="N709" s="20" t="str">
        <f ca="1">IFERROR(__xludf.DUMMYFUNCTION("""COMPUTED_VALUE"""),"SI")</f>
        <v>SI</v>
      </c>
      <c r="O709" s="20" t="str">
        <f ca="1">IFERROR(__xludf.DUMMYFUNCTION("""COMPUTED_VALUE"""),"SI")</f>
        <v>SI</v>
      </c>
      <c r="P709" s="20">
        <f ca="1">IFERROR(__xludf.DUMMYFUNCTION("""COMPUTED_VALUE"""),1)</f>
        <v>1</v>
      </c>
      <c r="Q709" s="113" t="str">
        <f ca="1">IFERROR(__xludf.DUMMYFUNCTION("""COMPUTED_VALUE"""),"https://gld.legislaturacba.gob.ar/Publics/Actas.aspx#")</f>
        <v>https://gld.legislaturacba.gob.ar/Publics/Actas.aspx#</v>
      </c>
      <c r="R709" s="113" t="str">
        <f ca="1">IFERROR(__xludf.DUMMYFUNCTION("""COMPUTED_VALUE"""),"https://www.youtube.com/watch?v=ro_2IzPR0WM")</f>
        <v>https://www.youtube.com/watch?v=ro_2IzPR0WM</v>
      </c>
      <c r="S709" s="113" t="str">
        <f ca="1">IFERROR(__xludf.DUMMYFUNCTION("""COMPUTED_VALUE"""),"https://gld.legislaturacba.gob.ar/Publics/Actas.aspx?id=F6zYpE8Qy9U=")</f>
        <v>https://gld.legislaturacba.gob.ar/Publics/Actas.aspx?id=F6zYpE8Qy9U=</v>
      </c>
      <c r="T709" s="99">
        <f t="shared" ca="1" si="0"/>
        <v>0</v>
      </c>
    </row>
    <row r="710" spans="1:20">
      <c r="A710" s="20">
        <f ca="1">IFERROR(__xludf.DUMMYFUNCTION("""COMPUTED_VALUE"""),4)</f>
        <v>4</v>
      </c>
      <c r="B710" s="20">
        <f ca="1">IFERROR(__xludf.DUMMYFUNCTION("""COMPUTED_VALUE"""),2023)</f>
        <v>2023</v>
      </c>
      <c r="C710" s="20" t="str">
        <f ca="1">IFERROR(__xludf.DUMMYFUNCTION("""COMPUTED_VALUE"""),"VIRTUAL")</f>
        <v>VIRTUAL</v>
      </c>
      <c r="D710" s="106">
        <f ca="1">IFERROR(__xludf.DUMMYFUNCTION("""COMPUTED_VALUE"""),44971)</f>
        <v>44971</v>
      </c>
      <c r="E710" s="20" t="str">
        <f ca="1">IFERROR(__xludf.DUMMYFUNCTION("""COMPUTED_VALUE"""),"NO")</f>
        <v>NO</v>
      </c>
      <c r="F710" s="20" t="str">
        <f ca="1">IFERROR(__xludf.DUMMYFUNCTION("""COMPUTED_VALUE"""),"ECONOMÍA, PRESUPUESTO, GESTIÓN PÚBLICA E INNOVACIÓN")</f>
        <v>ECONOMÍA, PRESUPUESTO, GESTIÓN PÚBLICA E INNOVACIÓN</v>
      </c>
      <c r="G710" s="20">
        <f ca="1">IFERROR(__xludf.DUMMYFUNCTION("""COMPUTED_VALUE"""),1)</f>
        <v>1</v>
      </c>
      <c r="H710" s="20">
        <f ca="1">IFERROR(__xludf.DUMMYFUNCTION("""COMPUTED_VALUE"""),2)</f>
        <v>2</v>
      </c>
      <c r="I710" s="20">
        <f ca="1">IFERROR(__xludf.DUMMYFUNCTION("""COMPUTED_VALUE"""),1)</f>
        <v>1</v>
      </c>
      <c r="J710" s="20" t="str">
        <f ca="1">IFERROR(__xludf.DUMMYFUNCTION("""COMPUTED_VALUE"""),"NA")</f>
        <v>NA</v>
      </c>
      <c r="K710" s="20" t="str">
        <f ca="1">IFERROR(__xludf.DUMMYFUNCTION("""COMPUTED_VALUE"""),"NA")</f>
        <v>NA</v>
      </c>
      <c r="L710" s="20" t="str">
        <f ca="1">IFERROR(__xludf.DUMMYFUNCTION("""COMPUTED_VALUE"""),"NA")</f>
        <v>NA</v>
      </c>
      <c r="M710" s="20" t="str">
        <f ca="1">IFERROR(__xludf.DUMMYFUNCTION("""COMPUTED_VALUE"""),"Elección del presidente de la comisión")</f>
        <v>Elección del presidente de la comisión</v>
      </c>
      <c r="N710" s="20" t="str">
        <f ca="1">IFERROR(__xludf.DUMMYFUNCTION("""COMPUTED_VALUE"""),"NA")</f>
        <v>NA</v>
      </c>
      <c r="O710" s="20" t="str">
        <f ca="1">IFERROR(__xludf.DUMMYFUNCTION("""COMPUTED_VALUE"""),"NO")</f>
        <v>NO</v>
      </c>
      <c r="P710" s="20">
        <f ca="1">IFERROR(__xludf.DUMMYFUNCTION("""COMPUTED_VALUE"""),0)</f>
        <v>0</v>
      </c>
      <c r="Q710" s="113" t="str">
        <f ca="1">IFERROR(__xludf.DUMMYFUNCTION("""COMPUTED_VALUE"""),"https://gld.legislaturacba.gob.ar/_cdd/api/Documento/descargar?guid=e8b966e1-81f0-4c14-a5d6-bf5b62fea230&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v>
      </c>
      <c r="R710" s="113" t="str">
        <f ca="1">IFERROR(__xludf.DUMMYFUNCTION("""COMPUTED_VALUE"""),"https://www.youtube.com/watch?v=4lqHyOYEf3c")</f>
        <v>https://www.youtube.com/watch?v=4lqHyOYEf3c</v>
      </c>
      <c r="S710" s="113" t="str">
        <f ca="1">IFERROR(__xludf.DUMMYFUNCTION("""COMPUTED_VALUE"""),"https://gld.legislaturacba.gob.ar/Publics/Actas.aspx?id=V-u35MzYZ3g=")</f>
        <v>https://gld.legislaturacba.gob.ar/Publics/Actas.aspx?id=V-u35MzYZ3g=</v>
      </c>
      <c r="T710" s="99">
        <f t="shared" ca="1" si="0"/>
        <v>0</v>
      </c>
    </row>
    <row r="711" spans="1:20">
      <c r="A711" s="20">
        <f ca="1">IFERROR(__xludf.DUMMYFUNCTION("""COMPUTED_VALUE"""),5)</f>
        <v>5</v>
      </c>
      <c r="B711" s="20">
        <f ca="1">IFERROR(__xludf.DUMMYFUNCTION("""COMPUTED_VALUE"""),2023)</f>
        <v>2023</v>
      </c>
      <c r="C711" s="20" t="str">
        <f ca="1">IFERROR(__xludf.DUMMYFUNCTION("""COMPUTED_VALUE"""),"VIRTUAL")</f>
        <v>VIRTUAL</v>
      </c>
      <c r="D711" s="106">
        <f ca="1">IFERROR(__xludf.DUMMYFUNCTION("""COMPUTED_VALUE"""),44971)</f>
        <v>44971</v>
      </c>
      <c r="E711" s="20" t="str">
        <f ca="1">IFERROR(__xludf.DUMMYFUNCTION("""COMPUTED_VALUE"""),"NO")</f>
        <v>NO</v>
      </c>
      <c r="F711" s="20" t="str">
        <f ca="1">IFERROR(__xludf.DUMMYFUNCTION("""COMPUTED_VALUE"""),"ASUNTOS CONSTITUCIONALES, JUSTICIA Y ACUERDOS")</f>
        <v>ASUNTOS CONSTITUCIONALES, JUSTICIA Y ACUERDOS</v>
      </c>
      <c r="G711" s="20">
        <f ca="1">IFERROR(__xludf.DUMMYFUNCTION("""COMPUTED_VALUE"""),1)</f>
        <v>1</v>
      </c>
      <c r="H711" s="20">
        <f ca="1">IFERROR(__xludf.DUMMYFUNCTION("""COMPUTED_VALUE"""),2)</f>
        <v>2</v>
      </c>
      <c r="I711" s="20">
        <f ca="1">IFERROR(__xludf.DUMMYFUNCTION("""COMPUTED_VALUE"""),1)</f>
        <v>1</v>
      </c>
      <c r="J711" s="20" t="str">
        <f ca="1">IFERROR(__xludf.DUMMYFUNCTION("""COMPUTED_VALUE"""),"Pliego")</f>
        <v>Pliego</v>
      </c>
      <c r="K711" s="20">
        <f ca="1">IFERROR(__xludf.DUMMYFUNCTION("""COMPUTED_VALUE"""),36727)</f>
        <v>36727</v>
      </c>
      <c r="L711" s="20" t="str">
        <f ca="1">IFERROR(__xludf.DUMMYFUNCTION("""COMPUTED_VALUE"""),"Poder Ejecutivo Provincial")</f>
        <v>Poder Ejecutivo Provincial</v>
      </c>
      <c r="M711" s="20" t="str">
        <f ca="1">IFERROR(__xludf.DUMMYFUNCTION("""COMPUTED_VALUE"""),"Solicitando acuerdo para designar a la Sra. Abogada María Eugenia Acuña, como Vocal de Cámara en la Cámara Contencioso Administrativa de 3ª Nominación, perteneciente a la Primera Circunscripción Judicial con asiento en la ciudad de Córdoba")</f>
        <v>Solicitando acuerdo para designar a la Sra. Abogada María Eugenia Acuña, como Vocal de Cámara en la Cámara Contencioso Administrativa de 3ª Nominación, perteneciente a la Primera Circunscripción Judicial con asiento en la ciudad de Córdoba</v>
      </c>
      <c r="N711" s="20" t="str">
        <f ca="1">IFERROR(__xludf.DUMMYFUNCTION("""COMPUTED_VALUE"""),"SI")</f>
        <v>SI</v>
      </c>
      <c r="O711" s="20" t="str">
        <f ca="1">IFERROR(__xludf.DUMMYFUNCTION("""COMPUTED_VALUE"""),"SI")</f>
        <v>SI</v>
      </c>
      <c r="P711" s="20">
        <f ca="1">IFERROR(__xludf.DUMMYFUNCTION("""COMPUTED_VALUE"""),2)</f>
        <v>2</v>
      </c>
      <c r="Q711" s="113" t="str">
        <f ca="1">IFERROR(__xludf.DUMMYFUNCTION("""COMPUTED_VALUE"""),"https://gld.legislaturacba.gob.ar/_cdd/api/Documento/descargar?guid=f8b66516-4a0b-4cbb-ada8-9864cdf82e4f&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v>
      </c>
      <c r="R711" s="113" t="str">
        <f ca="1">IFERROR(__xludf.DUMMYFUNCTION("""COMPUTED_VALUE"""),"https://www.youtube.com/watch?v=FjC-m8cj4sY")</f>
        <v>https://www.youtube.com/watch?v=FjC-m8cj4sY</v>
      </c>
      <c r="S711" s="113" t="str">
        <f ca="1">IFERROR(__xludf.DUMMYFUNCTION("""COMPUTED_VALUE"""),"https://gld.legislaturacba.gob.ar/Publics/Actas.aspx?id=A6oGqZj-pg0=")</f>
        <v>https://gld.legislaturacba.gob.ar/Publics/Actas.aspx?id=A6oGqZj-pg0=</v>
      </c>
      <c r="T711" s="99">
        <f t="shared" ca="1" si="0"/>
        <v>0</v>
      </c>
    </row>
    <row r="712" spans="1:20">
      <c r="A712" s="20">
        <f ca="1">IFERROR(__xludf.DUMMYFUNCTION("""COMPUTED_VALUE"""),6)</f>
        <v>6</v>
      </c>
      <c r="B712" s="20">
        <f ca="1">IFERROR(__xludf.DUMMYFUNCTION("""COMPUTED_VALUE"""),2023)</f>
        <v>2023</v>
      </c>
      <c r="C712" s="20" t="str">
        <f ca="1">IFERROR(__xludf.DUMMYFUNCTION("""COMPUTED_VALUE"""),"VIRTUAL")</f>
        <v>VIRTUAL</v>
      </c>
      <c r="D712" s="106">
        <f ca="1">IFERROR(__xludf.DUMMYFUNCTION("""COMPUTED_VALUE"""),44971)</f>
        <v>44971</v>
      </c>
      <c r="E712" s="20" t="str">
        <f ca="1">IFERROR(__xludf.DUMMYFUNCTION("""COMPUTED_VALUE"""),"NO")</f>
        <v>NO</v>
      </c>
      <c r="F712" s="20" t="str">
        <f ca="1">IFERROR(__xludf.DUMMYFUNCTION("""COMPUTED_VALUE"""),"ASUNTOS INSTITUCIONALES, MUNICIPALES Y COMUNALES")</f>
        <v>ASUNTOS INSTITUCIONALES, MUNICIPALES Y COMUNALES</v>
      </c>
      <c r="G712" s="20">
        <f ca="1">IFERROR(__xludf.DUMMYFUNCTION("""COMPUTED_VALUE"""),1)</f>
        <v>1</v>
      </c>
      <c r="H712" s="20">
        <f ca="1">IFERROR(__xludf.DUMMYFUNCTION("""COMPUTED_VALUE"""),1)</f>
        <v>1</v>
      </c>
      <c r="I712" s="20">
        <f ca="1">IFERROR(__xludf.DUMMYFUNCTION("""COMPUTED_VALUE"""),1)</f>
        <v>1</v>
      </c>
      <c r="J712" s="20" t="str">
        <f ca="1">IFERROR(__xludf.DUMMYFUNCTION("""COMPUTED_VALUE"""),"Ley")</f>
        <v>Ley</v>
      </c>
      <c r="K712" s="20">
        <f ca="1">IFERROR(__xludf.DUMMYFUNCTION("""COMPUTED_VALUE"""),36735)</f>
        <v>36735</v>
      </c>
      <c r="L712" s="20" t="str">
        <f ca="1">IFERROR(__xludf.DUMMYFUNCTION("""COMPUTED_VALUE"""),"Poder Ejecutivo Provincial")</f>
        <v>Poder Ejecutivo Provincial</v>
      </c>
      <c r="M712" s="20" t="str">
        <f ca="1">IFERROR(__xludf.DUMMYFUNCTION("""COMPUTED_VALUE"""),"Modificando el radio municipal de la ciudad de Tanti, Dpto. Punilla, y el límite departamental entre los Departamentos Punilla y Cruz del Eje. ")</f>
        <v xml:space="preserve">Modificando el radio municipal de la ciudad de Tanti, Dpto. Punilla, y el límite departamental entre los Departamentos Punilla y Cruz del Eje. </v>
      </c>
      <c r="N712" s="20" t="str">
        <f ca="1">IFERROR(__xludf.DUMMYFUNCTION("""COMPUTED_VALUE"""),"SI")</f>
        <v>SI</v>
      </c>
      <c r="O712" s="20" t="str">
        <f ca="1">IFERROR(__xludf.DUMMYFUNCTION("""COMPUTED_VALUE"""),"SI")</f>
        <v>SI</v>
      </c>
      <c r="P712" s="20">
        <f ca="1">IFERROR(__xludf.DUMMYFUNCTION("""COMPUTED_VALUE"""),1)</f>
        <v>1</v>
      </c>
      <c r="Q712" s="113" t="str">
        <f ca="1">IFERROR(__xludf.DUMMYFUNCTION("""COMPUTED_VALUE"""),"https://gld.legislaturacba.gob.ar/Publics/Actas.aspx#")</f>
        <v>https://gld.legislaturacba.gob.ar/Publics/Actas.aspx#</v>
      </c>
      <c r="R712" s="113" t="str">
        <f ca="1">IFERROR(__xludf.DUMMYFUNCTION("""COMPUTED_VALUE"""),"https://www.youtube.com/watch?v=BemX7HhBQAk")</f>
        <v>https://www.youtube.com/watch?v=BemX7HhBQAk</v>
      </c>
      <c r="S712" s="113" t="str">
        <f ca="1">IFERROR(__xludf.DUMMYFUNCTION("""COMPUTED_VALUE"""),"https://gld.legislaturacba.gob.ar/Publics/Actas.aspx?id=iPFMQmxbd4o=")</f>
        <v>https://gld.legislaturacba.gob.ar/Publics/Actas.aspx?id=iPFMQmxbd4o=</v>
      </c>
      <c r="T712" s="99">
        <f t="shared" ca="1" si="0"/>
        <v>0</v>
      </c>
    </row>
    <row r="713" spans="1:20">
      <c r="A713" s="20">
        <f ca="1">IFERROR(__xludf.DUMMYFUNCTION("""COMPUTED_VALUE"""),7)</f>
        <v>7</v>
      </c>
      <c r="B713" s="20">
        <f ca="1">IFERROR(__xludf.DUMMYFUNCTION("""COMPUTED_VALUE"""),2023)</f>
        <v>2023</v>
      </c>
      <c r="C713" s="20" t="str">
        <f ca="1">IFERROR(__xludf.DUMMYFUNCTION("""COMPUTED_VALUE"""),"VIRTUAL")</f>
        <v>VIRTUAL</v>
      </c>
      <c r="D713" s="106">
        <f ca="1">IFERROR(__xludf.DUMMYFUNCTION("""COMPUTED_VALUE"""),44973)</f>
        <v>44973</v>
      </c>
      <c r="E713" s="20" t="str">
        <f ca="1">IFERROR(__xludf.DUMMYFUNCTION("""COMPUTED_VALUE"""),"NO")</f>
        <v>NO</v>
      </c>
      <c r="F713" s="20" t="str">
        <f ca="1">IFERROR(__xludf.DUMMYFUNCTION("""COMPUTED_VALUE"""),"TURISMO Y SU RELACIÓN CON EL DESARROLLO REGIONAL")</f>
        <v>TURISMO Y SU RELACIÓN CON EL DESARROLLO REGIONAL</v>
      </c>
      <c r="G713" s="20">
        <f ca="1">IFERROR(__xludf.DUMMYFUNCTION("""COMPUTED_VALUE"""),1)</f>
        <v>1</v>
      </c>
      <c r="H713" s="20">
        <f ca="1">IFERROR(__xludf.DUMMYFUNCTION("""COMPUTED_VALUE"""),1)</f>
        <v>1</v>
      </c>
      <c r="I713" s="20">
        <f ca="1">IFERROR(__xludf.DUMMYFUNCTION("""COMPUTED_VALUE"""),1)</f>
        <v>1</v>
      </c>
      <c r="J713" s="20" t="str">
        <f ca="1">IFERROR(__xludf.DUMMYFUNCTION("""COMPUTED_VALUE"""),"NA")</f>
        <v>NA</v>
      </c>
      <c r="K713" s="20" t="str">
        <f ca="1">IFERROR(__xludf.DUMMYFUNCTION("""COMPUTED_VALUE"""),"NA")</f>
        <v>NA</v>
      </c>
      <c r="L713" s="20" t="str">
        <f ca="1">IFERROR(__xludf.DUMMYFUNCTION("""COMPUTED_VALUE"""),"NA")</f>
        <v>NA</v>
      </c>
      <c r="M713" s="20" t="str">
        <f ca="1">IFERROR(__xludf.DUMMYFUNCTION("""COMPUTED_VALUE"""),"Elección de presidenta de  comisión")</f>
        <v>Elección de presidenta de  comisión</v>
      </c>
      <c r="N713" s="20" t="str">
        <f ca="1">IFERROR(__xludf.DUMMYFUNCTION("""COMPUTED_VALUE"""),"NA")</f>
        <v>NA</v>
      </c>
      <c r="O713" s="20" t="str">
        <f ca="1">IFERROR(__xludf.DUMMYFUNCTION("""COMPUTED_VALUE"""),"NO")</f>
        <v>NO</v>
      </c>
      <c r="P713" s="20">
        <f ca="1">IFERROR(__xludf.DUMMYFUNCTION("""COMPUTED_VALUE"""),0)</f>
        <v>0</v>
      </c>
      <c r="Q713" s="113" t="str">
        <f ca="1">IFERROR(__xludf.DUMMYFUNCTION("""COMPUTED_VALUE"""),"https://gld.legislaturacba.gob.ar/_cdd/api/Documento/descargar?guid=5bfe4695-1c07-48b7-a87b-cdbbb6a31d98&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v>
      </c>
      <c r="R713" s="113" t="str">
        <f ca="1">IFERROR(__xludf.DUMMYFUNCTION("""COMPUTED_VALUE"""),"https://www.youtube.com/watch?v=Zw-EU1uE4Yw")</f>
        <v>https://www.youtube.com/watch?v=Zw-EU1uE4Yw</v>
      </c>
      <c r="S713" s="113" t="str">
        <f ca="1">IFERROR(__xludf.DUMMYFUNCTION("""COMPUTED_VALUE"""),"https://gld.legislaturacba.gob.ar/Publics/Actas.aspx?id=xMidq6EBdhc=")</f>
        <v>https://gld.legislaturacba.gob.ar/Publics/Actas.aspx?id=xMidq6EBdhc=</v>
      </c>
      <c r="T713" s="99">
        <f t="shared" ca="1" si="0"/>
        <v>0</v>
      </c>
    </row>
    <row r="714" spans="1:20">
      <c r="A714" s="20">
        <f ca="1">IFERROR(__xludf.DUMMYFUNCTION("""COMPUTED_VALUE"""),8)</f>
        <v>8</v>
      </c>
      <c r="B714" s="20">
        <f ca="1">IFERROR(__xludf.DUMMYFUNCTION("""COMPUTED_VALUE"""),2023)</f>
        <v>2023</v>
      </c>
      <c r="C714" s="20" t="str">
        <f ca="1">IFERROR(__xludf.DUMMYFUNCTION("""COMPUTED_VALUE"""),"VIRTUAL")</f>
        <v>VIRTUAL</v>
      </c>
      <c r="D714" s="106">
        <f ca="1">IFERROR(__xludf.DUMMYFUNCTION("""COMPUTED_VALUE"""),44973)</f>
        <v>44973</v>
      </c>
      <c r="E714" s="20" t="str">
        <f ca="1">IFERROR(__xludf.DUMMYFUNCTION("""COMPUTED_VALUE"""),"NO")</f>
        <v>NO</v>
      </c>
      <c r="F714" s="20" t="str">
        <f ca="1">IFERROR(__xludf.DUMMYFUNCTION("""COMPUTED_VALUE"""),"ASUNTOS INSTITUCIONALES, MUNICIPALES Y COMUNALES")</f>
        <v>ASUNTOS INSTITUCIONALES, MUNICIPALES Y COMUNALES</v>
      </c>
      <c r="G714" s="20">
        <f ca="1">IFERROR(__xludf.DUMMYFUNCTION("""COMPUTED_VALUE"""),1)</f>
        <v>1</v>
      </c>
      <c r="H714" s="20">
        <f ca="1">IFERROR(__xludf.DUMMYFUNCTION("""COMPUTED_VALUE"""),1)</f>
        <v>1</v>
      </c>
      <c r="I714" s="20">
        <f ca="1">IFERROR(__xludf.DUMMYFUNCTION("""COMPUTED_VALUE"""),1)</f>
        <v>1</v>
      </c>
      <c r="J714" s="20" t="str">
        <f ca="1">IFERROR(__xludf.DUMMYFUNCTION("""COMPUTED_VALUE"""),"Ley")</f>
        <v>Ley</v>
      </c>
      <c r="K714" s="20">
        <f ca="1">IFERROR(__xludf.DUMMYFUNCTION("""COMPUTED_VALUE"""),36791)</f>
        <v>36791</v>
      </c>
      <c r="L714" s="20" t="str">
        <f ca="1">IFERROR(__xludf.DUMMYFUNCTION("""COMPUTED_VALUE"""),"Poder Ejecutivo Provincial")</f>
        <v>Poder Ejecutivo Provincial</v>
      </c>
      <c r="M714" s="20" t="str">
        <f ca="1">IFERROR(__xludf.DUMMYFUNCTION("""COMPUTED_VALUE"""),"Modificando el radio municipal de la localidad de Las Varas")</f>
        <v>Modificando el radio municipal de la localidad de Las Varas</v>
      </c>
      <c r="N714" s="20" t="str">
        <f ca="1">IFERROR(__xludf.DUMMYFUNCTION("""COMPUTED_VALUE"""),"SI")</f>
        <v>SI</v>
      </c>
      <c r="O714" s="20" t="str">
        <f ca="1">IFERROR(__xludf.DUMMYFUNCTION("""COMPUTED_VALUE"""),"SI")</f>
        <v>SI</v>
      </c>
      <c r="P714" s="20">
        <f ca="1">IFERROR(__xludf.DUMMYFUNCTION("""COMPUTED_VALUE"""),1)</f>
        <v>1</v>
      </c>
      <c r="Q714" s="113" t="str">
        <f ca="1">IFERROR(__xludf.DUMMYFUNCTION("""COMPUTED_VALUE"""),"https://gld.legislaturacba.gob.ar/_cdd/api/Documento/descargar?guid=43c2ec5b-d080-4038-880e-0b19e0b0e455&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v>
      </c>
      <c r="R714" s="20" t="str">
        <f ca="1">IFERROR(__xludf.DUMMYFUNCTION("""COMPUTED_VALUE"""),"NA")</f>
        <v>NA</v>
      </c>
      <c r="S714" s="113" t="str">
        <f ca="1">IFERROR(__xludf.DUMMYFUNCTION("""COMPUTED_VALUE"""),"https://gld.legislaturacba.gob.ar/Publics/Actas.aspx?id=5d_Q6uo9uww=")</f>
        <v>https://gld.legislaturacba.gob.ar/Publics/Actas.aspx?id=5d_Q6uo9uww=</v>
      </c>
      <c r="T714" s="99">
        <f t="shared" ca="1" si="0"/>
        <v>0</v>
      </c>
    </row>
    <row r="715" spans="1:20">
      <c r="A715" s="20">
        <f ca="1">IFERROR(__xludf.DUMMYFUNCTION("""COMPUTED_VALUE"""),9)</f>
        <v>9</v>
      </c>
      <c r="B715" s="20">
        <f ca="1">IFERROR(__xludf.DUMMYFUNCTION("""COMPUTED_VALUE"""),2023)</f>
        <v>2023</v>
      </c>
      <c r="C715" s="20" t="str">
        <f ca="1">IFERROR(__xludf.DUMMYFUNCTION("""COMPUTED_VALUE"""),"VIRTUAL")</f>
        <v>VIRTUAL</v>
      </c>
      <c r="D715" s="106">
        <f ca="1">IFERROR(__xludf.DUMMYFUNCTION("""COMPUTED_VALUE"""),44979)</f>
        <v>44979</v>
      </c>
      <c r="E715" s="20" t="str">
        <f ca="1">IFERROR(__xludf.DUMMYFUNCTION("""COMPUTED_VALUE"""),"NO")</f>
        <v>NO</v>
      </c>
      <c r="F715" s="20" t="str">
        <f ca="1">IFERROR(__xludf.DUMMYFUNCTION("""COMPUTED_VALUE"""),"LEGISLACIÓN GENERAL")</f>
        <v>LEGISLACIÓN GENERAL</v>
      </c>
      <c r="G715" s="20">
        <f ca="1">IFERROR(__xludf.DUMMYFUNCTION("""COMPUTED_VALUE"""),1)</f>
        <v>1</v>
      </c>
      <c r="H715" s="20">
        <f ca="1">IFERROR(__xludf.DUMMYFUNCTION("""COMPUTED_VALUE"""),3)</f>
        <v>3</v>
      </c>
      <c r="I715" s="20">
        <f ca="1">IFERROR(__xludf.DUMMYFUNCTION("""COMPUTED_VALUE"""),1)</f>
        <v>1</v>
      </c>
      <c r="J715" s="20" t="str">
        <f ca="1">IFERROR(__xludf.DUMMYFUNCTION("""COMPUTED_VALUE"""),"Ley")</f>
        <v>Ley</v>
      </c>
      <c r="K715" s="20">
        <f ca="1">IFERROR(__xludf.DUMMYFUNCTION("""COMPUTED_VALUE"""),36793)</f>
        <v>36793</v>
      </c>
      <c r="L715" s="20" t="str">
        <f ca="1">IFERROR(__xludf.DUMMYFUNCTION("""COMPUTED_VALUE"""),"Poder Ejecutivo Provincial")</f>
        <v>Poder Ejecutivo Provincial</v>
      </c>
      <c r="M715" s="20" t="str">
        <f ca="1">IFERROR(__xludf.DUMMYFUNCTION("""COMPUTED_VALUE"""),"Ratificando el Decreto Provincial Nº 1578/22, que aprobó el Convenio Marco de Cooperación y Asistencia Técnica con el INDEC para dar cumplimiento al Programa Anual de Estadística 2022. ")</f>
        <v xml:space="preserve">Ratificando el Decreto Provincial Nº 1578/22, que aprobó el Convenio Marco de Cooperación y Asistencia Técnica con el INDEC para dar cumplimiento al Programa Anual de Estadística 2022. </v>
      </c>
      <c r="N715" s="20" t="str">
        <f ca="1">IFERROR(__xludf.DUMMYFUNCTION("""COMPUTED_VALUE"""),"NO")</f>
        <v>NO</v>
      </c>
      <c r="O715" s="20" t="str">
        <f ca="1">IFERROR(__xludf.DUMMYFUNCTION("""COMPUTED_VALUE"""),"NO")</f>
        <v>NO</v>
      </c>
      <c r="P715" s="20">
        <f ca="1">IFERROR(__xludf.DUMMYFUNCTION("""COMPUTED_VALUE"""),0)</f>
        <v>0</v>
      </c>
      <c r="Q715" s="113" t="str">
        <f ca="1">IFERROR(__xludf.DUMMYFUNCTION("""COMPUTED_VALUE"""),"https://gld.legislaturacba.gob.ar/_cdd/api/Documento/descargar?guid=6793f3da-6343-45eb-87b0-e8d38df101cb&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v>
      </c>
      <c r="R715" s="113" t="str">
        <f ca="1">IFERROR(__xludf.DUMMYFUNCTION("""COMPUTED_VALUE"""),"https://www.youtube.com/watch?v=bmn0OD-gkXQ")</f>
        <v>https://www.youtube.com/watch?v=bmn0OD-gkXQ</v>
      </c>
      <c r="S715" s="113" t="str">
        <f ca="1">IFERROR(__xludf.DUMMYFUNCTION("""COMPUTED_VALUE"""),"https://gld.legislaturacba.gob.ar/Publics/Actas.aspx?id=2r17P9AK8X4=")</f>
        <v>https://gld.legislaturacba.gob.ar/Publics/Actas.aspx?id=2r17P9AK8X4=</v>
      </c>
      <c r="T715" s="99">
        <f t="shared" ca="1" si="0"/>
        <v>0</v>
      </c>
    </row>
    <row r="716" spans="1:20">
      <c r="A716" s="20">
        <f ca="1">IFERROR(__xludf.DUMMYFUNCTION("""COMPUTED_VALUE"""),10)</f>
        <v>10</v>
      </c>
      <c r="B716" s="20">
        <f ca="1">IFERROR(__xludf.DUMMYFUNCTION("""COMPUTED_VALUE"""),2023)</f>
        <v>2023</v>
      </c>
      <c r="C716" s="20" t="str">
        <f ca="1">IFERROR(__xludf.DUMMYFUNCTION("""COMPUTED_VALUE"""),"PRESENCIAL")</f>
        <v>PRESENCIAL</v>
      </c>
      <c r="D716" s="106">
        <f ca="1">IFERROR(__xludf.DUMMYFUNCTION("""COMPUTED_VALUE"""),44980)</f>
        <v>44980</v>
      </c>
      <c r="E716" s="20" t="str">
        <f ca="1">IFERROR(__xludf.DUMMYFUNCTION("""COMPUTED_VALUE"""),"SI")</f>
        <v>SI</v>
      </c>
      <c r="F716" s="20" t="str">
        <f ca="1">IFERROR(__xludf.DUMMYFUNCTION("""COMPUTED_VALUE"""),"AMBIENTE;AGRICULTURA, GANADERÍA Y RECURSOS RENOVABLES;RELACIONES INTERNACIONALES, MERCOSUR Y COMERCIO EXTERIOR;PROMOCIÓN Y DESARROLLO DE LAS ECONOMÍAS REGIONALES Y PYMES")</f>
        <v>AMBIENTE;AGRICULTURA, GANADERÍA Y RECURSOS RENOVABLES;RELACIONES INTERNACIONALES, MERCOSUR Y COMERCIO EXTERIOR;PROMOCIÓN Y DESARROLLO DE LAS ECONOMÍAS REGIONALES Y PYMES</v>
      </c>
      <c r="G716" s="20">
        <f ca="1">IFERROR(__xludf.DUMMYFUNCTION("""COMPUTED_VALUE"""),4)</f>
        <v>4</v>
      </c>
      <c r="H716" s="20">
        <f ca="1">IFERROR(__xludf.DUMMYFUNCTION("""COMPUTED_VALUE"""),3)</f>
        <v>3</v>
      </c>
      <c r="I716" s="20">
        <f ca="1">IFERROR(__xludf.DUMMYFUNCTION("""COMPUTED_VALUE"""),1)</f>
        <v>1</v>
      </c>
      <c r="J716" s="20" t="str">
        <f ca="1">IFERROR(__xludf.DUMMYFUNCTION("""COMPUTED_VALUE"""),"NA")</f>
        <v>NA</v>
      </c>
      <c r="K716" s="20" t="str">
        <f ca="1">IFERROR(__xludf.DUMMYFUNCTION("""COMPUTED_VALUE"""),"NA")</f>
        <v>NA</v>
      </c>
      <c r="L716" s="20" t="str">
        <f ca="1">IFERROR(__xludf.DUMMYFUNCTION("""COMPUTED_VALUE"""),"NA")</f>
        <v>NA</v>
      </c>
      <c r="M716" s="20" t="str">
        <f ca="1">IFERROR(__xludf.DUMMYFUNCTION("""COMPUTED_VALUE"""),"Visita a la Planta Regional de Tratamiento de Residuos Sólidos Urbanos de Calamuchita ubicada en el paraje Cañada Grande")</f>
        <v>Visita a la Planta Regional de Tratamiento de Residuos Sólidos Urbanos de Calamuchita ubicada en el paraje Cañada Grande</v>
      </c>
      <c r="N716" s="20" t="str">
        <f ca="1">IFERROR(__xludf.DUMMYFUNCTION("""COMPUTED_VALUE"""),"NA")</f>
        <v>NA</v>
      </c>
      <c r="O716" s="20" t="str">
        <f ca="1">IFERROR(__xludf.DUMMYFUNCTION("""COMPUTED_VALUE"""),"NO")</f>
        <v>NO</v>
      </c>
      <c r="P716" s="20">
        <f ca="1">IFERROR(__xludf.DUMMYFUNCTION("""COMPUTED_VALUE"""),0)</f>
        <v>0</v>
      </c>
      <c r="Q716" s="20" t="str">
        <f ca="1">IFERROR(__xludf.DUMMYFUNCTION("""COMPUTED_VALUE"""),"NA")</f>
        <v>NA</v>
      </c>
      <c r="R716" s="20" t="str">
        <f ca="1">IFERROR(__xludf.DUMMYFUNCTION("""COMPUTED_VALUE"""),"NA")</f>
        <v>NA</v>
      </c>
      <c r="S716" s="113" t="str">
        <f ca="1">IFERROR(__xludf.DUMMYFUNCTION("""COMPUTED_VALUE"""),"https://gld.legislaturacba.gob.ar/Publics/Actas.aspx?id=nULR_fOlIeY=;https://gld.legislaturacba.gob.ar/Publics/Actas.aspx?id=86PvTo4tIM0=;https://gld.legislaturacba.gob.ar/Publics/Actas.aspx?id=0K7jLVqcwm4=;https://gld.legislaturacba.gob.ar/Publics/Actas."&amp;"aspx?id=ZrjN6rhiK4U=")</f>
        <v>https://gld.legislaturacba.gob.ar/Publics/Actas.aspx?id=nULR_fOlIeY=;https://gld.legislaturacba.gob.ar/Publics/Actas.aspx?id=86PvTo4tIM0=;https://gld.legislaturacba.gob.ar/Publics/Actas.aspx?id=0K7jLVqcwm4=;https://gld.legislaturacba.gob.ar/Publics/Actas.aspx?id=ZrjN6rhiK4U=</v>
      </c>
      <c r="T716" s="99">
        <f t="shared" ca="1" si="0"/>
        <v>0</v>
      </c>
    </row>
    <row r="717" spans="1:20">
      <c r="A717" s="20">
        <f ca="1">IFERROR(__xludf.DUMMYFUNCTION("""COMPUTED_VALUE"""),11)</f>
        <v>11</v>
      </c>
      <c r="B717" s="20">
        <f ca="1">IFERROR(__xludf.DUMMYFUNCTION("""COMPUTED_VALUE"""),2023)</f>
        <v>2023</v>
      </c>
      <c r="C717" s="20" t="str">
        <f ca="1">IFERROR(__xludf.DUMMYFUNCTION("""COMPUTED_VALUE"""),"VIRTUAL")</f>
        <v>VIRTUAL</v>
      </c>
      <c r="D717" s="106">
        <f ca="1">IFERROR(__xludf.DUMMYFUNCTION("""COMPUTED_VALUE"""),44985)</f>
        <v>44985</v>
      </c>
      <c r="E717" s="20" t="str">
        <f ca="1">IFERROR(__xludf.DUMMYFUNCTION("""COMPUTED_VALUE"""),"NO")</f>
        <v>NO</v>
      </c>
      <c r="F717" s="20" t="str">
        <f ca="1">IFERROR(__xludf.DUMMYFUNCTION("""COMPUTED_VALUE"""),"ASUNTOS INSTITUCIONALES, MUNICIPALES Y COMUNALES")</f>
        <v>ASUNTOS INSTITUCIONALES, MUNICIPALES Y COMUNALES</v>
      </c>
      <c r="G717" s="20">
        <f ca="1">IFERROR(__xludf.DUMMYFUNCTION("""COMPUTED_VALUE"""),1)</f>
        <v>1</v>
      </c>
      <c r="H717" s="20">
        <f ca="1">IFERROR(__xludf.DUMMYFUNCTION("""COMPUTED_VALUE"""),2)</f>
        <v>2</v>
      </c>
      <c r="I717" s="20">
        <f ca="1">IFERROR(__xludf.DUMMYFUNCTION("""COMPUTED_VALUE"""),1)</f>
        <v>1</v>
      </c>
      <c r="J717" s="20" t="str">
        <f ca="1">IFERROR(__xludf.DUMMYFUNCTION("""COMPUTED_VALUE"""),"Ley")</f>
        <v>Ley</v>
      </c>
      <c r="K717" s="20">
        <f ca="1">IFERROR(__xludf.DUMMYFUNCTION("""COMPUTED_VALUE"""),36790)</f>
        <v>36790</v>
      </c>
      <c r="L717" s="20" t="str">
        <f ca="1">IFERROR(__xludf.DUMMYFUNCTION("""COMPUTED_VALUE"""),"Poder Ejecutivo Provincial")</f>
        <v>Poder Ejecutivo Provincial</v>
      </c>
      <c r="M717" s="20" t="str">
        <f ca="1">IFERROR(__xludf.DUMMYFUNCTION("""COMPUTED_VALUE"""),"Modificando el radio comunal de la localidad de Pincen, Dpto. Gral. Roca. ")</f>
        <v xml:space="preserve">Modificando el radio comunal de la localidad de Pincen, Dpto. Gral. Roca. </v>
      </c>
      <c r="N717" s="20" t="str">
        <f ca="1">IFERROR(__xludf.DUMMYFUNCTION("""COMPUTED_VALUE"""),"SI")</f>
        <v>SI</v>
      </c>
      <c r="O717" s="20" t="str">
        <f ca="1">IFERROR(__xludf.DUMMYFUNCTION("""COMPUTED_VALUE"""),"SI")</f>
        <v>SI</v>
      </c>
      <c r="P717" s="20">
        <f ca="1">IFERROR(__xludf.DUMMYFUNCTION("""COMPUTED_VALUE"""),2)</f>
        <v>2</v>
      </c>
      <c r="Q717" s="113" t="str">
        <f ca="1">IFERROR(__xludf.DUMMYFUNCTION("""COMPUTED_VALUE"""),"https://gld.legislaturacba.gob.ar/_cdd/api/Documento/descargar?guid=f7f61028-1ba0-42d9-9b82-1c0146cfd5e4&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v>
      </c>
      <c r="R717" s="20" t="str">
        <f ca="1">IFERROR(__xludf.DUMMYFUNCTION("""COMPUTED_VALUE"""),"NA")</f>
        <v>NA</v>
      </c>
      <c r="S717" s="113" t="str">
        <f ca="1">IFERROR(__xludf.DUMMYFUNCTION("""COMPUTED_VALUE"""),"https://gld.legislaturacba.gob.ar/Publics/Actas.aspx?id=bcKQ9fOHpgM=")</f>
        <v>https://gld.legislaturacba.gob.ar/Publics/Actas.aspx?id=bcKQ9fOHpgM=</v>
      </c>
      <c r="T717" s="99">
        <f t="shared" ca="1" si="0"/>
        <v>0</v>
      </c>
    </row>
    <row r="718" spans="1:20">
      <c r="A718" s="20">
        <f ca="1">IFERROR(__xludf.DUMMYFUNCTION("""COMPUTED_VALUE"""),12)</f>
        <v>12</v>
      </c>
      <c r="B718" s="20">
        <f ca="1">IFERROR(__xludf.DUMMYFUNCTION("""COMPUTED_VALUE"""),2023)</f>
        <v>2023</v>
      </c>
      <c r="C718" s="20" t="str">
        <f ca="1">IFERROR(__xludf.DUMMYFUNCTION("""COMPUTED_VALUE"""),"VIRTUAL")</f>
        <v>VIRTUAL</v>
      </c>
      <c r="D718" s="106">
        <f ca="1">IFERROR(__xludf.DUMMYFUNCTION("""COMPUTED_VALUE"""),44985)</f>
        <v>44985</v>
      </c>
      <c r="E718" s="20" t="str">
        <f ca="1">IFERROR(__xludf.DUMMYFUNCTION("""COMPUTED_VALUE"""),"NO")</f>
        <v>NO</v>
      </c>
      <c r="F718" s="20" t="str">
        <f ca="1">IFERROR(__xludf.DUMMYFUNCTION("""COMPUTED_VALUE"""),"ASUNTOS CONSTITUCIONALES, JUSTICIA Y ACUERDOS")</f>
        <v>ASUNTOS CONSTITUCIONALES, JUSTICIA Y ACUERDOS</v>
      </c>
      <c r="G718" s="20">
        <f ca="1">IFERROR(__xludf.DUMMYFUNCTION("""COMPUTED_VALUE"""),1)</f>
        <v>1</v>
      </c>
      <c r="H718" s="20">
        <f ca="1">IFERROR(__xludf.DUMMYFUNCTION("""COMPUTED_VALUE"""),1)</f>
        <v>1</v>
      </c>
      <c r="I718" s="20">
        <f ca="1">IFERROR(__xludf.DUMMYFUNCTION("""COMPUTED_VALUE"""),1)</f>
        <v>1</v>
      </c>
      <c r="J718" s="20" t="str">
        <f ca="1">IFERROR(__xludf.DUMMYFUNCTION("""COMPUTED_VALUE"""),"Ley")</f>
        <v>Ley</v>
      </c>
      <c r="K718" s="20">
        <f ca="1">IFERROR(__xludf.DUMMYFUNCTION("""COMPUTED_VALUE"""),36726)</f>
        <v>36726</v>
      </c>
      <c r="L718" s="20" t="str">
        <f ca="1">IFERROR(__xludf.DUMMYFUNCTION("""COMPUTED_VALUE"""),"Poder Ejecutivo Provincial")</f>
        <v>Poder Ejecutivo Provincial</v>
      </c>
      <c r="M718" s="20" t="str">
        <f ca="1">IFERROR(__xludf.DUMMYFUNCTION("""COMPUTED_VALUE"""),"Solicitando acuerdo para designar a la Sra. Abogada Fabiana Paula Pochettino, como Fiscal de Cámara en la Fiscalía de Cámara Civil, Comercial, Criminal, Correccional y del Trabajo, perteneciente a la Séptima Circunscripción Judicial con asiento en la ciud"&amp;"ad de Cruz del Eje. ")</f>
        <v xml:space="preserve">Solicitando acuerdo para designar a la Sra. Abogada Fabiana Paula Pochettino, como Fiscal de Cámara en la Fiscalía de Cámara Civil, Comercial, Criminal, Correccional y del Trabajo, perteneciente a la Séptima Circunscripción Judicial con asiento en la ciudad de Cruz del Eje. </v>
      </c>
      <c r="N718" s="20" t="str">
        <f ca="1">IFERROR(__xludf.DUMMYFUNCTION("""COMPUTED_VALUE"""),"SI")</f>
        <v>SI</v>
      </c>
      <c r="O718" s="20" t="str">
        <f ca="1">IFERROR(__xludf.DUMMYFUNCTION("""COMPUTED_VALUE"""),"SI")</f>
        <v>SI</v>
      </c>
      <c r="P718" s="20">
        <f ca="1">IFERROR(__xludf.DUMMYFUNCTION("""COMPUTED_VALUE"""),1)</f>
        <v>1</v>
      </c>
      <c r="Q718" s="113" t="str">
        <f ca="1">IFERROR(__xludf.DUMMYFUNCTION("""COMPUTED_VALUE"""),"https://gld.legislaturacba.gob.ar/_cdd/api/Documento/descargar?guid=a222acf7-651c-4f07-816a-045198609d26&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v>
      </c>
      <c r="R718" s="113" t="str">
        <f ca="1">IFERROR(__xludf.DUMMYFUNCTION("""COMPUTED_VALUE"""),"https://www.youtube.com/watch?v=jZhrwfp-dV8")</f>
        <v>https://www.youtube.com/watch?v=jZhrwfp-dV8</v>
      </c>
      <c r="S718" s="113" t="str">
        <f ca="1">IFERROR(__xludf.DUMMYFUNCTION("""COMPUTED_VALUE"""),"https://gld.legislaturacba.gob.ar/Publics/Actas.aspx?id=qPxCrPMhmEY=")</f>
        <v>https://gld.legislaturacba.gob.ar/Publics/Actas.aspx?id=qPxCrPMhmEY=</v>
      </c>
      <c r="T718" s="99">
        <f t="shared" ca="1" si="0"/>
        <v>0</v>
      </c>
    </row>
    <row r="719" spans="1:20">
      <c r="A719" s="20">
        <f ca="1">IFERROR(__xludf.DUMMYFUNCTION("""COMPUTED_VALUE"""),13)</f>
        <v>13</v>
      </c>
      <c r="B719" s="20">
        <f ca="1">IFERROR(__xludf.DUMMYFUNCTION("""COMPUTED_VALUE"""),2023)</f>
        <v>2023</v>
      </c>
      <c r="C719" s="20" t="str">
        <f ca="1">IFERROR(__xludf.DUMMYFUNCTION("""COMPUTED_VALUE"""),"VIRTUAL")</f>
        <v>VIRTUAL</v>
      </c>
      <c r="D719" s="106">
        <f ca="1">IFERROR(__xludf.DUMMYFUNCTION("""COMPUTED_VALUE"""),44985)</f>
        <v>44985</v>
      </c>
      <c r="E719" s="20" t="str">
        <f ca="1">IFERROR(__xludf.DUMMYFUNCTION("""COMPUTED_VALUE"""),"SI")</f>
        <v>SI</v>
      </c>
      <c r="F719"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19" s="20">
        <f ca="1">IFERROR(__xludf.DUMMYFUNCTION("""COMPUTED_VALUE"""),3)</f>
        <v>3</v>
      </c>
      <c r="H719" s="20">
        <f ca="1">IFERROR(__xludf.DUMMYFUNCTION("""COMPUTED_VALUE"""),1)</f>
        <v>1</v>
      </c>
      <c r="I719" s="20">
        <f ca="1">IFERROR(__xludf.DUMMYFUNCTION("""COMPUTED_VALUE"""),1)</f>
        <v>1</v>
      </c>
      <c r="J719" s="20" t="str">
        <f ca="1">IFERROR(__xludf.DUMMYFUNCTION("""COMPUTED_VALUE"""),"Ley")</f>
        <v>Ley</v>
      </c>
      <c r="K719" s="20">
        <f ca="1">IFERROR(__xludf.DUMMYFUNCTION("""COMPUTED_VALUE"""),36882)</f>
        <v>36882</v>
      </c>
      <c r="L719" s="20" t="str">
        <f ca="1">IFERROR(__xludf.DUMMYFUNCTION("""COMPUTED_VALUE"""),"Poder Ejecutivo Provincial")</f>
        <v>Poder Ejecutivo Provincial</v>
      </c>
      <c r="M719"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19" s="20" t="str">
        <f ca="1">IFERROR(__xludf.DUMMYFUNCTION("""COMPUTED_VALUE"""),"NO")</f>
        <v>NO</v>
      </c>
      <c r="O719" s="20" t="str">
        <f ca="1">IFERROR(__xludf.DUMMYFUNCTION("""COMPUTED_VALUE"""),"NO")</f>
        <v>NO</v>
      </c>
      <c r="P719" s="20">
        <f ca="1">IFERROR(__xludf.DUMMYFUNCTION("""COMPUTED_VALUE"""),0)</f>
        <v>0</v>
      </c>
      <c r="Q719" s="113" t="str">
        <f ca="1">IFERROR(__xludf.DUMMYFUNCTION("""COMPUTED_VALUE"""),"https://gld.legislaturacba.gob.ar/_cdd/api/Documento/descargar?guid=1bf7c3dd-cd8d-48eb-89d3-e8a0fdf544f3&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v>
      </c>
      <c r="R719" s="113" t="str">
        <f ca="1">IFERROR(__xludf.DUMMYFUNCTION("""COMPUTED_VALUE"""),"https://www.youtube.com/watch?v=UAvt1047MTk")</f>
        <v>https://www.youtube.com/watch?v=UAvt1047MTk</v>
      </c>
      <c r="S719" s="113" t="str">
        <f ca="1">IFERROR(__xludf.DUMMYFUNCTION("""COMPUTED_VALUE"""),"https://gld.legislaturacba.gob.ar/Publics/Actas.aspx?id=yguNm2F5GB8=;https://gld.legislaturacba.gob.ar/Publics/Actas.aspx?id=25A-vpkbhok=;https://gld.legislaturacba.gob.ar/Publics/Actas.aspx?id=U0DLw5__tFw=")</f>
        <v>https://gld.legislaturacba.gob.ar/Publics/Actas.aspx?id=yguNm2F5GB8=;https://gld.legislaturacba.gob.ar/Publics/Actas.aspx?id=25A-vpkbhok=;https://gld.legislaturacba.gob.ar/Publics/Actas.aspx?id=U0DLw5__tFw=</v>
      </c>
      <c r="T719" s="99">
        <f t="shared" ca="1" si="0"/>
        <v>0</v>
      </c>
    </row>
    <row r="720" spans="1:20">
      <c r="A720" s="20">
        <f ca="1">IFERROR(__xludf.DUMMYFUNCTION("""COMPUTED_VALUE"""),14)</f>
        <v>14</v>
      </c>
      <c r="B720" s="20">
        <f ca="1">IFERROR(__xludf.DUMMYFUNCTION("""COMPUTED_VALUE"""),2023)</f>
        <v>2023</v>
      </c>
      <c r="C720" s="20" t="str">
        <f ca="1">IFERROR(__xludf.DUMMYFUNCTION("""COMPUTED_VALUE"""),"VIRTUAL")</f>
        <v>VIRTUAL</v>
      </c>
      <c r="D720" s="106">
        <f ca="1">IFERROR(__xludf.DUMMYFUNCTION("""COMPUTED_VALUE"""),44987)</f>
        <v>44987</v>
      </c>
      <c r="E720" s="20" t="str">
        <f ca="1">IFERROR(__xludf.DUMMYFUNCTION("""COMPUTED_VALUE"""),"NO")</f>
        <v>NO</v>
      </c>
      <c r="F720" s="20" t="str">
        <f ca="1">IFERROR(__xludf.DUMMYFUNCTION("""COMPUTED_VALUE"""),"DEPORTES Y RECREACIÓN")</f>
        <v>DEPORTES Y RECREACIÓN</v>
      </c>
      <c r="G720" s="20">
        <f ca="1">IFERROR(__xludf.DUMMYFUNCTION("""COMPUTED_VALUE"""),1)</f>
        <v>1</v>
      </c>
      <c r="H720" s="20">
        <f ca="1">IFERROR(__xludf.DUMMYFUNCTION("""COMPUTED_VALUE"""),1)</f>
        <v>1</v>
      </c>
      <c r="I720" s="20">
        <f ca="1">IFERROR(__xludf.DUMMYFUNCTION("""COMPUTED_VALUE"""),1)</f>
        <v>1</v>
      </c>
      <c r="J720" s="20" t="str">
        <f ca="1">IFERROR(__xludf.DUMMYFUNCTION("""COMPUTED_VALUE"""),"NA")</f>
        <v>NA</v>
      </c>
      <c r="K720" s="20" t="str">
        <f ca="1">IFERROR(__xludf.DUMMYFUNCTION("""COMPUTED_VALUE"""),"NA")</f>
        <v>NA</v>
      </c>
      <c r="L720" s="20" t="str">
        <f ca="1">IFERROR(__xludf.DUMMYFUNCTION("""COMPUTED_VALUE"""),"NA")</f>
        <v>NA</v>
      </c>
      <c r="M720" s="20" t="str">
        <f ca="1">IFERROR(__xludf.DUMMYFUNCTION("""COMPUTED_VALUE"""),"Anteproyecto que prorroga la suspensión de ejecuciones dispuestas en proceso judicial que persigan la subasta de bienes inmuebles de asociaciones civiles, clubes o entidades sin fines de lucro")</f>
        <v>Anteproyecto que prorroga la suspensión de ejecuciones dispuestas en proceso judicial que persigan la subasta de bienes inmuebles de asociaciones civiles, clubes o entidades sin fines de lucro</v>
      </c>
      <c r="N720" s="20" t="str">
        <f ca="1">IFERROR(__xludf.DUMMYFUNCTION("""COMPUTED_VALUE"""),"NA")</f>
        <v>NA</v>
      </c>
      <c r="O720" s="20" t="str">
        <f ca="1">IFERROR(__xludf.DUMMYFUNCTION("""COMPUTED_VALUE"""),"NO")</f>
        <v>NO</v>
      </c>
      <c r="P720" s="20">
        <f ca="1">IFERROR(__xludf.DUMMYFUNCTION("""COMPUTED_VALUE"""),0)</f>
        <v>0</v>
      </c>
      <c r="Q720" s="113" t="str">
        <f ca="1">IFERROR(__xludf.DUMMYFUNCTION("""COMPUTED_VALUE"""),"https://gld.legislaturacba.gob.ar/_cdd/api/Documento/descargar?guid=783f61cd-5b65-4c64-b5ab-9bdc115e5c6d&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v>
      </c>
      <c r="R720" s="113" t="str">
        <f ca="1">IFERROR(__xludf.DUMMYFUNCTION("""COMPUTED_VALUE"""),"https://www.youtube.com/watch?v=LOEISRMcIaE")</f>
        <v>https://www.youtube.com/watch?v=LOEISRMcIaE</v>
      </c>
      <c r="S720" s="113" t="str">
        <f ca="1">IFERROR(__xludf.DUMMYFUNCTION("""COMPUTED_VALUE"""),"https://gld.legislaturacba.gob.ar/Publics/Actas.aspx?id=53LSrSe3RL8=")</f>
        <v>https://gld.legislaturacba.gob.ar/Publics/Actas.aspx?id=53LSrSe3RL8=</v>
      </c>
      <c r="T720" s="99">
        <f t="shared" ca="1" si="0"/>
        <v>0</v>
      </c>
    </row>
    <row r="721" spans="1:20">
      <c r="A721" s="20">
        <f ca="1">IFERROR(__xludf.DUMMYFUNCTION("""COMPUTED_VALUE"""),15)</f>
        <v>15</v>
      </c>
      <c r="B721" s="20">
        <f ca="1">IFERROR(__xludf.DUMMYFUNCTION("""COMPUTED_VALUE"""),2023)</f>
        <v>2023</v>
      </c>
      <c r="C721" s="20" t="str">
        <f ca="1">IFERROR(__xludf.DUMMYFUNCTION("""COMPUTED_VALUE"""),"SEMIPRESENCIAL")</f>
        <v>SEMIPRESENCIAL</v>
      </c>
      <c r="D721" s="106">
        <f ca="1">IFERROR(__xludf.DUMMYFUNCTION("""COMPUTED_VALUE"""),44987)</f>
        <v>44987</v>
      </c>
      <c r="E721" s="20" t="str">
        <f ca="1">IFERROR(__xludf.DUMMYFUNCTION("""COMPUTED_VALUE"""),"NO")</f>
        <v>NO</v>
      </c>
      <c r="F721" s="20" t="str">
        <f ca="1">IFERROR(__xludf.DUMMYFUNCTION("""COMPUTED_VALUE"""),"SERVICIOS PÚBLICOS")</f>
        <v>SERVICIOS PÚBLICOS</v>
      </c>
      <c r="G721" s="20">
        <f ca="1">IFERROR(__xludf.DUMMYFUNCTION("""COMPUTED_VALUE"""),1)</f>
        <v>1</v>
      </c>
      <c r="H721" s="20">
        <f ca="1">IFERROR(__xludf.DUMMYFUNCTION("""COMPUTED_VALUE"""),5)</f>
        <v>5</v>
      </c>
      <c r="I721" s="20">
        <f ca="1">IFERROR(__xludf.DUMMYFUNCTION("""COMPUTED_VALUE"""),1)</f>
        <v>1</v>
      </c>
      <c r="J721" s="20" t="str">
        <f ca="1">IFERROR(__xludf.DUMMYFUNCTION("""COMPUTED_VALUE"""),"Resolución")</f>
        <v>Resolución</v>
      </c>
      <c r="K721" s="20">
        <f ca="1">IFERROR(__xludf.DUMMYFUNCTION("""COMPUTED_VALUE"""),36443)</f>
        <v>36443</v>
      </c>
      <c r="L721" s="20" t="str">
        <f ca="1">IFERROR(__xludf.DUMMYFUNCTION("""COMPUTED_VALUE"""),"Poder Legislativo Provincial")</f>
        <v>Poder Legislativo Provincial</v>
      </c>
      <c r="M721" s="20" t="str">
        <f ca="1">IFERROR(__xludf.DUMMYFUNCTION("""COMPUTED_VALUE"""),"Solicitando al Poder Ejecutivo informe (Art. 102 C.P.) sobre diversos aspectos referidos al Estatuto de la Unidad Ejecutora Biprovincial-Acueducto Interprovincial Santa Fe-Córdoba.")</f>
        <v>Solicitando al Poder Ejecutivo informe (Art. 102 C.P.) sobre diversos aspectos referidos al Estatuto de la Unidad Ejecutora Biprovincial-Acueducto Interprovincial Santa Fe-Córdoba.</v>
      </c>
      <c r="N721" s="20" t="str">
        <f ca="1">IFERROR(__xludf.DUMMYFUNCTION("""COMPUTED_VALUE"""),"SI")</f>
        <v>SI</v>
      </c>
      <c r="O721" s="20" t="str">
        <f ca="1">IFERROR(__xludf.DUMMYFUNCTION("""COMPUTED_VALUE"""),"SI")</f>
        <v>SI</v>
      </c>
      <c r="P721" s="20">
        <f ca="1">IFERROR(__xludf.DUMMYFUNCTION("""COMPUTED_VALUE"""),4)</f>
        <v>4</v>
      </c>
      <c r="Q721" s="113" t="str">
        <f ca="1">IFERROR(__xludf.DUMMYFUNCTION("""COMPUTED_VALUE"""),"https://gld.legislaturacba.gob.ar/_cdd/api/Documento/descargar?guid=a86e9a3c-85e6-4c06-8f12-a40e91f202cc&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v>
      </c>
      <c r="R721" s="113" t="str">
        <f ca="1">IFERROR(__xludf.DUMMYFUNCTION("""COMPUTED_VALUE"""),"https://www.youtube.com/watch?v=kxIc9HnZJX8")</f>
        <v>https://www.youtube.com/watch?v=kxIc9HnZJX8</v>
      </c>
      <c r="S721" s="113" t="str">
        <f ca="1">IFERROR(__xludf.DUMMYFUNCTION("""COMPUTED_VALUE"""),"https://gld.legislaturacba.gob.ar/Publics/Actas.aspx?id=pUjg1CubuL0=")</f>
        <v>https://gld.legislaturacba.gob.ar/Publics/Actas.aspx?id=pUjg1CubuL0=</v>
      </c>
      <c r="T721" s="99">
        <f t="shared" ca="1" si="0"/>
        <v>0</v>
      </c>
    </row>
    <row r="722" spans="1:20">
      <c r="A722" s="20">
        <f ca="1">IFERROR(__xludf.DUMMYFUNCTION("""COMPUTED_VALUE"""),16)</f>
        <v>16</v>
      </c>
      <c r="B722" s="20">
        <f ca="1">IFERROR(__xludf.DUMMYFUNCTION("""COMPUTED_VALUE"""),2023)</f>
        <v>2023</v>
      </c>
      <c r="C722" s="20" t="str">
        <f ca="1">IFERROR(__xludf.DUMMYFUNCTION("""COMPUTED_VALUE"""),"VIRTUAL")</f>
        <v>VIRTUAL</v>
      </c>
      <c r="D722" s="106">
        <f ca="1">IFERROR(__xludf.DUMMYFUNCTION("""COMPUTED_VALUE"""),44992)</f>
        <v>44992</v>
      </c>
      <c r="E722" s="20" t="str">
        <f ca="1">IFERROR(__xludf.DUMMYFUNCTION("""COMPUTED_VALUE"""),"NO")</f>
        <v>NO</v>
      </c>
      <c r="F722" s="20" t="str">
        <f ca="1">IFERROR(__xludf.DUMMYFUNCTION("""COMPUTED_VALUE"""),"LEGISLACIÓN GENERAL")</f>
        <v>LEGISLACIÓN GENERAL</v>
      </c>
      <c r="G722" s="20">
        <f ca="1">IFERROR(__xludf.DUMMYFUNCTION("""COMPUTED_VALUE"""),1)</f>
        <v>1</v>
      </c>
      <c r="H722" s="20">
        <f ca="1">IFERROR(__xludf.DUMMYFUNCTION("""COMPUTED_VALUE"""),3)</f>
        <v>3</v>
      </c>
      <c r="I722" s="20">
        <f ca="1">IFERROR(__xludf.DUMMYFUNCTION("""COMPUTED_VALUE"""),1)</f>
        <v>1</v>
      </c>
      <c r="J722" s="20" t="str">
        <f ca="1">IFERROR(__xludf.DUMMYFUNCTION("""COMPUTED_VALUE"""),"Ley")</f>
        <v>Ley</v>
      </c>
      <c r="K722" s="20">
        <f ca="1">IFERROR(__xludf.DUMMYFUNCTION("""COMPUTED_VALUE"""),36730)</f>
        <v>36730</v>
      </c>
      <c r="L722" s="20" t="str">
        <f ca="1">IFERROR(__xludf.DUMMYFUNCTION("""COMPUTED_VALUE"""),"Poder Ejecutivo Provincial")</f>
        <v>Poder Ejecutivo Provincial</v>
      </c>
      <c r="M722" s="20" t="str">
        <f ca="1">IFERROR(__xludf.DUMMYFUNCTION("""COMPUTED_VALUE"""),"Modificando el radio comunal de la localidad de Colonia Barge, Dpto. Marcos Juárez. ")</f>
        <v xml:space="preserve">Modificando el radio comunal de la localidad de Colonia Barge, Dpto. Marcos Juárez. </v>
      </c>
      <c r="N722" s="20" t="str">
        <f ca="1">IFERROR(__xludf.DUMMYFUNCTION("""COMPUTED_VALUE"""),"NO")</f>
        <v>NO</v>
      </c>
      <c r="O722" s="20" t="str">
        <f ca="1">IFERROR(__xludf.DUMMYFUNCTION("""COMPUTED_VALUE"""),"NO")</f>
        <v>NO</v>
      </c>
      <c r="P722" s="20">
        <f ca="1">IFERROR(__xludf.DUMMYFUNCTION("""COMPUTED_VALUE"""),0)</f>
        <v>0</v>
      </c>
      <c r="Q722" s="113" t="str">
        <f ca="1">IFERROR(__xludf.DUMMYFUNCTION("""COMPUTED_VALUE"""),"https://gld.legislaturacba.gob.ar/_cdd/api/Documento/descargar?guid=971f0d1c-2eb3-4f3d-8c81-81cc9ef9d6ba&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v>
      </c>
      <c r="R722" s="113" t="str">
        <f ca="1">IFERROR(__xludf.DUMMYFUNCTION("""COMPUTED_VALUE"""),"https://www.youtube.com/watch?v=fXjIrFzDPjU")</f>
        <v>https://www.youtube.com/watch?v=fXjIrFzDPjU</v>
      </c>
      <c r="S722" s="113" t="str">
        <f ca="1">IFERROR(__xludf.DUMMYFUNCTION("""COMPUTED_VALUE"""),"https://gld.legislaturacba.gob.ar/Publics/Actas.aspx?id=dZ7dhF731Fc=")</f>
        <v>https://gld.legislaturacba.gob.ar/Publics/Actas.aspx?id=dZ7dhF731Fc=</v>
      </c>
      <c r="T722" s="99">
        <f t="shared" ca="1" si="0"/>
        <v>0</v>
      </c>
    </row>
    <row r="723" spans="1:20">
      <c r="A723" s="20">
        <f ca="1">IFERROR(__xludf.DUMMYFUNCTION("""COMPUTED_VALUE"""),17)</f>
        <v>17</v>
      </c>
      <c r="B723" s="20">
        <f ca="1">IFERROR(__xludf.DUMMYFUNCTION("""COMPUTED_VALUE"""),2023)</f>
        <v>2023</v>
      </c>
      <c r="C723" s="20" t="str">
        <f ca="1">IFERROR(__xludf.DUMMYFUNCTION("""COMPUTED_VALUE"""),"VIRTUAL")</f>
        <v>VIRTUAL</v>
      </c>
      <c r="D723" s="106">
        <f ca="1">IFERROR(__xludf.DUMMYFUNCTION("""COMPUTED_VALUE"""),44992)</f>
        <v>44992</v>
      </c>
      <c r="E723" s="20" t="str">
        <f ca="1">IFERROR(__xludf.DUMMYFUNCTION("""COMPUTED_VALUE"""),"NO")</f>
        <v>NO</v>
      </c>
      <c r="F723" s="20" t="str">
        <f ca="1">IFERROR(__xludf.DUMMYFUNCTION("""COMPUTED_VALUE"""),"TURISMO Y SU RELACIÓN CON EL DESARROLLO REGIONAL")</f>
        <v>TURISMO Y SU RELACIÓN CON EL DESARROLLO REGIONAL</v>
      </c>
      <c r="G723" s="20">
        <f ca="1">IFERROR(__xludf.DUMMYFUNCTION("""COMPUTED_VALUE"""),1)</f>
        <v>1</v>
      </c>
      <c r="H723" s="20">
        <f ca="1">IFERROR(__xludf.DUMMYFUNCTION("""COMPUTED_VALUE"""),1)</f>
        <v>1</v>
      </c>
      <c r="I723" s="20">
        <f ca="1">IFERROR(__xludf.DUMMYFUNCTION("""COMPUTED_VALUE"""),1)</f>
        <v>1</v>
      </c>
      <c r="J723" s="20" t="str">
        <f ca="1">IFERROR(__xludf.DUMMYFUNCTION("""COMPUTED_VALUE"""),"NA")</f>
        <v>NA</v>
      </c>
      <c r="K723" s="20" t="str">
        <f ca="1">IFERROR(__xludf.DUMMYFUNCTION("""COMPUTED_VALUE"""),"NA")</f>
        <v>NA</v>
      </c>
      <c r="L723" s="20" t="str">
        <f ca="1">IFERROR(__xludf.DUMMYFUNCTION("""COMPUTED_VALUE"""),"NA")</f>
        <v>NA</v>
      </c>
      <c r="M723" s="20" t="str">
        <f ca="1">IFERROR(__xludf.DUMMYFUNCTION("""COMPUTED_VALUE"""),"Programa de Regionalización en Turismo - Rio IV Sierras del Sur")</f>
        <v>Programa de Regionalización en Turismo - Rio IV Sierras del Sur</v>
      </c>
      <c r="N723" s="20" t="str">
        <f ca="1">IFERROR(__xludf.DUMMYFUNCTION("""COMPUTED_VALUE"""),"NA")</f>
        <v>NA</v>
      </c>
      <c r="O723" s="20" t="str">
        <f ca="1">IFERROR(__xludf.DUMMYFUNCTION("""COMPUTED_VALUE"""),"SI")</f>
        <v>SI</v>
      </c>
      <c r="P723" s="20">
        <f ca="1">IFERROR(__xludf.DUMMYFUNCTION("""COMPUTED_VALUE"""),4)</f>
        <v>4</v>
      </c>
      <c r="Q723" s="113" t="str">
        <f ca="1">IFERROR(__xludf.DUMMYFUNCTION("""COMPUTED_VALUE"""),"https://gld.legislaturacba.gob.ar/_cdd/api/Documento/descargar?guid=fe404af4-c52f-450e-aa3a-a06017e786a6&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v>
      </c>
      <c r="R723" s="20" t="str">
        <f ca="1">IFERROR(__xludf.DUMMYFUNCTION("""COMPUTED_VALUE"""),"NA")</f>
        <v>NA</v>
      </c>
      <c r="S723" s="113" t="str">
        <f ca="1">IFERROR(__xludf.DUMMYFUNCTION("""COMPUTED_VALUE"""),"https://gld.legislaturacba.gob.ar/Publics/Actas.aspx?id=H4ptXP01yok=")</f>
        <v>https://gld.legislaturacba.gob.ar/Publics/Actas.aspx?id=H4ptXP01yok=</v>
      </c>
      <c r="T723" s="99">
        <f t="shared" ca="1" si="0"/>
        <v>0</v>
      </c>
    </row>
    <row r="724" spans="1:20">
      <c r="A724" s="20">
        <f ca="1">IFERROR(__xludf.DUMMYFUNCTION("""COMPUTED_VALUE"""),18)</f>
        <v>18</v>
      </c>
      <c r="B724" s="20">
        <f ca="1">IFERROR(__xludf.DUMMYFUNCTION("""COMPUTED_VALUE"""),2023)</f>
        <v>2023</v>
      </c>
      <c r="C724" s="20" t="str">
        <f ca="1">IFERROR(__xludf.DUMMYFUNCTION("""COMPUTED_VALUE"""),"VIRTUAL")</f>
        <v>VIRTUAL</v>
      </c>
      <c r="D724" s="106">
        <f ca="1">IFERROR(__xludf.DUMMYFUNCTION("""COMPUTED_VALUE"""),44994)</f>
        <v>44994</v>
      </c>
      <c r="E724" s="20" t="str">
        <f ca="1">IFERROR(__xludf.DUMMYFUNCTION("""COMPUTED_VALUE"""),"NO")</f>
        <v>NO</v>
      </c>
      <c r="F724" s="20" t="str">
        <f ca="1">IFERROR(__xludf.DUMMYFUNCTION("""COMPUTED_VALUE"""),"ASUNTOS INSTITUCIONALES, MUNICIPALES Y COMUNALES")</f>
        <v>ASUNTOS INSTITUCIONALES, MUNICIPALES Y COMUNALES</v>
      </c>
      <c r="G724" s="20">
        <f ca="1">IFERROR(__xludf.DUMMYFUNCTION("""COMPUTED_VALUE"""),1)</f>
        <v>1</v>
      </c>
      <c r="H724" s="20">
        <f ca="1">IFERROR(__xludf.DUMMYFUNCTION("""COMPUTED_VALUE"""),2)</f>
        <v>2</v>
      </c>
      <c r="I724" s="20">
        <f ca="1">IFERROR(__xludf.DUMMYFUNCTION("""COMPUTED_VALUE"""),1)</f>
        <v>1</v>
      </c>
      <c r="J724" s="20" t="str">
        <f ca="1">IFERROR(__xludf.DUMMYFUNCTION("""COMPUTED_VALUE"""),"Ley")</f>
        <v>Ley</v>
      </c>
      <c r="K724" s="20">
        <f ca="1">IFERROR(__xludf.DUMMYFUNCTION("""COMPUTED_VALUE"""),36808)</f>
        <v>36808</v>
      </c>
      <c r="L724" s="20" t="str">
        <f ca="1">IFERROR(__xludf.DUMMYFUNCTION("""COMPUTED_VALUE"""),"Poder Ejecutivo Provincial")</f>
        <v>Poder Ejecutivo Provincial</v>
      </c>
      <c r="M724" s="20" t="str">
        <f ca="1">IFERROR(__xludf.DUMMYFUNCTION("""COMPUTED_VALUE"""),"Modificando el radio comunal de la localidad de Villa de Pocho, Dpto. Pocho. ")</f>
        <v xml:space="preserve">Modificando el radio comunal de la localidad de Villa de Pocho, Dpto. Pocho. </v>
      </c>
      <c r="N724" s="20" t="str">
        <f ca="1">IFERROR(__xludf.DUMMYFUNCTION("""COMPUTED_VALUE"""),"SI")</f>
        <v>SI</v>
      </c>
      <c r="O724" s="20" t="str">
        <f ca="1">IFERROR(__xludf.DUMMYFUNCTION("""COMPUTED_VALUE"""),"SI")</f>
        <v>SI</v>
      </c>
      <c r="P724" s="20">
        <f ca="1">IFERROR(__xludf.DUMMYFUNCTION("""COMPUTED_VALUE"""),2)</f>
        <v>2</v>
      </c>
      <c r="Q724" s="113" t="str">
        <f ca="1">IFERROR(__xludf.DUMMYFUNCTION("""COMPUTED_VALUE"""),"https://gld.legislaturacba.gob.ar/_cdd/api/Documento/descargar?guid=2b0047f1-af67-4225-a70a-814360caa433&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v>
      </c>
      <c r="R724" s="113" t="str">
        <f ca="1">IFERROR(__xludf.DUMMYFUNCTION("""COMPUTED_VALUE"""),"https://www.youtube.com/watch?v=22izjlbs6Dc")</f>
        <v>https://www.youtube.com/watch?v=22izjlbs6Dc</v>
      </c>
      <c r="S724" s="113" t="str">
        <f ca="1">IFERROR(__xludf.DUMMYFUNCTION("""COMPUTED_VALUE"""),"https://gld.legislaturacba.gob.ar/Publics/Actas.aspx?id=R5xpynoVFVg=")</f>
        <v>https://gld.legislaturacba.gob.ar/Publics/Actas.aspx?id=R5xpynoVFVg=</v>
      </c>
      <c r="T724" s="99">
        <f t="shared" ca="1" si="0"/>
        <v>0</v>
      </c>
    </row>
    <row r="725" spans="1:20">
      <c r="A725" s="20">
        <f ca="1">IFERROR(__xludf.DUMMYFUNCTION("""COMPUTED_VALUE"""),19)</f>
        <v>19</v>
      </c>
      <c r="B725" s="20">
        <f ca="1">IFERROR(__xludf.DUMMYFUNCTION("""COMPUTED_VALUE"""),2023)</f>
        <v>2023</v>
      </c>
      <c r="C725" s="20" t="str">
        <f ca="1">IFERROR(__xludf.DUMMYFUNCTION("""COMPUTED_VALUE"""),"SEMIPRESENCIAL")</f>
        <v>SEMIPRESENCIAL</v>
      </c>
      <c r="D725" s="106">
        <f ca="1">IFERROR(__xludf.DUMMYFUNCTION("""COMPUTED_VALUE"""),44999)</f>
        <v>44999</v>
      </c>
      <c r="E725" s="20" t="str">
        <f ca="1">IFERROR(__xludf.DUMMYFUNCTION("""COMPUTED_VALUE"""),"SI")</f>
        <v>SI</v>
      </c>
      <c r="F725"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25" s="20">
        <f ca="1">IFERROR(__xludf.DUMMYFUNCTION("""COMPUTED_VALUE"""),3)</f>
        <v>3</v>
      </c>
      <c r="H725" s="20">
        <f ca="1">IFERROR(__xludf.DUMMYFUNCTION("""COMPUTED_VALUE"""),1)</f>
        <v>1</v>
      </c>
      <c r="I725" s="20">
        <f ca="1">IFERROR(__xludf.DUMMYFUNCTION("""COMPUTED_VALUE"""),1)</f>
        <v>1</v>
      </c>
      <c r="J725" s="20" t="str">
        <f ca="1">IFERROR(__xludf.DUMMYFUNCTION("""COMPUTED_VALUE"""),"Ley")</f>
        <v>Ley</v>
      </c>
      <c r="K725" s="20">
        <f ca="1">IFERROR(__xludf.DUMMYFUNCTION("""COMPUTED_VALUE"""),36882)</f>
        <v>36882</v>
      </c>
      <c r="L725" s="20" t="str">
        <f ca="1">IFERROR(__xludf.DUMMYFUNCTION("""COMPUTED_VALUE"""),"Poder Ejecutivo Provincial")</f>
        <v>Poder Ejecutivo Provincial</v>
      </c>
      <c r="M725"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25" s="20" t="str">
        <f ca="1">IFERROR(__xludf.DUMMYFUNCTION("""COMPUTED_VALUE"""),"NO")</f>
        <v>NO</v>
      </c>
      <c r="O725" s="20" t="str">
        <f ca="1">IFERROR(__xludf.DUMMYFUNCTION("""COMPUTED_VALUE"""),"SI")</f>
        <v>SI</v>
      </c>
      <c r="P725" s="20">
        <f ca="1">IFERROR(__xludf.DUMMYFUNCTION("""COMPUTED_VALUE"""),3)</f>
        <v>3</v>
      </c>
      <c r="Q725" s="113" t="str">
        <f ca="1">IFERROR(__xludf.DUMMYFUNCTION("""COMPUTED_VALUE"""),"https://gld.legislaturacba.gob.ar/_cdd/api/Documento/descargar?guid=8b55bb3c-03f0-45d1-8a5d-7edf79eb039f&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v>
      </c>
      <c r="R725" s="113" t="str">
        <f ca="1">IFERROR(__xludf.DUMMYFUNCTION("""COMPUTED_VALUE"""),"https://www.youtube.com/watch?v=tClob1QsRQI")</f>
        <v>https://www.youtube.com/watch?v=tClob1QsRQI</v>
      </c>
      <c r="S725" s="113" t="str">
        <f ca="1">IFERROR(__xludf.DUMMYFUNCTION("""COMPUTED_VALUE"""),"https://gld.legislaturacba.gob.ar/Publics/Actas.aspx?id=-ZiT8_-kK1k=;https://gld.legislaturacba.gob.ar/Publics/Actas.aspx?id=pHOomACeSls=;https://gld.legislaturacba.gob.ar/Publics/Actas.aspx?id=AxR35nrgJfI=")</f>
        <v>https://gld.legislaturacba.gob.ar/Publics/Actas.aspx?id=-ZiT8_-kK1k=;https://gld.legislaturacba.gob.ar/Publics/Actas.aspx?id=pHOomACeSls=;https://gld.legislaturacba.gob.ar/Publics/Actas.aspx?id=AxR35nrgJfI=</v>
      </c>
      <c r="T725" s="99">
        <f t="shared" ca="1" si="0"/>
        <v>0</v>
      </c>
    </row>
    <row r="726" spans="1:20">
      <c r="A726" s="20">
        <f ca="1">IFERROR(__xludf.DUMMYFUNCTION("""COMPUTED_VALUE"""),20)</f>
        <v>20</v>
      </c>
      <c r="B726" s="20">
        <f ca="1">IFERROR(__xludf.DUMMYFUNCTION("""COMPUTED_VALUE"""),2023)</f>
        <v>2023</v>
      </c>
      <c r="C726" s="20" t="str">
        <f ca="1">IFERROR(__xludf.DUMMYFUNCTION("""COMPUTED_VALUE"""),"VIRTUAL")</f>
        <v>VIRTUAL</v>
      </c>
      <c r="D726" s="106">
        <f ca="1">IFERROR(__xludf.DUMMYFUNCTION("""COMPUTED_VALUE"""),44999)</f>
        <v>44999</v>
      </c>
      <c r="E726" s="20" t="str">
        <f ca="1">IFERROR(__xludf.DUMMYFUNCTION("""COMPUTED_VALUE"""),"NO")</f>
        <v>NO</v>
      </c>
      <c r="F726" s="20" t="str">
        <f ca="1">IFERROR(__xludf.DUMMYFUNCTION("""COMPUTED_VALUE"""),"ASUNTOS INSTITUCIONALES, MUNICIPALES Y COMUNALES")</f>
        <v>ASUNTOS INSTITUCIONALES, MUNICIPALES Y COMUNALES</v>
      </c>
      <c r="G726" s="20">
        <f ca="1">IFERROR(__xludf.DUMMYFUNCTION("""COMPUTED_VALUE"""),1)</f>
        <v>1</v>
      </c>
      <c r="H726" s="20">
        <f ca="1">IFERROR(__xludf.DUMMYFUNCTION("""COMPUTED_VALUE"""),2)</f>
        <v>2</v>
      </c>
      <c r="I726" s="20">
        <f ca="1">IFERROR(__xludf.DUMMYFUNCTION("""COMPUTED_VALUE"""),1)</f>
        <v>1</v>
      </c>
      <c r="J726" s="20" t="str">
        <f ca="1">IFERROR(__xludf.DUMMYFUNCTION("""COMPUTED_VALUE"""),"Ley")</f>
        <v>Ley</v>
      </c>
      <c r="K726" s="20">
        <f ca="1">IFERROR(__xludf.DUMMYFUNCTION("""COMPUTED_VALUE"""),36798)</f>
        <v>36798</v>
      </c>
      <c r="L726" s="20" t="str">
        <f ca="1">IFERROR(__xludf.DUMMYFUNCTION("""COMPUTED_VALUE"""),"Poder Ejecutivo Provincial")</f>
        <v>Poder Ejecutivo Provincial</v>
      </c>
      <c r="M726" s="20" t="str">
        <f ca="1">IFERROR(__xludf.DUMMYFUNCTION("""COMPUTED_VALUE"""),"Modificando el radio comunal de la localidad de Cuesta Blanca, Dpto. Punilla. ")</f>
        <v xml:space="preserve">Modificando el radio comunal de la localidad de Cuesta Blanca, Dpto. Punilla. </v>
      </c>
      <c r="N726" s="20" t="str">
        <f ca="1">IFERROR(__xludf.DUMMYFUNCTION("""COMPUTED_VALUE"""),"SI")</f>
        <v>SI</v>
      </c>
      <c r="O726" s="20" t="str">
        <f ca="1">IFERROR(__xludf.DUMMYFUNCTION("""COMPUTED_VALUE"""),"SI")</f>
        <v>SI</v>
      </c>
      <c r="P726" s="20">
        <f ca="1">IFERROR(__xludf.DUMMYFUNCTION("""COMPUTED_VALUE"""),2)</f>
        <v>2</v>
      </c>
      <c r="Q726" s="113" t="str">
        <f ca="1">IFERROR(__xludf.DUMMYFUNCTION("""COMPUTED_VALUE"""),"https://gld.legislaturacba.gob.ar/_cdd/api/Documento/descargar?guid=b5ba7233-0e15-435f-b971-1db5385c9080&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v>
      </c>
      <c r="R726" s="113" t="str">
        <f ca="1">IFERROR(__xludf.DUMMYFUNCTION("""COMPUTED_VALUE"""),"https://www.youtube.com/watch?v=E36n8h7c1CA")</f>
        <v>https://www.youtube.com/watch?v=E36n8h7c1CA</v>
      </c>
      <c r="S726" s="113" t="str">
        <f ca="1">IFERROR(__xludf.DUMMYFUNCTION("""COMPUTED_VALUE"""),"https://gld.legislaturacba.gob.ar/Publics/Actas.aspx?id=-ZiT8_-kK1k=")</f>
        <v>https://gld.legislaturacba.gob.ar/Publics/Actas.aspx?id=-ZiT8_-kK1k=</v>
      </c>
      <c r="T726" s="99">
        <f t="shared" ca="1" si="0"/>
        <v>0</v>
      </c>
    </row>
    <row r="727" spans="1:20">
      <c r="A727" s="20">
        <f ca="1">IFERROR(__xludf.DUMMYFUNCTION("""COMPUTED_VALUE"""),21)</f>
        <v>21</v>
      </c>
      <c r="B727" s="20">
        <f ca="1">IFERROR(__xludf.DUMMYFUNCTION("""COMPUTED_VALUE"""),2023)</f>
        <v>2023</v>
      </c>
      <c r="C727" s="20" t="str">
        <f ca="1">IFERROR(__xludf.DUMMYFUNCTION("""COMPUTED_VALUE"""),"VIRTUAL")</f>
        <v>VIRTUAL</v>
      </c>
      <c r="D727" s="106">
        <f ca="1">IFERROR(__xludf.DUMMYFUNCTION("""COMPUTED_VALUE"""),44999)</f>
        <v>44999</v>
      </c>
      <c r="E727" s="20" t="str">
        <f ca="1">IFERROR(__xludf.DUMMYFUNCTION("""COMPUTED_VALUE"""),"NO")</f>
        <v>NO</v>
      </c>
      <c r="F727" s="20" t="str">
        <f ca="1">IFERROR(__xludf.DUMMYFUNCTION("""COMPUTED_VALUE"""),"ASUNTOS CONSTITUCIONALES, JUSTICIA Y ACUERDOS")</f>
        <v>ASUNTOS CONSTITUCIONALES, JUSTICIA Y ACUERDOS</v>
      </c>
      <c r="G727" s="20">
        <f ca="1">IFERROR(__xludf.DUMMYFUNCTION("""COMPUTED_VALUE"""),1)</f>
        <v>1</v>
      </c>
      <c r="H727" s="20">
        <f ca="1">IFERROR(__xludf.DUMMYFUNCTION("""COMPUTED_VALUE"""),5)</f>
        <v>5</v>
      </c>
      <c r="I727" s="20">
        <f ca="1">IFERROR(__xludf.DUMMYFUNCTION("""COMPUTED_VALUE"""),1)</f>
        <v>1</v>
      </c>
      <c r="J727" s="20" t="str">
        <f ca="1">IFERROR(__xludf.DUMMYFUNCTION("""COMPUTED_VALUE"""),"Pliego")</f>
        <v>Pliego</v>
      </c>
      <c r="K727" s="20">
        <f ca="1">IFERROR(__xludf.DUMMYFUNCTION("""COMPUTED_VALUE"""),36884)</f>
        <v>36884</v>
      </c>
      <c r="L727" s="20" t="str">
        <f ca="1">IFERROR(__xludf.DUMMYFUNCTION("""COMPUTED_VALUE"""),"Poder Ejecutivo Provincial")</f>
        <v>Poder Ejecutivo Provincial</v>
      </c>
      <c r="M727" s="20" t="str">
        <f ca="1">IFERROR(__xludf.DUMMYFUNCTION("""COMPUTED_VALUE"""),"Solicitando acuerdo para designar a la Sra. Abogada María Rosa Molina de Caminal, como Vocal de la Cámara en lo Civil y Comercial de 8ª Nominación, perteneciente a la Primera Circunscripción Judicial con asiento en la ciudad de Córdoba. ")</f>
        <v xml:space="preserve">Solicitando acuerdo para designar a la Sra. Abogada María Rosa Molina de Caminal, como Vocal de la Cámara en lo Civil y Comercial de 8ª Nominación, perteneciente a la Primera Circunscripción Judicial con asiento en la ciudad de Córdoba. </v>
      </c>
      <c r="N727" s="20" t="str">
        <f ca="1">IFERROR(__xludf.DUMMYFUNCTION("""COMPUTED_VALUE"""),"SI")</f>
        <v>SI</v>
      </c>
      <c r="O727" s="20" t="str">
        <f ca="1">IFERROR(__xludf.DUMMYFUNCTION("""COMPUTED_VALUE"""),"NO")</f>
        <v>NO</v>
      </c>
      <c r="P727" s="20">
        <f ca="1">IFERROR(__xludf.DUMMYFUNCTION("""COMPUTED_VALUE"""),0)</f>
        <v>0</v>
      </c>
      <c r="Q727" s="113" t="str">
        <f ca="1">IFERROR(__xludf.DUMMYFUNCTION("""COMPUTED_VALUE"""),"https://gld.legislaturacba.gob.ar/_cdd/api/Documento/descargar?guid=5da57fe2-6f09-4dec-bdab-02241c26af0f&amp;token=WoR2RJEQksdwSrDvwIPai7S29wrw0dd78Qo3Z5iQpUfSphTHyzib9b6XShCE5o_V8TQk_y3JpxoEcXDQvLQzMmZzhhZcEFUQLLhZncSmpH27Ay93FAWieeYcTGD6Us9OPLLZGcZfI1p4mXiz"&amp;"UHn1IbyqAl0KlVfd96mzCrduN6EuGhbwbo1AXyAmTxCfen19l_LGzHzUilKgwzMaeitCnG1ul1DWZpPHcozUL4m4sklqeIWWMEW-uIfmGmlEM5Jx")</f>
        <v>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v>
      </c>
      <c r="R727" s="113" t="str">
        <f ca="1">IFERROR(__xludf.DUMMYFUNCTION("""COMPUTED_VALUE"""),"https://www.youtube.com/watch?v=UGbZ-T87atw")</f>
        <v>https://www.youtube.com/watch?v=UGbZ-T87atw</v>
      </c>
      <c r="S727" s="113" t="str">
        <f ca="1">IFERROR(__xludf.DUMMYFUNCTION("""COMPUTED_VALUE"""),"https://gld.legislaturacba.gob.ar/Publics/Actas.aspx?id=r0iJea1MX0I=")</f>
        <v>https://gld.legislaturacba.gob.ar/Publics/Actas.aspx?id=r0iJea1MX0I=</v>
      </c>
      <c r="T727" s="99">
        <f t="shared" ca="1" si="0"/>
        <v>0</v>
      </c>
    </row>
    <row r="728" spans="1:20">
      <c r="A728" s="20">
        <f ca="1">IFERROR(__xludf.DUMMYFUNCTION("""COMPUTED_VALUE"""),22)</f>
        <v>22</v>
      </c>
      <c r="B728" s="20">
        <f ca="1">IFERROR(__xludf.DUMMYFUNCTION("""COMPUTED_VALUE"""),2023)</f>
        <v>2023</v>
      </c>
      <c r="C728" s="20" t="str">
        <f ca="1">IFERROR(__xludf.DUMMYFUNCTION("""COMPUTED_VALUE"""),"VIRTUAL")</f>
        <v>VIRTUAL</v>
      </c>
      <c r="D728" s="106">
        <f ca="1">IFERROR(__xludf.DUMMYFUNCTION("""COMPUTED_VALUE"""),45001)</f>
        <v>45001</v>
      </c>
      <c r="E728" s="20" t="str">
        <f ca="1">IFERROR(__xludf.DUMMYFUNCTION("""COMPUTED_VALUE"""),"NO")</f>
        <v>NO</v>
      </c>
      <c r="F728" s="20" t="str">
        <f ca="1">IFERROR(__xludf.DUMMYFUNCTION("""COMPUTED_VALUE"""),"DEPORTES Y RECREACIÓN")</f>
        <v>DEPORTES Y RECREACIÓN</v>
      </c>
      <c r="G728" s="20">
        <f ca="1">IFERROR(__xludf.DUMMYFUNCTION("""COMPUTED_VALUE"""),1)</f>
        <v>1</v>
      </c>
      <c r="H728" s="20">
        <f ca="1">IFERROR(__xludf.DUMMYFUNCTION("""COMPUTED_VALUE"""),1)</f>
        <v>1</v>
      </c>
      <c r="I728" s="20">
        <f ca="1">IFERROR(__xludf.DUMMYFUNCTION("""COMPUTED_VALUE"""),1)</f>
        <v>1</v>
      </c>
      <c r="J728" s="20" t="str">
        <f ca="1">IFERROR(__xludf.DUMMYFUNCTION("""COMPUTED_VALUE"""),"Ley")</f>
        <v>Ley</v>
      </c>
      <c r="K728" s="20">
        <f ca="1">IFERROR(__xludf.DUMMYFUNCTION("""COMPUTED_VALUE"""),36956)</f>
        <v>36956</v>
      </c>
      <c r="L728" s="20" t="str">
        <f ca="1">IFERROR(__xludf.DUMMYFUNCTION("""COMPUTED_VALUE"""),"Poder Legislativo Provincial")</f>
        <v>Poder Legislativo Provincial</v>
      </c>
      <c r="M728" s="20" t="str">
        <f ca="1">IFERROR(__xludf.DUMMYFUNCTION("""COMPUTED_VALUE"""),"Modificando el artículo 1° de la Ley N° 10003, suspendiendo hasta el 31 de marzo de 2024 las ejecuciones que persigan la subasta de bienes inmuebles propiedad de las asociaciones civiles, clubes o entidades sin fines de lucro cuyo objeto social sea la pro"&amp;"moción, difusión o realización de prácticas deportivas, recreativas o comunitarias, cualquiera fuere la causa de la obligación o el motivo de su liquidación y cualquiera sea el fuero de radicación de la causa. ")</f>
        <v xml:space="preserve">Modificando el artículo 1° de la Ley N° 10003, suspendiendo hasta el 31 de marzo de 2024 las ejecuciones que persigan la subasta de bienes inmuebles propiedad de las asociaciones civiles, clubes o entidades sin fines de lucro cuyo objeto social sea la promoción, difusión o realización de prácticas deportivas, recreativas o comunitarias, cualquiera fuere la causa de la obligación o el motivo de su liquidación y cualquiera sea el fuero de radicación de la causa. </v>
      </c>
      <c r="N728" s="20" t="str">
        <f ca="1">IFERROR(__xludf.DUMMYFUNCTION("""COMPUTED_VALUE"""),"SI")</f>
        <v>SI</v>
      </c>
      <c r="O728" s="20" t="str">
        <f ca="1">IFERROR(__xludf.DUMMYFUNCTION("""COMPUTED_VALUE"""),"NO")</f>
        <v>NO</v>
      </c>
      <c r="P728" s="20">
        <f ca="1">IFERROR(__xludf.DUMMYFUNCTION("""COMPUTED_VALUE"""),0)</f>
        <v>0</v>
      </c>
      <c r="Q728" s="113" t="str">
        <f ca="1">IFERROR(__xludf.DUMMYFUNCTION("""COMPUTED_VALUE"""),"https://gld.legislaturacba.gob.ar/_cdd/api/Documento/descargar?guid=f17d1326-791f-4099-ab0b-b7c44fa663fb&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v>
      </c>
      <c r="R728" s="113" t="str">
        <f ca="1">IFERROR(__xludf.DUMMYFUNCTION("""COMPUTED_VALUE"""),"https://www.youtube.com/watch?v=BOr8zB7xM7w")</f>
        <v>https://www.youtube.com/watch?v=BOr8zB7xM7w</v>
      </c>
      <c r="S728" s="113" t="str">
        <f ca="1">IFERROR(__xludf.DUMMYFUNCTION("""COMPUTED_VALUE"""),"https://gld.legislaturacba.gob.ar/Publics/Actas.aspx?id=8ragWnSsIEM=")</f>
        <v>https://gld.legislaturacba.gob.ar/Publics/Actas.aspx?id=8ragWnSsIEM=</v>
      </c>
      <c r="T728" s="99">
        <f t="shared" ca="1" si="0"/>
        <v>0</v>
      </c>
    </row>
    <row r="729" spans="1:20">
      <c r="A729" s="20">
        <f ca="1">IFERROR(__xludf.DUMMYFUNCTION("""COMPUTED_VALUE"""),23)</f>
        <v>23</v>
      </c>
      <c r="B729" s="20">
        <f ca="1">IFERROR(__xludf.DUMMYFUNCTION("""COMPUTED_VALUE"""),2023)</f>
        <v>2023</v>
      </c>
      <c r="C729" s="20" t="str">
        <f ca="1">IFERROR(__xludf.DUMMYFUNCTION("""COMPUTED_VALUE"""),"SEMIPRESENCIAL")</f>
        <v>SEMIPRESENCIAL</v>
      </c>
      <c r="D729" s="106">
        <f ca="1">IFERROR(__xludf.DUMMYFUNCTION("""COMPUTED_VALUE"""),45001)</f>
        <v>45001</v>
      </c>
      <c r="E729" s="20" t="str">
        <f ca="1">IFERROR(__xludf.DUMMYFUNCTION("""COMPUTED_VALUE"""),"SI")</f>
        <v>SI</v>
      </c>
      <c r="F729" s="20" t="str">
        <f ca="1">IFERROR(__xludf.DUMMYFUNCTION("""COMPUTED_VALUE"""),"LEGISLACIÓN DEL TRABAJO, PREVISIÓN Y SEGURIDAD SOCIAL;DERECHOS HUMANOS Y DESARROLLO SOCIAL")</f>
        <v>LEGISLACIÓN DEL TRABAJO, PREVISIÓN Y SEGURIDAD SOCIAL;DERECHOS HUMANOS Y DESARROLLO SOCIAL</v>
      </c>
      <c r="G729" s="20">
        <f ca="1">IFERROR(__xludf.DUMMYFUNCTION("""COMPUTED_VALUE"""),2)</f>
        <v>2</v>
      </c>
      <c r="H729" s="20">
        <f ca="1">IFERROR(__xludf.DUMMYFUNCTION("""COMPUTED_VALUE"""),3)</f>
        <v>3</v>
      </c>
      <c r="I729" s="20">
        <f ca="1">IFERROR(__xludf.DUMMYFUNCTION("""COMPUTED_VALUE"""),1)</f>
        <v>1</v>
      </c>
      <c r="J729" s="20" t="str">
        <f ca="1">IFERROR(__xludf.DUMMYFUNCTION("""COMPUTED_VALUE"""),"Resolución")</f>
        <v>Resolución</v>
      </c>
      <c r="K729" s="20">
        <f ca="1">IFERROR(__xludf.DUMMYFUNCTION("""COMPUTED_VALUE"""),36977)</f>
        <v>36977</v>
      </c>
      <c r="L729" s="20" t="str">
        <f ca="1">IFERROR(__xludf.DUMMYFUNCTION("""COMPUTED_VALUE"""),"Poder Legislativo Provincial")</f>
        <v>Poder Legislativo Provincial</v>
      </c>
      <c r="M729" s="20" t="str">
        <f ca="1">IFERROR(__xludf.DUMMYFUNCTION("""COMPUTED_VALUE"""),"Instando a los Senadores Nacionales por Córdoba, (Art. 104 inc. 5 C.P.) para que promuevan el tratamiento y aprobación del Proyecto de Ley referido a la transferencia a título gratuito del inmueble identificado como Ex Centro Clandestino de Detención, esp"&amp;"acio para la Memoria y la Defensa de los Derechos Humanos La Perla, a la provincia.")</f>
        <v>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v>
      </c>
      <c r="N729" s="20" t="str">
        <f ca="1">IFERROR(__xludf.DUMMYFUNCTION("""COMPUTED_VALUE"""),"NO")</f>
        <v>NO</v>
      </c>
      <c r="O729" s="20" t="str">
        <f ca="1">IFERROR(__xludf.DUMMYFUNCTION("""COMPUTED_VALUE"""),"SI")</f>
        <v>SI</v>
      </c>
      <c r="P729" s="20">
        <f ca="1">IFERROR(__xludf.DUMMYFUNCTION("""COMPUTED_VALUE"""),2)</f>
        <v>2</v>
      </c>
      <c r="Q729" s="113" t="str">
        <f ca="1">IFERROR(__xludf.DUMMYFUNCTION("""COMPUTED_VALUE"""),"https://gld.legislaturacba.gob.ar/_cdd/api/Documento/descargar?guid=81429eaa-126a-4230-9cab-8245a967726e&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v>
      </c>
      <c r="R729" s="113" t="str">
        <f ca="1">IFERROR(__xludf.DUMMYFUNCTION("""COMPUTED_VALUE"""),"https://www.youtube.com/watch?v=YxkXZ0kydyA")</f>
        <v>https://www.youtube.com/watch?v=YxkXZ0kydyA</v>
      </c>
      <c r="S729" s="113" t="str">
        <f ca="1">IFERROR(__xludf.DUMMYFUNCTION("""COMPUTED_VALUE"""),"https://gld.legislaturacba.gob.ar/Publics/Actas.aspx?id=3H3EtxsQShU=;NA")</f>
        <v>https://gld.legislaturacba.gob.ar/Publics/Actas.aspx?id=3H3EtxsQShU=;NA</v>
      </c>
      <c r="T729" s="99">
        <f t="shared" ca="1" si="0"/>
        <v>1</v>
      </c>
    </row>
    <row r="730" spans="1:20">
      <c r="A730" s="20">
        <f ca="1">IFERROR(__xludf.DUMMYFUNCTION("""COMPUTED_VALUE"""),24)</f>
        <v>24</v>
      </c>
      <c r="B730" s="20">
        <f ca="1">IFERROR(__xludf.DUMMYFUNCTION("""COMPUTED_VALUE"""),2023)</f>
        <v>2023</v>
      </c>
      <c r="C730" s="20" t="str">
        <f ca="1">IFERROR(__xludf.DUMMYFUNCTION("""COMPUTED_VALUE"""),"SEMIPRESENCIAL")</f>
        <v>SEMIPRESENCIAL</v>
      </c>
      <c r="D730" s="106">
        <f ca="1">IFERROR(__xludf.DUMMYFUNCTION("""COMPUTED_VALUE"""),45006)</f>
        <v>45006</v>
      </c>
      <c r="E730" s="20" t="str">
        <f ca="1">IFERROR(__xludf.DUMMYFUNCTION("""COMPUTED_VALUE"""),"SI")</f>
        <v>SI</v>
      </c>
      <c r="F730"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30" s="20">
        <f ca="1">IFERROR(__xludf.DUMMYFUNCTION("""COMPUTED_VALUE"""),3)</f>
        <v>3</v>
      </c>
      <c r="H730" s="20">
        <f ca="1">IFERROR(__xludf.DUMMYFUNCTION("""COMPUTED_VALUE"""),1)</f>
        <v>1</v>
      </c>
      <c r="I730" s="20">
        <f ca="1">IFERROR(__xludf.DUMMYFUNCTION("""COMPUTED_VALUE"""),1)</f>
        <v>1</v>
      </c>
      <c r="J730" s="20" t="str">
        <f ca="1">IFERROR(__xludf.DUMMYFUNCTION("""COMPUTED_VALUE"""),"Ley")</f>
        <v>Ley</v>
      </c>
      <c r="K730" s="20">
        <f ca="1">IFERROR(__xludf.DUMMYFUNCTION("""COMPUTED_VALUE"""),36882)</f>
        <v>36882</v>
      </c>
      <c r="L730" s="20" t="str">
        <f ca="1">IFERROR(__xludf.DUMMYFUNCTION("""COMPUTED_VALUE"""),"Poder Ejecutivo Provincial")</f>
        <v>Poder Ejecutivo Provincial</v>
      </c>
      <c r="M730"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30" s="20" t="str">
        <f ca="1">IFERROR(__xludf.DUMMYFUNCTION("""COMPUTED_VALUE"""),"NO")</f>
        <v>NO</v>
      </c>
      <c r="O730" s="20" t="str">
        <f ca="1">IFERROR(__xludf.DUMMYFUNCTION("""COMPUTED_VALUE"""),"SI")</f>
        <v>SI</v>
      </c>
      <c r="P730" s="20">
        <f ca="1">IFERROR(__xludf.DUMMYFUNCTION("""COMPUTED_VALUE"""),5)</f>
        <v>5</v>
      </c>
      <c r="Q730" s="113" t="str">
        <f ca="1">IFERROR(__xludf.DUMMYFUNCTION("""COMPUTED_VALUE"""),"https://gld.legislaturacba.gob.ar/_cdd/api/Documento/descargar?guid=ce34961f-1f5d-4cbc-b7dd-e10358a6087a&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v>
      </c>
      <c r="R730" s="113" t="str">
        <f ca="1">IFERROR(__xludf.DUMMYFUNCTION("""COMPUTED_VALUE"""),"https://www.youtube.com/watch?v=tMptCfzJO3w")</f>
        <v>https://www.youtube.com/watch?v=tMptCfzJO3w</v>
      </c>
      <c r="S730" s="113" t="str">
        <f ca="1">IFERROR(__xludf.DUMMYFUNCTION("""COMPUTED_VALUE"""),"https://gld.legislaturacba.gob.ar/Publics/Actas.aspx?id=yB1BgeQePNE=;https://gld.legislaturacba.gob.ar/Publics/Actas.aspx?id=z6fk_alVdKc=;https://gld.legislaturacba.gob.ar/Publics/Actas.aspx?id=z6fk_alVdKc=")</f>
        <v>https://gld.legislaturacba.gob.ar/Publics/Actas.aspx?id=yB1BgeQePNE=;https://gld.legislaturacba.gob.ar/Publics/Actas.aspx?id=z6fk_alVdKc=;https://gld.legislaturacba.gob.ar/Publics/Actas.aspx?id=z6fk_alVdKc=</v>
      </c>
      <c r="T730" s="99">
        <f t="shared" ca="1" si="0"/>
        <v>0</v>
      </c>
    </row>
    <row r="731" spans="1:20">
      <c r="A731" s="20">
        <f ca="1">IFERROR(__xludf.DUMMYFUNCTION("""COMPUTED_VALUE"""),25)</f>
        <v>25</v>
      </c>
      <c r="B731" s="20">
        <f ca="1">IFERROR(__xludf.DUMMYFUNCTION("""COMPUTED_VALUE"""),2023)</f>
        <v>2023</v>
      </c>
      <c r="C731" s="20" t="str">
        <f ca="1">IFERROR(__xludf.DUMMYFUNCTION("""COMPUTED_VALUE"""),"SEMIPRESENCIAL")</f>
        <v>SEMIPRESENCIAL</v>
      </c>
      <c r="D731" s="106">
        <f ca="1">IFERROR(__xludf.DUMMYFUNCTION("""COMPUTED_VALUE"""),45006)</f>
        <v>45006</v>
      </c>
      <c r="E731" s="20" t="str">
        <f ca="1">IFERROR(__xludf.DUMMYFUNCTION("""COMPUTED_VALUE"""),"SI")</f>
        <v>SI</v>
      </c>
      <c r="F731" s="20" t="str">
        <f ca="1">IFERROR(__xludf.DUMMYFUNCTION("""COMPUTED_VALUE"""),"LEGISLACIÓN DEL TRABAJO, PREVISIÓN Y SEGURIDAD SOCIAL;DERECHOS HUMANOS Y DESARROLLO SOCIAL;LEGISLACIÓN GENERAL")</f>
        <v>LEGISLACIÓN DEL TRABAJO, PREVISIÓN Y SEGURIDAD SOCIAL;DERECHOS HUMANOS Y DESARROLLO SOCIAL;LEGISLACIÓN GENERAL</v>
      </c>
      <c r="G731" s="20">
        <f ca="1">IFERROR(__xludf.DUMMYFUNCTION("""COMPUTED_VALUE"""),3)</f>
        <v>3</v>
      </c>
      <c r="H731" s="20">
        <f ca="1">IFERROR(__xludf.DUMMYFUNCTION("""COMPUTED_VALUE"""),2)</f>
        <v>2</v>
      </c>
      <c r="I731" s="20">
        <f ca="1">IFERROR(__xludf.DUMMYFUNCTION("""COMPUTED_VALUE"""),1)</f>
        <v>1</v>
      </c>
      <c r="J731" s="20" t="str">
        <f ca="1">IFERROR(__xludf.DUMMYFUNCTION("""COMPUTED_VALUE"""),"Resolución")</f>
        <v>Resolución</v>
      </c>
      <c r="K731" s="20">
        <f ca="1">IFERROR(__xludf.DUMMYFUNCTION("""COMPUTED_VALUE"""),36977)</f>
        <v>36977</v>
      </c>
      <c r="L731" s="20" t="str">
        <f ca="1">IFERROR(__xludf.DUMMYFUNCTION("""COMPUTED_VALUE"""),"Poder Legislativo Provincial")</f>
        <v>Poder Legislativo Provincial</v>
      </c>
      <c r="M731" s="20" t="str">
        <f ca="1">IFERROR(__xludf.DUMMYFUNCTION("""COMPUTED_VALUE"""),"Instando a los Senadores Nacionales por Córdoba, (Art. 104 inc. 5 C.P.) para que promuevan el tratamiento y aprobación del Proyecto de Ley referido a la transferencia a título gratuito del inmueble identificado como Ex Centro Clandestino de Detención, esp"&amp;"acio para la Memoria y la Defensa de los Derechos Humanos La Perla, a la provincia.")</f>
        <v>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v>
      </c>
      <c r="N731" s="20" t="str">
        <f ca="1">IFERROR(__xludf.DUMMYFUNCTION("""COMPUTED_VALUE"""),"SI")</f>
        <v>SI</v>
      </c>
      <c r="O731" s="20" t="str">
        <f ca="1">IFERROR(__xludf.DUMMYFUNCTION("""COMPUTED_VALUE"""),"SI")</f>
        <v>SI</v>
      </c>
      <c r="P731" s="20">
        <f ca="1">IFERROR(__xludf.DUMMYFUNCTION("""COMPUTED_VALUE"""),5)</f>
        <v>5</v>
      </c>
      <c r="Q731" s="113" t="str">
        <f ca="1">IFERROR(__xludf.DUMMYFUNCTION("""COMPUTED_VALUE"""),"https://gld.legislaturacba.gob.ar/_cdd/api/Documento/descargar?guid=1d0d2349-d316-4562-b200-e6a055ae0566&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v>
      </c>
      <c r="R731" s="113" t="str">
        <f ca="1">IFERROR(__xludf.DUMMYFUNCTION("""COMPUTED_VALUE"""),"https://www.youtube.com/watch?v=AhwQDRRprbo")</f>
        <v>https://www.youtube.com/watch?v=AhwQDRRprbo</v>
      </c>
      <c r="S731" s="113" t="str">
        <f ca="1">IFERROR(__xludf.DUMMYFUNCTION("""COMPUTED_VALUE"""),"https://gld.legislaturacba.gob.ar/Publics/Actas.aspx?id=vZ07Tij7Eco=;NA;https://gld.legislaturacba.gob.ar/Publics/Actas.aspx?id=0xFk-ftoloo=")</f>
        <v>https://gld.legislaturacba.gob.ar/Publics/Actas.aspx?id=vZ07Tij7Eco=;NA;https://gld.legislaturacba.gob.ar/Publics/Actas.aspx?id=0xFk-ftoloo=</v>
      </c>
      <c r="T731" s="99">
        <f t="shared" ca="1" si="0"/>
        <v>1</v>
      </c>
    </row>
    <row r="732" spans="1:20">
      <c r="A732" s="20">
        <f ca="1">IFERROR(__xludf.DUMMYFUNCTION("""COMPUTED_VALUE"""),26)</f>
        <v>26</v>
      </c>
      <c r="B732" s="20">
        <f ca="1">IFERROR(__xludf.DUMMYFUNCTION("""COMPUTED_VALUE"""),2023)</f>
        <v>2023</v>
      </c>
      <c r="C732" s="20" t="str">
        <f ca="1">IFERROR(__xludf.DUMMYFUNCTION("""COMPUTED_VALUE"""),"VIRTUAL")</f>
        <v>VIRTUAL</v>
      </c>
      <c r="D732" s="106">
        <f ca="1">IFERROR(__xludf.DUMMYFUNCTION("""COMPUTED_VALUE"""),45008)</f>
        <v>45008</v>
      </c>
      <c r="E732" s="20" t="str">
        <f ca="1">IFERROR(__xludf.DUMMYFUNCTION("""COMPUTED_VALUE"""),"NO")</f>
        <v>NO</v>
      </c>
      <c r="F732" s="20" t="str">
        <f ca="1">IFERROR(__xludf.DUMMYFUNCTION("""COMPUTED_VALUE"""),"ASUNTOS INSTITUCIONALES, MUNICIPALES Y COMUNALES")</f>
        <v>ASUNTOS INSTITUCIONALES, MUNICIPALES Y COMUNALES</v>
      </c>
      <c r="G732" s="20">
        <f ca="1">IFERROR(__xludf.DUMMYFUNCTION("""COMPUTED_VALUE"""),1)</f>
        <v>1</v>
      </c>
      <c r="H732" s="20">
        <f ca="1">IFERROR(__xludf.DUMMYFUNCTION("""COMPUTED_VALUE"""),2)</f>
        <v>2</v>
      </c>
      <c r="I732" s="20">
        <f ca="1">IFERROR(__xludf.DUMMYFUNCTION("""COMPUTED_VALUE"""),1)</f>
        <v>1</v>
      </c>
      <c r="J732" s="20" t="str">
        <f ca="1">IFERROR(__xludf.DUMMYFUNCTION("""COMPUTED_VALUE"""),"Ley")</f>
        <v>Ley</v>
      </c>
      <c r="K732" s="20">
        <f ca="1">IFERROR(__xludf.DUMMYFUNCTION("""COMPUTED_VALUE"""),36840)</f>
        <v>36840</v>
      </c>
      <c r="L732" s="20" t="str">
        <f ca="1">IFERROR(__xludf.DUMMYFUNCTION("""COMPUTED_VALUE"""),"Poder Ejecutivo Provincial")</f>
        <v>Poder Ejecutivo Provincial</v>
      </c>
      <c r="M732" s="20" t="str">
        <f ca="1">IFERROR(__xludf.DUMMYFUNCTION("""COMPUTED_VALUE"""),"Modificando el radio municipal de la localidad de Cañada de Luque, Dpto. Totoral. ")</f>
        <v xml:space="preserve">Modificando el radio municipal de la localidad de Cañada de Luque, Dpto. Totoral. </v>
      </c>
      <c r="N732" s="20" t="str">
        <f ca="1">IFERROR(__xludf.DUMMYFUNCTION("""COMPUTED_VALUE"""),"SI")</f>
        <v>SI</v>
      </c>
      <c r="O732" s="20" t="str">
        <f ca="1">IFERROR(__xludf.DUMMYFUNCTION("""COMPUTED_VALUE"""),"SI")</f>
        <v>SI</v>
      </c>
      <c r="P732" s="20">
        <f ca="1">IFERROR(__xludf.DUMMYFUNCTION("""COMPUTED_VALUE"""),2)</f>
        <v>2</v>
      </c>
      <c r="Q732" s="113" t="str">
        <f ca="1">IFERROR(__xludf.DUMMYFUNCTION("""COMPUTED_VALUE"""),"https://gld.legislaturacba.gob.ar/_cdd/api/Documento/descargar?guid=087db906-b4a9-4b44-9ad8-e89d2f7f1e31&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v>
      </c>
      <c r="R732" s="113" t="str">
        <f ca="1">IFERROR(__xludf.DUMMYFUNCTION("""COMPUTED_VALUE"""),"https://www.youtube.com/watch?v=AqXQAEvypZQ")</f>
        <v>https://www.youtube.com/watch?v=AqXQAEvypZQ</v>
      </c>
      <c r="S732" s="113" t="str">
        <f ca="1">IFERROR(__xludf.DUMMYFUNCTION("""COMPUTED_VALUE"""),"https://gld.legislaturacba.gob.ar/Publics/Actas.aspx?id=LfQStOnRqW8=")</f>
        <v>https://gld.legislaturacba.gob.ar/Publics/Actas.aspx?id=LfQStOnRqW8=</v>
      </c>
      <c r="T732" s="99">
        <f t="shared" ca="1" si="0"/>
        <v>0</v>
      </c>
    </row>
    <row r="733" spans="1:20">
      <c r="A733" s="20">
        <f ca="1">IFERROR(__xludf.DUMMYFUNCTION("""COMPUTED_VALUE"""),27)</f>
        <v>27</v>
      </c>
      <c r="B733" s="20">
        <f ca="1">IFERROR(__xludf.DUMMYFUNCTION("""COMPUTED_VALUE"""),2023)</f>
        <v>2023</v>
      </c>
      <c r="C733" s="20" t="str">
        <f ca="1">IFERROR(__xludf.DUMMYFUNCTION("""COMPUTED_VALUE"""),"VIRTUAL")</f>
        <v>VIRTUAL</v>
      </c>
      <c r="D733" s="106">
        <f ca="1">IFERROR(__xludf.DUMMYFUNCTION("""COMPUTED_VALUE"""),45013)</f>
        <v>45013</v>
      </c>
      <c r="E733" s="20" t="str">
        <f ca="1">IFERROR(__xludf.DUMMYFUNCTION("""COMPUTED_VALUE"""),"NO")</f>
        <v>NO</v>
      </c>
      <c r="F733" s="20" t="str">
        <f ca="1">IFERROR(__xludf.DUMMYFUNCTION("""COMPUTED_VALUE"""),"LEGISLACIÓN GENERAL")</f>
        <v>LEGISLACIÓN GENERAL</v>
      </c>
      <c r="G733" s="20">
        <f ca="1">IFERROR(__xludf.DUMMYFUNCTION("""COMPUTED_VALUE"""),1)</f>
        <v>1</v>
      </c>
      <c r="H733" s="20">
        <f ca="1">IFERROR(__xludf.DUMMYFUNCTION("""COMPUTED_VALUE"""),7)</f>
        <v>7</v>
      </c>
      <c r="I733" s="20">
        <f ca="1">IFERROR(__xludf.DUMMYFUNCTION("""COMPUTED_VALUE"""),1)</f>
        <v>1</v>
      </c>
      <c r="J733" s="20" t="str">
        <f ca="1">IFERROR(__xludf.DUMMYFUNCTION("""COMPUTED_VALUE"""),"Ley")</f>
        <v>Ley</v>
      </c>
      <c r="K733" s="20">
        <f ca="1">IFERROR(__xludf.DUMMYFUNCTION("""COMPUTED_VALUE"""),36798)</f>
        <v>36798</v>
      </c>
      <c r="L733" s="20" t="str">
        <f ca="1">IFERROR(__xludf.DUMMYFUNCTION("""COMPUTED_VALUE"""),"Poder Ejecutivo Provincial")</f>
        <v>Poder Ejecutivo Provincial</v>
      </c>
      <c r="M733" s="20" t="str">
        <f ca="1">IFERROR(__xludf.DUMMYFUNCTION("""COMPUTED_VALUE"""),"Modificando el radio comunal de la localidad de Cuesta Blanca, Dpto. Punilla. ")</f>
        <v xml:space="preserve">Modificando el radio comunal de la localidad de Cuesta Blanca, Dpto. Punilla. </v>
      </c>
      <c r="N733" s="20" t="str">
        <f ca="1">IFERROR(__xludf.DUMMYFUNCTION("""COMPUTED_VALUE"""),"NO")</f>
        <v>NO</v>
      </c>
      <c r="O733" s="20" t="str">
        <f ca="1">IFERROR(__xludf.DUMMYFUNCTION("""COMPUTED_VALUE"""),"NO")</f>
        <v>NO</v>
      </c>
      <c r="P733" s="20">
        <f ca="1">IFERROR(__xludf.DUMMYFUNCTION("""COMPUTED_VALUE"""),0)</f>
        <v>0</v>
      </c>
      <c r="Q733" s="113" t="str">
        <f ca="1">IFERROR(__xludf.DUMMYFUNCTION("""COMPUTED_VALUE"""),"https://gld.legislaturacba.gob.ar/_cdd/api/Documento/descargar?guid=83cac38e-888a-4fa3-9fe0-6dee44032456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v>
      </c>
      <c r="R733" s="113" t="str">
        <f ca="1">IFERROR(__xludf.DUMMYFUNCTION("""COMPUTED_VALUE"""),"https://www.youtube.com/watch?v=voiuoW8J0k8")</f>
        <v>https://www.youtube.com/watch?v=voiuoW8J0k8</v>
      </c>
      <c r="S733" s="113" t="str">
        <f ca="1">IFERROR(__xludf.DUMMYFUNCTION("""COMPUTED_VALUE"""),"https://gld.legislaturacba.gob.ar/Publics/Actas.aspx?id=g4Xe8DGapFs=")</f>
        <v>https://gld.legislaturacba.gob.ar/Publics/Actas.aspx?id=g4Xe8DGapFs=</v>
      </c>
      <c r="T733" s="99">
        <f t="shared" ca="1" si="0"/>
        <v>0</v>
      </c>
    </row>
    <row r="734" spans="1:20">
      <c r="A734" s="20">
        <f ca="1">IFERROR(__xludf.DUMMYFUNCTION("""COMPUTED_VALUE"""),28)</f>
        <v>28</v>
      </c>
      <c r="B734" s="20">
        <f ca="1">IFERROR(__xludf.DUMMYFUNCTION("""COMPUTED_VALUE"""),2023)</f>
        <v>2023</v>
      </c>
      <c r="C734" s="20" t="str">
        <f ca="1">IFERROR(__xludf.DUMMYFUNCTION("""COMPUTED_VALUE"""),"SEMIPRESENCIAL")</f>
        <v>SEMIPRESENCIAL</v>
      </c>
      <c r="D734" s="106">
        <f ca="1">IFERROR(__xludf.DUMMYFUNCTION("""COMPUTED_VALUE"""),45013)</f>
        <v>45013</v>
      </c>
      <c r="E734" s="20" t="str">
        <f ca="1">IFERROR(__xludf.DUMMYFUNCTION("""COMPUTED_VALUE"""),"NO")</f>
        <v>NO</v>
      </c>
      <c r="F734" s="20" t="str">
        <f ca="1">IFERROR(__xludf.DUMMYFUNCTION("""COMPUTED_VALUE"""),"EDUCACIÓN, CULTURA, CIENCIA, TECNOLOGÍA E INFORMÁTICA")</f>
        <v>EDUCACIÓN, CULTURA, CIENCIA, TECNOLOGÍA E INFORMÁTICA</v>
      </c>
      <c r="G734" s="20">
        <f ca="1">IFERROR(__xludf.DUMMYFUNCTION("""COMPUTED_VALUE"""),1)</f>
        <v>1</v>
      </c>
      <c r="H734" s="20">
        <f ca="1">IFERROR(__xludf.DUMMYFUNCTION("""COMPUTED_VALUE"""),1)</f>
        <v>1</v>
      </c>
      <c r="I734" s="20">
        <f ca="1">IFERROR(__xludf.DUMMYFUNCTION("""COMPUTED_VALUE"""),1)</f>
        <v>1</v>
      </c>
      <c r="J734" s="20" t="str">
        <f ca="1">IFERROR(__xludf.DUMMYFUNCTION("""COMPUTED_VALUE"""),"Ley")</f>
        <v>Ley</v>
      </c>
      <c r="K734" s="20">
        <f ca="1">IFERROR(__xludf.DUMMYFUNCTION("""COMPUTED_VALUE"""),37067)</f>
        <v>37067</v>
      </c>
      <c r="L734" s="20" t="str">
        <f ca="1">IFERROR(__xludf.DUMMYFUNCTION("""COMPUTED_VALUE"""),"Poder Ejecutivo Provincial")</f>
        <v>Poder Ejecutivo Provincial</v>
      </c>
      <c r="M734" s="20" t="str">
        <f ca="1">IFERROR(__xludf.DUMMYFUNCTION("""COMPUTED_VALUE"""),"Aceptando la renuncia de la Lic. Raquel Krawchik al cargo de Rectora Normalizadora de la Universidad Provincial de Córdoba a partir del 31 de marzo, designando en dicho lugar al Mgter. Jorge Omar Abel Jaimez a partir del 1 de abril. ")</f>
        <v xml:space="preserve">Aceptando la renuncia de la Lic. Raquel Krawchik al cargo de Rectora Normalizadora de la Universidad Provincial de Córdoba a partir del 31 de marzo, designando en dicho lugar al Mgter. Jorge Omar Abel Jaimez a partir del 1 de abril. </v>
      </c>
      <c r="N734" s="20" t="str">
        <f ca="1">IFERROR(__xludf.DUMMYFUNCTION("""COMPUTED_VALUE"""),"SI")</f>
        <v>SI</v>
      </c>
      <c r="O734" s="20" t="str">
        <f ca="1">IFERROR(__xludf.DUMMYFUNCTION("""COMPUTED_VALUE"""),"SI")</f>
        <v>SI</v>
      </c>
      <c r="P734" s="20">
        <f ca="1">IFERROR(__xludf.DUMMYFUNCTION("""COMPUTED_VALUE"""),1)</f>
        <v>1</v>
      </c>
      <c r="Q734" s="113" t="str">
        <f ca="1">IFERROR(__xludf.DUMMYFUNCTION("""COMPUTED_VALUE"""),"https://gld.legislaturacba.gob.ar/_cdd/api/Documento/descargar?guid=6545e1fd-a7c3-4da9-b7ca-500d9e4cefd9&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v>
      </c>
      <c r="R734" s="113" t="str">
        <f ca="1">IFERROR(__xludf.DUMMYFUNCTION("""COMPUTED_VALUE"""),"https://www.youtube.com/watch?v=EVfE8nbUAu0")</f>
        <v>https://www.youtube.com/watch?v=EVfE8nbUAu0</v>
      </c>
      <c r="S734" s="113" t="str">
        <f ca="1">IFERROR(__xludf.DUMMYFUNCTION("""COMPUTED_VALUE"""),"https://gld.legislaturacba.gob.ar/Publics/Actas.aspx?id=eEqLbVh_yIM=")</f>
        <v>https://gld.legislaturacba.gob.ar/Publics/Actas.aspx?id=eEqLbVh_yIM=</v>
      </c>
      <c r="T734" s="99">
        <f t="shared" ca="1" si="0"/>
        <v>0</v>
      </c>
    </row>
    <row r="735" spans="1:20">
      <c r="A735" s="20">
        <f ca="1">IFERROR(__xludf.DUMMYFUNCTION("""COMPUTED_VALUE"""),29)</f>
        <v>29</v>
      </c>
      <c r="B735" s="20">
        <f ca="1">IFERROR(__xludf.DUMMYFUNCTION("""COMPUTED_VALUE"""),2023)</f>
        <v>2023</v>
      </c>
      <c r="C735" s="20" t="str">
        <f ca="1">IFERROR(__xludf.DUMMYFUNCTION("""COMPUTED_VALUE"""),"VIRTUAL")</f>
        <v>VIRTUAL</v>
      </c>
      <c r="D735" s="106">
        <f ca="1">IFERROR(__xludf.DUMMYFUNCTION("""COMPUTED_VALUE"""),45015)</f>
        <v>45015</v>
      </c>
      <c r="E735" s="20" t="str">
        <f ca="1">IFERROR(__xludf.DUMMYFUNCTION("""COMPUTED_VALUE"""),"NO")</f>
        <v>NO</v>
      </c>
      <c r="F735" s="20" t="str">
        <f ca="1">IFERROR(__xludf.DUMMYFUNCTION("""COMPUTED_VALUE"""),"ASUNTOS INSTITUCIONALES, MUNICIPALES Y COMUNALES")</f>
        <v>ASUNTOS INSTITUCIONALES, MUNICIPALES Y COMUNALES</v>
      </c>
      <c r="G735" s="20">
        <f ca="1">IFERROR(__xludf.DUMMYFUNCTION("""COMPUTED_VALUE"""),1)</f>
        <v>1</v>
      </c>
      <c r="H735" s="20">
        <f ca="1">IFERROR(__xludf.DUMMYFUNCTION("""COMPUTED_VALUE"""),2)</f>
        <v>2</v>
      </c>
      <c r="I735" s="20">
        <f ca="1">IFERROR(__xludf.DUMMYFUNCTION("""COMPUTED_VALUE"""),1)</f>
        <v>1</v>
      </c>
      <c r="J735" s="20" t="str">
        <f ca="1">IFERROR(__xludf.DUMMYFUNCTION("""COMPUTED_VALUE"""),"Ley")</f>
        <v>Ley</v>
      </c>
      <c r="K735" s="20">
        <f ca="1">IFERROR(__xludf.DUMMYFUNCTION("""COMPUTED_VALUE"""),36944)</f>
        <v>36944</v>
      </c>
      <c r="L735" s="20" t="str">
        <f ca="1">IFERROR(__xludf.DUMMYFUNCTION("""COMPUTED_VALUE"""),"Poder Ejecutivo Provincial")</f>
        <v>Poder Ejecutivo Provincial</v>
      </c>
      <c r="M735" s="20" t="str">
        <f ca="1">IFERROR(__xludf.DUMMYFUNCTION("""COMPUTED_VALUE"""),"Modificando el radio comunal de la localidad de Los Hornillos, Dpto. San Javier. ")</f>
        <v xml:space="preserve">Modificando el radio comunal de la localidad de Los Hornillos, Dpto. San Javier. </v>
      </c>
      <c r="N735" s="20" t="str">
        <f ca="1">IFERROR(__xludf.DUMMYFUNCTION("""COMPUTED_VALUE"""),"SI")</f>
        <v>SI</v>
      </c>
      <c r="O735" s="20" t="str">
        <f ca="1">IFERROR(__xludf.DUMMYFUNCTION("""COMPUTED_VALUE"""),"SI")</f>
        <v>SI</v>
      </c>
      <c r="P735" s="20">
        <f ca="1">IFERROR(__xludf.DUMMYFUNCTION("""COMPUTED_VALUE"""),2)</f>
        <v>2</v>
      </c>
      <c r="Q735" s="113" t="str">
        <f ca="1">IFERROR(__xludf.DUMMYFUNCTION("""COMPUTED_VALUE"""),"https://gld.legislaturacba.gob.ar/_cdd/api/Documento/descargar?guid=ee3469e6-3e62-467b-a49f-f9fa90744a13&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v>
      </c>
      <c r="R735" s="113" t="str">
        <f ca="1">IFERROR(__xludf.DUMMYFUNCTION("""COMPUTED_VALUE"""),"https://www.youtube.com/watch?v=EqzZWSD-0gQ")</f>
        <v>https://www.youtube.com/watch?v=EqzZWSD-0gQ</v>
      </c>
      <c r="S735" s="113" t="str">
        <f ca="1">IFERROR(__xludf.DUMMYFUNCTION("""COMPUTED_VALUE"""),"https://gld.legislaturacba.gob.ar/Publics/Actas.aspx?id=5Piti9k-yKQ=")</f>
        <v>https://gld.legislaturacba.gob.ar/Publics/Actas.aspx?id=5Piti9k-yKQ=</v>
      </c>
      <c r="T735" s="99">
        <f t="shared" ca="1" si="0"/>
        <v>0</v>
      </c>
    </row>
    <row r="736" spans="1:20">
      <c r="A736" s="20">
        <f ca="1">IFERROR(__xludf.DUMMYFUNCTION("""COMPUTED_VALUE"""),30)</f>
        <v>30</v>
      </c>
      <c r="B736" s="20">
        <f ca="1">IFERROR(__xludf.DUMMYFUNCTION("""COMPUTED_VALUE"""),2023)</f>
        <v>2023</v>
      </c>
      <c r="C736" s="20" t="str">
        <f ca="1">IFERROR(__xludf.DUMMYFUNCTION("""COMPUTED_VALUE"""),"VIRTUAL")</f>
        <v>VIRTUAL</v>
      </c>
      <c r="D736" s="106">
        <f ca="1">IFERROR(__xludf.DUMMYFUNCTION("""COMPUTED_VALUE"""),45015)</f>
        <v>45015</v>
      </c>
      <c r="E736" s="20" t="str">
        <f ca="1">IFERROR(__xludf.DUMMYFUNCTION("""COMPUTED_VALUE"""),"NO")</f>
        <v>NO</v>
      </c>
      <c r="F736" s="20" t="str">
        <f ca="1">IFERROR(__xludf.DUMMYFUNCTION("""COMPUTED_VALUE"""),"ECONOMÍA, PRESUPUESTO, GESTIÓN PÚBLICA E INNOVACIÓN")</f>
        <v>ECONOMÍA, PRESUPUESTO, GESTIÓN PÚBLICA E INNOVACIÓN</v>
      </c>
      <c r="G736" s="20">
        <f ca="1">IFERROR(__xludf.DUMMYFUNCTION("""COMPUTED_VALUE"""),1)</f>
        <v>1</v>
      </c>
      <c r="H736" s="20">
        <f ca="1">IFERROR(__xludf.DUMMYFUNCTION("""COMPUTED_VALUE"""),5)</f>
        <v>5</v>
      </c>
      <c r="I736" s="20">
        <f ca="1">IFERROR(__xludf.DUMMYFUNCTION("""COMPUTED_VALUE"""),1)</f>
        <v>1</v>
      </c>
      <c r="J736" s="20" t="str">
        <f ca="1">IFERROR(__xludf.DUMMYFUNCTION("""COMPUTED_VALUE"""),"Resolución")</f>
        <v>Resolución</v>
      </c>
      <c r="K736" s="20">
        <f ca="1">IFERROR(__xludf.DUMMYFUNCTION("""COMPUTED_VALUE"""),35488)</f>
        <v>35488</v>
      </c>
      <c r="L736" s="20" t="str">
        <f ca="1">IFERROR(__xludf.DUMMYFUNCTION("""COMPUTED_VALUE"""),"Poder Legislativo Provincial")</f>
        <v>Poder Legislativo Provincial</v>
      </c>
      <c r="M736" s="20" t="str">
        <f ca="1">IFERROR(__xludf.DUMMYFUNCTION("""COMPUTED_VALUE"""),"Solicitando al Poder Ejecutivo informe (Art. 102 C.P.) sobre diversos aspectos referidos a los contratos, servicios, adjudicaciones y pagos celebrados por la provincia con las empresas Transparence and Sustainable Development S.R.L y AME S.A.S. desde el a"&amp;"ño 2018 a la fecha. ")</f>
        <v xml:space="preserve">Solicitando al Poder Ejecutivo informe (Art. 102 C.P.) sobre diversos aspectos referidos a los contratos, servicios, adjudicaciones y pagos celebrados por la provincia con las empresas Transparence and Sustainable Development S.R.L y AME S.A.S. desde el año 2018 a la fecha. </v>
      </c>
      <c r="N736" s="20" t="str">
        <f ca="1">IFERROR(__xludf.DUMMYFUNCTION("""COMPUTED_VALUE"""),"SI")</f>
        <v>SI</v>
      </c>
      <c r="O736" s="20" t="str">
        <f ca="1">IFERROR(__xludf.DUMMYFUNCTION("""COMPUTED_VALUE"""),"NO")</f>
        <v>NO</v>
      </c>
      <c r="P736" s="20">
        <f ca="1">IFERROR(__xludf.DUMMYFUNCTION("""COMPUTED_VALUE"""),0)</f>
        <v>0</v>
      </c>
      <c r="Q736" s="113" t="str">
        <f ca="1">IFERROR(__xludf.DUMMYFUNCTION("""COMPUTED_VALUE"""),"https://gld.legislaturacba.gob.ar/_cdd/api/Documento/descargar?guid=076f176c-432b-4bd0-b3fb-2bc1e7361928&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v>
      </c>
      <c r="R736" s="113" t="str">
        <f ca="1">IFERROR(__xludf.DUMMYFUNCTION("""COMPUTED_VALUE"""),"https://www.youtube.com/watch?v=uBmUm4iU7K0")</f>
        <v>https://www.youtube.com/watch?v=uBmUm4iU7K0</v>
      </c>
      <c r="S736" s="113" t="str">
        <f ca="1">IFERROR(__xludf.DUMMYFUNCTION("""COMPUTED_VALUE"""),"https://gld.legislaturacba.gob.ar/Publics/Actas.aspx?id=Rzk097U0deg=")</f>
        <v>https://gld.legislaturacba.gob.ar/Publics/Actas.aspx?id=Rzk097U0deg=</v>
      </c>
      <c r="T736" s="99">
        <f t="shared" ca="1" si="0"/>
        <v>0</v>
      </c>
    </row>
    <row r="737" spans="1:20">
      <c r="A737" s="20">
        <f ca="1">IFERROR(__xludf.DUMMYFUNCTION("""COMPUTED_VALUE"""),31)</f>
        <v>31</v>
      </c>
      <c r="B737" s="20">
        <f ca="1">IFERROR(__xludf.DUMMYFUNCTION("""COMPUTED_VALUE"""),2023)</f>
        <v>2023</v>
      </c>
      <c r="C737" s="20" t="str">
        <f ca="1">IFERROR(__xludf.DUMMYFUNCTION("""COMPUTED_VALUE"""),"VIRTUAL")</f>
        <v>VIRTUAL</v>
      </c>
      <c r="D737" s="106">
        <f ca="1">IFERROR(__xludf.DUMMYFUNCTION("""COMPUTED_VALUE"""),45015)</f>
        <v>45015</v>
      </c>
      <c r="E737" s="20" t="str">
        <f ca="1">IFERROR(__xludf.DUMMYFUNCTION("""COMPUTED_VALUE"""),"NO")</f>
        <v>NO</v>
      </c>
      <c r="F737" s="20" t="str">
        <f ca="1">IFERROR(__xludf.DUMMYFUNCTION("""COMPUTED_VALUE"""),"TURISMO Y SU RELACIÓN CON EL DESARROLLO REGIONAL")</f>
        <v>TURISMO Y SU RELACIÓN CON EL DESARROLLO REGIONAL</v>
      </c>
      <c r="G737" s="20">
        <f ca="1">IFERROR(__xludf.DUMMYFUNCTION("""COMPUTED_VALUE"""),1)</f>
        <v>1</v>
      </c>
      <c r="H737" s="20">
        <f ca="1">IFERROR(__xludf.DUMMYFUNCTION("""COMPUTED_VALUE"""),1)</f>
        <v>1</v>
      </c>
      <c r="I737" s="20">
        <f ca="1">IFERROR(__xludf.DUMMYFUNCTION("""COMPUTED_VALUE"""),1)</f>
        <v>1</v>
      </c>
      <c r="J737" s="20" t="str">
        <f ca="1">IFERROR(__xludf.DUMMYFUNCTION("""COMPUTED_VALUE"""),"Ley")</f>
        <v>Ley</v>
      </c>
      <c r="K737" s="20">
        <f ca="1">IFERROR(__xludf.DUMMYFUNCTION("""COMPUTED_VALUE"""),36883)</f>
        <v>36883</v>
      </c>
      <c r="L737" s="20" t="str">
        <f ca="1">IFERROR(__xludf.DUMMYFUNCTION("""COMPUTED_VALUE"""),"Poder Ejecutivo Provincial")</f>
        <v>Poder Ejecutivo Provincial</v>
      </c>
      <c r="M737" s="20" t="str">
        <f ca="1">IFERROR(__xludf.DUMMYFUNCTION("""COMPUTED_VALUE"""),"Ratificando el Decreto Provincial N° 1579/22 que dispone la creación del programa “Promoción a la Actividad Comercial y a la Actividad de Servicios Turísticos de la Provincia de Córdoba”.")</f>
        <v>Ratificando el Decreto Provincial N° 1579/22 que dispone la creación del programa “Promoción a la Actividad Comercial y a la Actividad de Servicios Turísticos de la Provincia de Córdoba”.</v>
      </c>
      <c r="N737" s="20" t="str">
        <f ca="1">IFERROR(__xludf.DUMMYFUNCTION("""COMPUTED_VALUE"""),"NO")</f>
        <v>NO</v>
      </c>
      <c r="O737" s="20" t="str">
        <f ca="1">IFERROR(__xludf.DUMMYFUNCTION("""COMPUTED_VALUE"""),"SI")</f>
        <v>SI</v>
      </c>
      <c r="P737" s="20">
        <f ca="1">IFERROR(__xludf.DUMMYFUNCTION("""COMPUTED_VALUE"""),5)</f>
        <v>5</v>
      </c>
      <c r="Q737" s="20" t="str">
        <f ca="1">IFERROR(__xludf.DUMMYFUNCTION("""COMPUTED_VALUE"""),"NA")</f>
        <v>NA</v>
      </c>
      <c r="R737" s="113" t="str">
        <f ca="1">IFERROR(__xludf.DUMMYFUNCTION("""COMPUTED_VALUE"""),"https://www.youtube.com/watch?v=dDW4OWYaxcw")</f>
        <v>https://www.youtube.com/watch?v=dDW4OWYaxcw</v>
      </c>
      <c r="S737" s="20" t="str">
        <f ca="1">IFERROR(__xludf.DUMMYFUNCTION("""COMPUTED_VALUE"""),"NA")</f>
        <v>NA</v>
      </c>
      <c r="T737" s="99">
        <f t="shared" ca="1" si="0"/>
        <v>1</v>
      </c>
    </row>
    <row r="738" spans="1:20">
      <c r="A738" s="20">
        <f ca="1">IFERROR(__xludf.DUMMYFUNCTION("""COMPUTED_VALUE"""),32)</f>
        <v>32</v>
      </c>
      <c r="B738" s="20">
        <f ca="1">IFERROR(__xludf.DUMMYFUNCTION("""COMPUTED_VALUE"""),2023)</f>
        <v>2023</v>
      </c>
      <c r="C738" s="20" t="str">
        <f ca="1">IFERROR(__xludf.DUMMYFUNCTION("""COMPUTED_VALUE"""),"VIRTUAL")</f>
        <v>VIRTUAL</v>
      </c>
      <c r="D738" s="106">
        <f ca="1">IFERROR(__xludf.DUMMYFUNCTION("""COMPUTED_VALUE"""),45020)</f>
        <v>45020</v>
      </c>
      <c r="E738" s="20" t="str">
        <f ca="1">IFERROR(__xludf.DUMMYFUNCTION("""COMPUTED_VALUE"""),"SI")</f>
        <v>SI</v>
      </c>
      <c r="F738" s="20" t="str">
        <f ca="1">IFERROR(__xludf.DUMMYFUNCTION("""COMPUTED_VALUE"""),"LEGISLACIÓN GENERAL;ECONOMÍA, PRESUPUESTO, GESTIÓN PÚBLICA E INNOVACIÓN;PROMOCIÓN Y DESARROLLO DE LAS ECONOMÍAS REGIONALES Y PYMES")</f>
        <v>LEGISLACIÓN GENERAL;ECONOMÍA, PRESUPUESTO, GESTIÓN PÚBLICA E INNOVACIÓN;PROMOCIÓN Y DESARROLLO DE LAS ECONOMÍAS REGIONALES Y PYMES</v>
      </c>
      <c r="G738" s="20">
        <f ca="1">IFERROR(__xludf.DUMMYFUNCTION("""COMPUTED_VALUE"""),3)</f>
        <v>3</v>
      </c>
      <c r="H738" s="20">
        <f ca="1">IFERROR(__xludf.DUMMYFUNCTION("""COMPUTED_VALUE"""),1)</f>
        <v>1</v>
      </c>
      <c r="I738" s="20">
        <f ca="1">IFERROR(__xludf.DUMMYFUNCTION("""COMPUTED_VALUE"""),1)</f>
        <v>1</v>
      </c>
      <c r="J738" s="20" t="str">
        <f ca="1">IFERROR(__xludf.DUMMYFUNCTION("""COMPUTED_VALUE"""),"Ley")</f>
        <v>Ley</v>
      </c>
      <c r="K738" s="20">
        <f ca="1">IFERROR(__xludf.DUMMYFUNCTION("""COMPUTED_VALUE"""),36882)</f>
        <v>36882</v>
      </c>
      <c r="L738" s="20" t="str">
        <f ca="1">IFERROR(__xludf.DUMMYFUNCTION("""COMPUTED_VALUE"""),"Poder Ejecutivo Provincial")</f>
        <v>Poder Ejecutivo Provincial</v>
      </c>
      <c r="M738" s="20" t="str">
        <f ca="1">IFERROR(__xludf.DUMMYFUNCTION("""COMPUTED_VALUE"""),"Creando la Agencia para la Competitividad de Córdoba Sociedad de Economía Mixta, que se regirá por su estatuto y de manera complementaria por el Decreto-Ley N° 15349, ratificado por Ley N° 12962")</f>
        <v>Creando la Agencia para la Competitividad de Córdoba Sociedad de Economía Mixta, que se regirá por su estatuto y de manera complementaria por el Decreto-Ley N° 15349, ratificado por Ley N° 12962</v>
      </c>
      <c r="N738" s="20" t="str">
        <f ca="1">IFERROR(__xludf.DUMMYFUNCTION("""COMPUTED_VALUE"""),"SI")</f>
        <v>SI</v>
      </c>
      <c r="O738" s="20" t="str">
        <f ca="1">IFERROR(__xludf.DUMMYFUNCTION("""COMPUTED_VALUE"""),"NO")</f>
        <v>NO</v>
      </c>
      <c r="P738" s="20">
        <f ca="1">IFERROR(__xludf.DUMMYFUNCTION("""COMPUTED_VALUE"""),0)</f>
        <v>0</v>
      </c>
      <c r="Q738" s="113" t="str">
        <f ca="1">IFERROR(__xludf.DUMMYFUNCTION("""COMPUTED_VALUE"""),"https://gld.legislaturacba.gob.ar/_cdd/api/Documento/descargar?guid=a2b5a55f-ff40-4ea6-92bc-314321267468&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v>
      </c>
      <c r="R738" s="113" t="str">
        <f ca="1">IFERROR(__xludf.DUMMYFUNCTION("""COMPUTED_VALUE"""),"https://www.youtube.com/watch?v=uBmUm4iU7K0")</f>
        <v>https://www.youtube.com/watch?v=uBmUm4iU7K0</v>
      </c>
      <c r="S738" s="113" t="str">
        <f ca="1">IFERROR(__xludf.DUMMYFUNCTION("""COMPUTED_VALUE"""),"https://gld.legislaturacba.gob.ar/Publics/Actas.aspx?id=dqHyPnrDPqI=;NA;https://gld.legislaturacba.gob.ar/Publics/Actas.aspx?id=R1RXFTLfAXY=")</f>
        <v>https://gld.legislaturacba.gob.ar/Publics/Actas.aspx?id=dqHyPnrDPqI=;NA;https://gld.legislaturacba.gob.ar/Publics/Actas.aspx?id=R1RXFTLfAXY=</v>
      </c>
      <c r="T738" s="99">
        <f t="shared" ca="1" si="0"/>
        <v>1</v>
      </c>
    </row>
    <row r="739" spans="1:20">
      <c r="A739" s="20">
        <f ca="1">IFERROR(__xludf.DUMMYFUNCTION("""COMPUTED_VALUE"""),33)</f>
        <v>33</v>
      </c>
      <c r="B739" s="20">
        <f ca="1">IFERROR(__xludf.DUMMYFUNCTION("""COMPUTED_VALUE"""),2023)</f>
        <v>2023</v>
      </c>
      <c r="C739" s="20" t="str">
        <f ca="1">IFERROR(__xludf.DUMMYFUNCTION("""COMPUTED_VALUE"""),"VIRTUAL")</f>
        <v>VIRTUAL</v>
      </c>
      <c r="D739" s="106">
        <f ca="1">IFERROR(__xludf.DUMMYFUNCTION("""COMPUTED_VALUE"""),45020)</f>
        <v>45020</v>
      </c>
      <c r="E739" s="20" t="str">
        <f ca="1">IFERROR(__xludf.DUMMYFUNCTION("""COMPUTED_VALUE"""),"NO")</f>
        <v>NO</v>
      </c>
      <c r="F739" s="20" t="str">
        <f ca="1">IFERROR(__xludf.DUMMYFUNCTION("""COMPUTED_VALUE"""),"ASUNTOS CONSTITUCIONALES, JUSTICIA Y ACUERDOS")</f>
        <v>ASUNTOS CONSTITUCIONALES, JUSTICIA Y ACUERDOS</v>
      </c>
      <c r="G739" s="20">
        <f ca="1">IFERROR(__xludf.DUMMYFUNCTION("""COMPUTED_VALUE"""),1)</f>
        <v>1</v>
      </c>
      <c r="H739" s="20">
        <f ca="1">IFERROR(__xludf.DUMMYFUNCTION("""COMPUTED_VALUE"""),4)</f>
        <v>4</v>
      </c>
      <c r="I739" s="20">
        <f ca="1">IFERROR(__xludf.DUMMYFUNCTION("""COMPUTED_VALUE"""),1)</f>
        <v>1</v>
      </c>
      <c r="J739" s="20" t="str">
        <f ca="1">IFERROR(__xludf.DUMMYFUNCTION("""COMPUTED_VALUE"""),"Cuestión de Privilegio")</f>
        <v>Cuestión de Privilegio</v>
      </c>
      <c r="K739" s="20">
        <f ca="1">IFERROR(__xludf.DUMMYFUNCTION("""COMPUTED_VALUE"""),36945)</f>
        <v>36945</v>
      </c>
      <c r="L739" s="20" t="str">
        <f ca="1">IFERROR(__xludf.DUMMYFUNCTION("""COMPUTED_VALUE"""),"Poder Legislativo Provincial")</f>
        <v>Poder Legislativo Provincial</v>
      </c>
      <c r="M739" s="20" t="str">
        <f ca="1">IFERROR(__xludf.DUMMYFUNCTION("""COMPUTED_VALUE"""),"En contra del Legislador Eduardo Serrano")</f>
        <v>En contra del Legislador Eduardo Serrano</v>
      </c>
      <c r="N739" s="20" t="str">
        <f ca="1">IFERROR(__xludf.DUMMYFUNCTION("""COMPUTED_VALUE"""),"SI")</f>
        <v>SI</v>
      </c>
      <c r="O739" s="20" t="str">
        <f ca="1">IFERROR(__xludf.DUMMYFUNCTION("""COMPUTED_VALUE"""),"NO")</f>
        <v>NO</v>
      </c>
      <c r="P739" s="20">
        <f ca="1">IFERROR(__xludf.DUMMYFUNCTION("""COMPUTED_VALUE"""),0)</f>
        <v>0</v>
      </c>
      <c r="Q739" s="113" t="str">
        <f ca="1">IFERROR(__xludf.DUMMYFUNCTION("""COMPUTED_VALUE"""),"https://gld.legislaturacba.gob.ar/_cdd/api/Documento/descargar?guid=723c96f5-2da4-4e35-85a6-30b4a66ae19b&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v>
      </c>
      <c r="R739" s="113" t="str">
        <f ca="1">IFERROR(__xludf.DUMMYFUNCTION("""COMPUTED_VALUE"""),"https://www.youtube.com/watch?v=dCE8tE28b9A")</f>
        <v>https://www.youtube.com/watch?v=dCE8tE28b9A</v>
      </c>
      <c r="S739" s="113" t="str">
        <f ca="1">IFERROR(__xludf.DUMMYFUNCTION("""COMPUTED_VALUE"""),"https://gld.legislaturacba.gob.ar/Publics/Actas.aspx?id=W0WrHTEhpkg=")</f>
        <v>https://gld.legislaturacba.gob.ar/Publics/Actas.aspx?id=W0WrHTEhpkg=</v>
      </c>
      <c r="T739" s="99">
        <f t="shared" ca="1" si="0"/>
        <v>0</v>
      </c>
    </row>
    <row r="740" spans="1:20">
      <c r="A740" s="20">
        <f ca="1">IFERROR(__xludf.DUMMYFUNCTION("""COMPUTED_VALUE"""),34)</f>
        <v>34</v>
      </c>
      <c r="B740" s="20">
        <f ca="1">IFERROR(__xludf.DUMMYFUNCTION("""COMPUTED_VALUE"""),2023)</f>
        <v>2023</v>
      </c>
      <c r="C740" s="20" t="str">
        <f ca="1">IFERROR(__xludf.DUMMYFUNCTION("""COMPUTED_VALUE"""),"VIRTUAL")</f>
        <v>VIRTUAL</v>
      </c>
      <c r="D740" s="106">
        <f ca="1">IFERROR(__xludf.DUMMYFUNCTION("""COMPUTED_VALUE"""),45027)</f>
        <v>45027</v>
      </c>
      <c r="E740" s="20" t="str">
        <f ca="1">IFERROR(__xludf.DUMMYFUNCTION("""COMPUTED_VALUE"""),"NO")</f>
        <v>NO</v>
      </c>
      <c r="F740" s="20" t="str">
        <f ca="1">IFERROR(__xludf.DUMMYFUNCTION("""COMPUTED_VALUE"""),"ASUNTOS INSTITUCIONALES, MUNICIPALES Y COMUNALES")</f>
        <v>ASUNTOS INSTITUCIONALES, MUNICIPALES Y COMUNALES</v>
      </c>
      <c r="G740" s="20">
        <f ca="1">IFERROR(__xludf.DUMMYFUNCTION("""COMPUTED_VALUE"""),1)</f>
        <v>1</v>
      </c>
      <c r="H740" s="20">
        <f ca="1">IFERROR(__xludf.DUMMYFUNCTION("""COMPUTED_VALUE"""),1)</f>
        <v>1</v>
      </c>
      <c r="I740" s="20">
        <f ca="1">IFERROR(__xludf.DUMMYFUNCTION("""COMPUTED_VALUE"""),1)</f>
        <v>1</v>
      </c>
      <c r="J740" s="20" t="str">
        <f ca="1">IFERROR(__xludf.DUMMYFUNCTION("""COMPUTED_VALUE"""),"Ley")</f>
        <v>Ley</v>
      </c>
      <c r="K740" s="20">
        <f ca="1">IFERROR(__xludf.DUMMYFUNCTION("""COMPUTED_VALUE"""),37117)</f>
        <v>37117</v>
      </c>
      <c r="L740" s="20" t="str">
        <f ca="1">IFERROR(__xludf.DUMMYFUNCTION("""COMPUTED_VALUE"""),"Poder Ejecutivo Provincial")</f>
        <v>Poder Ejecutivo Provincial</v>
      </c>
      <c r="M740" s="20" t="str">
        <f ca="1">IFERROR(__xludf.DUMMYFUNCTION("""COMPUTED_VALUE"""),"Modificando el radio municipal de la ciudad de Jesús María, Dpto. Colón. ")</f>
        <v xml:space="preserve">Modificando el radio municipal de la ciudad de Jesús María, Dpto. Colón. </v>
      </c>
      <c r="N740" s="20" t="str">
        <f ca="1">IFERROR(__xludf.DUMMYFUNCTION("""COMPUTED_VALUE"""),"SI")</f>
        <v>SI</v>
      </c>
      <c r="O740" s="20" t="str">
        <f ca="1">IFERROR(__xludf.DUMMYFUNCTION("""COMPUTED_VALUE"""),"SI")</f>
        <v>SI</v>
      </c>
      <c r="P740" s="20">
        <f ca="1">IFERROR(__xludf.DUMMYFUNCTION("""COMPUTED_VALUE"""),1)</f>
        <v>1</v>
      </c>
      <c r="Q740" s="113" t="str">
        <f ca="1">IFERROR(__xludf.DUMMYFUNCTION("""COMPUTED_VALUE"""),"https://gld.legislaturacba.gob.ar/_cdd/api/Documento/descargar?guid=b4f36615-3583-48a5-955c-84a9b25cc99b&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v>
      </c>
      <c r="R740" s="113" t="str">
        <f ca="1">IFERROR(__xludf.DUMMYFUNCTION("""COMPUTED_VALUE"""),"https://www.youtube.com/watch?v=oltHJqJYgVk")</f>
        <v>https://www.youtube.com/watch?v=oltHJqJYgVk</v>
      </c>
      <c r="S740" s="113" t="str">
        <f ca="1">IFERROR(__xludf.DUMMYFUNCTION("""COMPUTED_VALUE"""),"https://gld.legislaturacba.gob.ar/Publics/Actas.aspx?id=xxosVBwE1no=")</f>
        <v>https://gld.legislaturacba.gob.ar/Publics/Actas.aspx?id=xxosVBwE1no=</v>
      </c>
      <c r="T740" s="99">
        <f t="shared" ca="1" si="0"/>
        <v>0</v>
      </c>
    </row>
    <row r="741" spans="1:20">
      <c r="A741" s="20">
        <f ca="1">IFERROR(__xludf.DUMMYFUNCTION("""COMPUTED_VALUE"""),35)</f>
        <v>35</v>
      </c>
      <c r="B741" s="20">
        <f ca="1">IFERROR(__xludf.DUMMYFUNCTION("""COMPUTED_VALUE"""),2023)</f>
        <v>2023</v>
      </c>
      <c r="C741" s="20" t="str">
        <f ca="1">IFERROR(__xludf.DUMMYFUNCTION("""COMPUTED_VALUE"""),"VIRTUAL")</f>
        <v>VIRTUAL</v>
      </c>
      <c r="D741" s="106">
        <f ca="1">IFERROR(__xludf.DUMMYFUNCTION("""COMPUTED_VALUE"""),45027)</f>
        <v>45027</v>
      </c>
      <c r="E741" s="20" t="str">
        <f ca="1">IFERROR(__xludf.DUMMYFUNCTION("""COMPUTED_VALUE"""),"SI")</f>
        <v>SI</v>
      </c>
      <c r="F741" s="20" t="str">
        <f ca="1">IFERROR(__xludf.DUMMYFUNCTION("""COMPUTED_VALUE"""),"LEGISLACIÓN GENERAL;TURISMO Y SU RELACIÓN CON EL DESARROLLO REGIONAL")</f>
        <v>LEGISLACIÓN GENERAL;TURISMO Y SU RELACIÓN CON EL DESARROLLO REGIONAL</v>
      </c>
      <c r="G741" s="20">
        <f ca="1">IFERROR(__xludf.DUMMYFUNCTION("""COMPUTED_VALUE"""),2)</f>
        <v>2</v>
      </c>
      <c r="H741" s="20">
        <f ca="1">IFERROR(__xludf.DUMMYFUNCTION("""COMPUTED_VALUE"""),1)</f>
        <v>1</v>
      </c>
      <c r="I741" s="20">
        <f ca="1">IFERROR(__xludf.DUMMYFUNCTION("""COMPUTED_VALUE"""),1)</f>
        <v>1</v>
      </c>
      <c r="J741" s="20" t="str">
        <f ca="1">IFERROR(__xludf.DUMMYFUNCTION("""COMPUTED_VALUE"""),"Ley")</f>
        <v>Ley</v>
      </c>
      <c r="K741" s="20">
        <f ca="1">IFERROR(__xludf.DUMMYFUNCTION("""COMPUTED_VALUE"""),36883)</f>
        <v>36883</v>
      </c>
      <c r="L741" s="20" t="str">
        <f ca="1">IFERROR(__xludf.DUMMYFUNCTION("""COMPUTED_VALUE"""),"Poder Ejecutivo Provincial")</f>
        <v>Poder Ejecutivo Provincial</v>
      </c>
      <c r="M741" s="20" t="str">
        <f ca="1">IFERROR(__xludf.DUMMYFUNCTION("""COMPUTED_VALUE"""),"Ratificando el Decreto Provincial N° 1579/22 que dispone la creación del programa “Promoción a la Actividad Comercial y a la Actividad de Servicios Turísticos de la Provincia de Córdoba”.")</f>
        <v>Ratificando el Decreto Provincial N° 1579/22 que dispone la creación del programa “Promoción a la Actividad Comercial y a la Actividad de Servicios Turísticos de la Provincia de Córdoba”.</v>
      </c>
      <c r="N741" s="20" t="str">
        <f ca="1">IFERROR(__xludf.DUMMYFUNCTION("""COMPUTED_VALUE"""),"SI")</f>
        <v>SI</v>
      </c>
      <c r="O741" s="20" t="str">
        <f ca="1">IFERROR(__xludf.DUMMYFUNCTION("""COMPUTED_VALUE"""),"NO")</f>
        <v>NO</v>
      </c>
      <c r="P741" s="20">
        <f ca="1">IFERROR(__xludf.DUMMYFUNCTION("""COMPUTED_VALUE"""),0)</f>
        <v>0</v>
      </c>
      <c r="Q741" s="113" t="str">
        <f ca="1">IFERROR(__xludf.DUMMYFUNCTION("""COMPUTED_VALUE"""),"https://gld.legislaturacba.gob.ar/_cdd/api/Documento/descargar?guid=f1437c3f-d988-41c8-b230-46b4d1b45cd5&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v>
      </c>
      <c r="R741" s="113" t="str">
        <f ca="1">IFERROR(__xludf.DUMMYFUNCTION("""COMPUTED_VALUE"""),"https://www.youtube.com/watch?v=Wny_UzQbXIk")</f>
        <v>https://www.youtube.com/watch?v=Wny_UzQbXIk</v>
      </c>
      <c r="S741" s="113" t="str">
        <f ca="1">IFERROR(__xludf.DUMMYFUNCTION("""COMPUTED_VALUE"""),"https://gld.legislaturacba.gob.ar/Publics/Actas.aspx?id=9llPjy8V0Wk=;NA")</f>
        <v>https://gld.legislaturacba.gob.ar/Publics/Actas.aspx?id=9llPjy8V0Wk=;NA</v>
      </c>
      <c r="T741" s="99">
        <f t="shared" ca="1" si="0"/>
        <v>1</v>
      </c>
    </row>
    <row r="742" spans="1:20">
      <c r="A742" s="20">
        <f ca="1">IFERROR(__xludf.DUMMYFUNCTION("""COMPUTED_VALUE"""),36)</f>
        <v>36</v>
      </c>
      <c r="B742" s="20">
        <f ca="1">IFERROR(__xludf.DUMMYFUNCTION("""COMPUTED_VALUE"""),2023)</f>
        <v>2023</v>
      </c>
      <c r="C742" s="20" t="str">
        <f ca="1">IFERROR(__xludf.DUMMYFUNCTION("""COMPUTED_VALUE"""),"SEMIPRESENCIAL")</f>
        <v>SEMIPRESENCIAL</v>
      </c>
      <c r="D742" s="106">
        <f ca="1">IFERROR(__xludf.DUMMYFUNCTION("""COMPUTED_VALUE"""),45029)</f>
        <v>45029</v>
      </c>
      <c r="E742" s="20" t="str">
        <f ca="1">IFERROR(__xludf.DUMMYFUNCTION("""COMPUTED_VALUE"""),"SI")</f>
        <v>SI</v>
      </c>
      <c r="F742" s="20" t="str">
        <f ca="1">IFERROR(__xludf.DUMMYFUNCTION("""COMPUTED_VALUE"""),"EDUCACIÓN, CULTURA, CIENCIA, TECNOLOGÍA E INFORMÁTICA;RELACIONES INTERNACIONALES, MERCOSUR Y COMERCIO EXTERIOR")</f>
        <v>EDUCACIÓN, CULTURA, CIENCIA, TECNOLOGÍA E INFORMÁTICA;RELACIONES INTERNACIONALES, MERCOSUR Y COMERCIO EXTERIOR</v>
      </c>
      <c r="G742" s="20">
        <f ca="1">IFERROR(__xludf.DUMMYFUNCTION("""COMPUTED_VALUE"""),2)</f>
        <v>2</v>
      </c>
      <c r="H742" s="20">
        <f ca="1">IFERROR(__xludf.DUMMYFUNCTION("""COMPUTED_VALUE"""),1)</f>
        <v>1</v>
      </c>
      <c r="I742" s="20">
        <f ca="1">IFERROR(__xludf.DUMMYFUNCTION("""COMPUTED_VALUE"""),1)</f>
        <v>1</v>
      </c>
      <c r="J742" s="20" t="str">
        <f ca="1">IFERROR(__xludf.DUMMYFUNCTION("""COMPUTED_VALUE"""),"Ley")</f>
        <v>Ley</v>
      </c>
      <c r="K742" s="20">
        <f ca="1">IFERROR(__xludf.DUMMYFUNCTION("""COMPUTED_VALUE"""),34982)</f>
        <v>34982</v>
      </c>
      <c r="L742" s="20" t="str">
        <f ca="1">IFERROR(__xludf.DUMMYFUNCTION("""COMPUTED_VALUE"""),"Poder Legislativo Provincial")</f>
        <v>Poder Legislativo Provincial</v>
      </c>
      <c r="M742" s="20" t="str">
        <f ca="1">IFERROR(__xludf.DUMMYFUNCTION("""COMPUTED_VALUE"""),"Declarando Monumento Histórico Provincial a la Cruz de Piedra ""Jachkar"" emplazada en la ciudad de Córdoba")</f>
        <v>Declarando Monumento Histórico Provincial a la Cruz de Piedra "Jachkar" emplazada en la ciudad de Córdoba</v>
      </c>
      <c r="N742" s="20" t="str">
        <f ca="1">IFERROR(__xludf.DUMMYFUNCTION("""COMPUTED_VALUE"""),"SI")</f>
        <v>SI</v>
      </c>
      <c r="O742" s="20" t="str">
        <f ca="1">IFERROR(__xludf.DUMMYFUNCTION("""COMPUTED_VALUE"""),"SI")</f>
        <v>SI</v>
      </c>
      <c r="P742" s="20">
        <f ca="1">IFERROR(__xludf.DUMMYFUNCTION("""COMPUTED_VALUE"""),13)</f>
        <v>13</v>
      </c>
      <c r="Q742" s="20" t="str">
        <f ca="1">IFERROR(__xludf.DUMMYFUNCTION("""COMPUTED_VALUE"""),"NA")</f>
        <v>NA</v>
      </c>
      <c r="R742" s="113" t="str">
        <f ca="1">IFERROR(__xludf.DUMMYFUNCTION("""COMPUTED_VALUE"""),"https://www.youtube.com/watch?v=Yz9EmnkqJ9o")</f>
        <v>https://www.youtube.com/watch?v=Yz9EmnkqJ9o</v>
      </c>
      <c r="S742" s="113" t="str">
        <f ca="1">IFERROR(__xludf.DUMMYFUNCTION("""COMPUTED_VALUE"""),"https://gld.legislaturacba.gob.ar/Publics/Actas.aspx?id=66G43huGb7E=;https://gld.legislaturacba.gob.ar/Publics/Actas.aspx?id=8fNONWsiq2U=")</f>
        <v>https://gld.legislaturacba.gob.ar/Publics/Actas.aspx?id=66G43huGb7E=;https://gld.legislaturacba.gob.ar/Publics/Actas.aspx?id=8fNONWsiq2U=</v>
      </c>
      <c r="T742" s="99">
        <f t="shared" ca="1" si="0"/>
        <v>0</v>
      </c>
    </row>
    <row r="743" spans="1:20">
      <c r="A743" s="20">
        <f ca="1">IFERROR(__xludf.DUMMYFUNCTION("""COMPUTED_VALUE"""),37)</f>
        <v>37</v>
      </c>
      <c r="B743" s="20">
        <f ca="1">IFERROR(__xludf.DUMMYFUNCTION("""COMPUTED_VALUE"""),2023)</f>
        <v>2023</v>
      </c>
      <c r="C743" s="20" t="str">
        <f ca="1">IFERROR(__xludf.DUMMYFUNCTION("""COMPUTED_VALUE"""),"VIRTUAL")</f>
        <v>VIRTUAL</v>
      </c>
      <c r="D743" s="106">
        <f ca="1">IFERROR(__xludf.DUMMYFUNCTION("""COMPUTED_VALUE"""),45034)</f>
        <v>45034</v>
      </c>
      <c r="E743" s="20" t="str">
        <f ca="1">IFERROR(__xludf.DUMMYFUNCTION("""COMPUTED_VALUE"""),"NO")</f>
        <v>NO</v>
      </c>
      <c r="F743" s="20" t="str">
        <f ca="1">IFERROR(__xludf.DUMMYFUNCTION("""COMPUTED_VALUE"""),"LEGISLACIÓN GENERAL")</f>
        <v>LEGISLACIÓN GENERAL</v>
      </c>
      <c r="G743" s="20">
        <f ca="1">IFERROR(__xludf.DUMMYFUNCTION("""COMPUTED_VALUE"""),1)</f>
        <v>1</v>
      </c>
      <c r="H743" s="20">
        <f ca="1">IFERROR(__xludf.DUMMYFUNCTION("""COMPUTED_VALUE"""),4)</f>
        <v>4</v>
      </c>
      <c r="I743" s="20">
        <f ca="1">IFERROR(__xludf.DUMMYFUNCTION("""COMPUTED_VALUE"""),1)</f>
        <v>1</v>
      </c>
      <c r="J743" s="20" t="str">
        <f ca="1">IFERROR(__xludf.DUMMYFUNCTION("""COMPUTED_VALUE"""),"Ley")</f>
        <v>Ley</v>
      </c>
      <c r="K743" s="20">
        <f ca="1">IFERROR(__xludf.DUMMYFUNCTION("""COMPUTED_VALUE"""),36944)</f>
        <v>36944</v>
      </c>
      <c r="L743" s="20" t="str">
        <f ca="1">IFERROR(__xludf.DUMMYFUNCTION("""COMPUTED_VALUE"""),"Poder Ejecutivo Provincial")</f>
        <v>Poder Ejecutivo Provincial</v>
      </c>
      <c r="M743" s="20" t="str">
        <f ca="1">IFERROR(__xludf.DUMMYFUNCTION("""COMPUTED_VALUE"""),"Modificando el radio comunal de la localidad de Los Hornillos, Dpto. San Javier. ")</f>
        <v xml:space="preserve">Modificando el radio comunal de la localidad de Los Hornillos, Dpto. San Javier. </v>
      </c>
      <c r="N743" s="20" t="str">
        <f ca="1">IFERROR(__xludf.DUMMYFUNCTION("""COMPUTED_VALUE"""),"NO")</f>
        <v>NO</v>
      </c>
      <c r="O743" s="20" t="str">
        <f ca="1">IFERROR(__xludf.DUMMYFUNCTION("""COMPUTED_VALUE"""),"NO")</f>
        <v>NO</v>
      </c>
      <c r="P743" s="20">
        <f ca="1">IFERROR(__xludf.DUMMYFUNCTION("""COMPUTED_VALUE"""),0)</f>
        <v>0</v>
      </c>
      <c r="Q743" s="113" t="str">
        <f ca="1">IFERROR(__xludf.DUMMYFUNCTION("""COMPUTED_VALUE"""),"https://gld.legislaturacba.gob.ar/_cdd/api/Documento/descargar?guid=51181627-dd94-4370-9423-04e34d0bdba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v>
      </c>
      <c r="R743" s="113" t="str">
        <f ca="1">IFERROR(__xludf.DUMMYFUNCTION("""COMPUTED_VALUE"""),"https://www.youtube.com/watch?v=klPnxClitwc")</f>
        <v>https://www.youtube.com/watch?v=klPnxClitwc</v>
      </c>
      <c r="S743" s="113" t="str">
        <f ca="1">IFERROR(__xludf.DUMMYFUNCTION("""COMPUTED_VALUE"""),"https://gld.legislaturacba.gob.ar/Publics/Actas.aspx?id=JJl1JSRcjxE=")</f>
        <v>https://gld.legislaturacba.gob.ar/Publics/Actas.aspx?id=JJl1JSRcjxE=</v>
      </c>
      <c r="T743" s="99">
        <f t="shared" ca="1" si="0"/>
        <v>0</v>
      </c>
    </row>
    <row r="744" spans="1:20">
      <c r="A744" s="20">
        <f ca="1">IFERROR(__xludf.DUMMYFUNCTION("""COMPUTED_VALUE"""),38)</f>
        <v>38</v>
      </c>
      <c r="B744" s="20">
        <f ca="1">IFERROR(__xludf.DUMMYFUNCTION("""COMPUTED_VALUE"""),2023)</f>
        <v>2023</v>
      </c>
      <c r="C744" s="20" t="str">
        <f ca="1">IFERROR(__xludf.DUMMYFUNCTION("""COMPUTED_VALUE"""),"VIRTUAL")</f>
        <v>VIRTUAL</v>
      </c>
      <c r="D744" s="106">
        <f ca="1">IFERROR(__xludf.DUMMYFUNCTION("""COMPUTED_VALUE"""),45034)</f>
        <v>45034</v>
      </c>
      <c r="E744" s="20" t="str">
        <f ca="1">IFERROR(__xludf.DUMMYFUNCTION("""COMPUTED_VALUE"""),"NO")</f>
        <v>NO</v>
      </c>
      <c r="F744" s="20" t="str">
        <f ca="1">IFERROR(__xludf.DUMMYFUNCTION("""COMPUTED_VALUE"""),"ECONOMÍA, PRESUPUESTO, GESTIÓN PÚBLICA E INNOVACIÓN")</f>
        <v>ECONOMÍA, PRESUPUESTO, GESTIÓN PÚBLICA E INNOVACIÓN</v>
      </c>
      <c r="G744" s="20">
        <f ca="1">IFERROR(__xludf.DUMMYFUNCTION("""COMPUTED_VALUE"""),1)</f>
        <v>1</v>
      </c>
      <c r="H744" s="20">
        <f ca="1">IFERROR(__xludf.DUMMYFUNCTION("""COMPUTED_VALUE"""),1)</f>
        <v>1</v>
      </c>
      <c r="I744" s="20">
        <f ca="1">IFERROR(__xludf.DUMMYFUNCTION("""COMPUTED_VALUE"""),1)</f>
        <v>1</v>
      </c>
      <c r="J744" s="20" t="str">
        <f ca="1">IFERROR(__xludf.DUMMYFUNCTION("""COMPUTED_VALUE"""),"Ley")</f>
        <v>Ley</v>
      </c>
      <c r="K744" s="20">
        <f ca="1">IFERROR(__xludf.DUMMYFUNCTION("""COMPUTED_VALUE"""),37160)</f>
        <v>37160</v>
      </c>
      <c r="L744" s="20" t="str">
        <f ca="1">IFERROR(__xludf.DUMMYFUNCTION("""COMPUTED_VALUE"""),"Poder Ejecutivo Provincial")</f>
        <v>Poder Ejecutivo Provincial</v>
      </c>
      <c r="M744" s="20" t="str">
        <f ca="1">IFERROR(__xludf.DUMMYFUNCTION("""COMPUTED_VALUE"""),"Ratificando el Decreto N° 337 del 23/03/2023 que aprobó el Convenio Marco INDEC 2023 y sus Anexos, celebrado entre el Instituto Nacional de Estadística y Censos y la Dirección General de Estadística y Censos, dependiente de la Secretaría de Fortalecimient"&amp;"o Institucional del Ministerio de Coordinación, en representación del Gobierno de la provincia, destinado a dar cumplimiento a las tareas establecidas para la realización del Programa Anual de Estadística 2023. ")</f>
        <v xml:space="preserve">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 </v>
      </c>
      <c r="N744" s="20" t="str">
        <f ca="1">IFERROR(__xludf.DUMMYFUNCTION("""COMPUTED_VALUE"""),"SI")</f>
        <v>SI</v>
      </c>
      <c r="O744" s="20" t="str">
        <f ca="1">IFERROR(__xludf.DUMMYFUNCTION("""COMPUTED_VALUE"""),"NO")</f>
        <v>NO</v>
      </c>
      <c r="P744" s="20">
        <f ca="1">IFERROR(__xludf.DUMMYFUNCTION("""COMPUTED_VALUE"""),0)</f>
        <v>0</v>
      </c>
      <c r="Q744" s="20" t="str">
        <f ca="1">IFERROR(__xludf.DUMMYFUNCTION("""COMPUTED_VALUE"""),"NA")</f>
        <v>NA</v>
      </c>
      <c r="R744" s="113" t="str">
        <f ca="1">IFERROR(__xludf.DUMMYFUNCTION("""COMPUTED_VALUE"""),"https://www.youtube.com/watch?v=KxBx6Ls0HoQ")</f>
        <v>https://www.youtube.com/watch?v=KxBx6Ls0HoQ</v>
      </c>
      <c r="S744" s="20" t="str">
        <f ca="1">IFERROR(__xludf.DUMMYFUNCTION("""COMPUTED_VALUE"""),"NA")</f>
        <v>NA</v>
      </c>
      <c r="T744" s="99">
        <f t="shared" ca="1" si="0"/>
        <v>1</v>
      </c>
    </row>
    <row r="745" spans="1:20">
      <c r="A745" s="20">
        <f ca="1">IFERROR(__xludf.DUMMYFUNCTION("""COMPUTED_VALUE"""),39)</f>
        <v>39</v>
      </c>
      <c r="B745" s="20">
        <f ca="1">IFERROR(__xludf.DUMMYFUNCTION("""COMPUTED_VALUE"""),2023)</f>
        <v>2023</v>
      </c>
      <c r="C745" s="20" t="str">
        <f ca="1">IFERROR(__xludf.DUMMYFUNCTION("""COMPUTED_VALUE"""),"SEMIPRESENCIAL")</f>
        <v>SEMIPRESENCIAL</v>
      </c>
      <c r="D745" s="106">
        <f ca="1">IFERROR(__xludf.DUMMYFUNCTION("""COMPUTED_VALUE"""),45034)</f>
        <v>45034</v>
      </c>
      <c r="E745" s="20" t="str">
        <f ca="1">IFERROR(__xludf.DUMMYFUNCTION("""COMPUTED_VALUE"""),"SI")</f>
        <v>SI</v>
      </c>
      <c r="F745" s="20" t="str">
        <f ca="1">IFERROR(__xludf.DUMMYFUNCTION("""COMPUTED_VALUE"""),"AGRICULTURA, GANADERÍA Y RECURSOS RENOVABLES;EQUIDAD Y LUCHA CONTRA LA VIOLENCIA DE GÉNERO")</f>
        <v>AGRICULTURA, GANADERÍA Y RECURSOS RENOVABLES;EQUIDAD Y LUCHA CONTRA LA VIOLENCIA DE GÉNERO</v>
      </c>
      <c r="G745" s="20">
        <f ca="1">IFERROR(__xludf.DUMMYFUNCTION("""COMPUTED_VALUE"""),2)</f>
        <v>2</v>
      </c>
      <c r="H745" s="20">
        <f ca="1">IFERROR(__xludf.DUMMYFUNCTION("""COMPUTED_VALUE"""),1)</f>
        <v>1</v>
      </c>
      <c r="I745" s="20">
        <f ca="1">IFERROR(__xludf.DUMMYFUNCTION("""COMPUTED_VALUE"""),1)</f>
        <v>1</v>
      </c>
      <c r="J745" s="20" t="str">
        <f ca="1">IFERROR(__xludf.DUMMYFUNCTION("""COMPUTED_VALUE"""),"NA")</f>
        <v>NA</v>
      </c>
      <c r="K745" s="20" t="str">
        <f ca="1">IFERROR(__xludf.DUMMYFUNCTION("""COMPUTED_VALUE"""),"NA")</f>
        <v>NA</v>
      </c>
      <c r="L745" s="20" t="str">
        <f ca="1">IFERROR(__xludf.DUMMYFUNCTION("""COMPUTED_VALUE"""),"NA")</f>
        <v>NA</v>
      </c>
      <c r="M745" s="20" t="str">
        <f ca="1">IFERROR(__xludf.DUMMYFUNCTION("""COMPUTED_VALUE"""),"Mujeres en la producción agropecuaria")</f>
        <v>Mujeres en la producción agropecuaria</v>
      </c>
      <c r="N745" s="20" t="str">
        <f ca="1">IFERROR(__xludf.DUMMYFUNCTION("""COMPUTED_VALUE"""),"NA")</f>
        <v>NA</v>
      </c>
      <c r="O745" s="20" t="str">
        <f ca="1">IFERROR(__xludf.DUMMYFUNCTION("""COMPUTED_VALUE"""),"SI")</f>
        <v>SI</v>
      </c>
      <c r="P745" s="20">
        <f ca="1">IFERROR(__xludf.DUMMYFUNCTION("""COMPUTED_VALUE"""),6)</f>
        <v>6</v>
      </c>
      <c r="Q745" s="113" t="str">
        <f ca="1">IFERROR(__xludf.DUMMYFUNCTION("""COMPUTED_VALUE"""),"https://gld.legislaturacba.gob.ar/_cdd/api/Documento/descargar?guid=e980124a-c12e-4321-a834-0f6976f0cbdf&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v>
      </c>
      <c r="R745" s="113" t="str">
        <f ca="1">IFERROR(__xludf.DUMMYFUNCTION("""COMPUTED_VALUE"""),"https://www.youtube.com/watch?v=WDa5YwNGN4E")</f>
        <v>https://www.youtube.com/watch?v=WDa5YwNGN4E</v>
      </c>
      <c r="S745" s="113" t="str">
        <f ca="1">IFERROR(__xludf.DUMMYFUNCTION("""COMPUTED_VALUE"""),"https://gld.legislaturacba.gob.ar/Publics/Actas.aspx?id=rbSgSP7bGdg=;https://gld.legislaturacba.gob.ar/Publics/Actas.aspx?id=TT8zCPO3Crk=")</f>
        <v>https://gld.legislaturacba.gob.ar/Publics/Actas.aspx?id=rbSgSP7bGdg=;https://gld.legislaturacba.gob.ar/Publics/Actas.aspx?id=TT8zCPO3Crk=</v>
      </c>
      <c r="T745" s="99">
        <f t="shared" ca="1" si="0"/>
        <v>0</v>
      </c>
    </row>
    <row r="746" spans="1:20">
      <c r="A746" s="20">
        <f ca="1">IFERROR(__xludf.DUMMYFUNCTION("""COMPUTED_VALUE"""),40)</f>
        <v>40</v>
      </c>
      <c r="B746" s="20">
        <f ca="1">IFERROR(__xludf.DUMMYFUNCTION("""COMPUTED_VALUE"""),2023)</f>
        <v>2023</v>
      </c>
      <c r="C746" s="20" t="str">
        <f ca="1">IFERROR(__xludf.DUMMYFUNCTION("""COMPUTED_VALUE"""),"VIRTUAL")</f>
        <v>VIRTUAL</v>
      </c>
      <c r="D746" s="106">
        <f ca="1">IFERROR(__xludf.DUMMYFUNCTION("""COMPUTED_VALUE"""),45036)</f>
        <v>45036</v>
      </c>
      <c r="E746" s="20" t="str">
        <f ca="1">IFERROR(__xludf.DUMMYFUNCTION("""COMPUTED_VALUE"""),"NO")</f>
        <v>NO</v>
      </c>
      <c r="F746" s="20" t="str">
        <f ca="1">IFERROR(__xludf.DUMMYFUNCTION("""COMPUTED_VALUE"""),"OBRAS PÚBLICAS, VIVIENDA Y COMUNICACIONES")</f>
        <v>OBRAS PÚBLICAS, VIVIENDA Y COMUNICACIONES</v>
      </c>
      <c r="G746" s="20">
        <f ca="1">IFERROR(__xludf.DUMMYFUNCTION("""COMPUTED_VALUE"""),1)</f>
        <v>1</v>
      </c>
      <c r="H746" s="20">
        <f ca="1">IFERROR(__xludf.DUMMYFUNCTION("""COMPUTED_VALUE"""),5)</f>
        <v>5</v>
      </c>
      <c r="I746" s="20">
        <f ca="1">IFERROR(__xludf.DUMMYFUNCTION("""COMPUTED_VALUE"""),1)</f>
        <v>1</v>
      </c>
      <c r="J746" s="20" t="str">
        <f ca="1">IFERROR(__xludf.DUMMYFUNCTION("""COMPUTED_VALUE"""),"Resolución")</f>
        <v>Resolución</v>
      </c>
      <c r="K746" s="20">
        <f ca="1">IFERROR(__xludf.DUMMYFUNCTION("""COMPUTED_VALUE"""),36329)</f>
        <v>36329</v>
      </c>
      <c r="L746" s="20" t="str">
        <f ca="1">IFERROR(__xludf.DUMMYFUNCTION("""COMPUTED_VALUE"""),"Poder Legislativo Provincial")</f>
        <v>Poder Legislativo Provincial</v>
      </c>
      <c r="M746" s="20" t="str">
        <f ca="1">IFERROR(__xludf.DUMMYFUNCTION("""COMPUTED_VALUE"""),"Solicitando al Poder Ejecutivo informe (Art. 102 C.P.) sobre diversos aspectos referidos a las Obras 4410- Mejoramiento. Caminos Rurales- Caminos Secundarios s-433 Tr. RP 174, Tinoco y Puente s/ Río Carnero, Dpto. Colón, ejercicios 2020 al 2022. ")</f>
        <v xml:space="preserve">Solicitando al Poder Ejecutivo informe (Art. 102 C.P.) sobre diversos aspectos referidos a las Obras 4410- Mejoramiento. Caminos Rurales- Caminos Secundarios s-433 Tr. RP 174, Tinoco y Puente s/ Río Carnero, Dpto. Colón, ejercicios 2020 al 2022. </v>
      </c>
      <c r="N746" s="20" t="str">
        <f ca="1">IFERROR(__xludf.DUMMYFUNCTION("""COMPUTED_VALUE"""),"SI")</f>
        <v>SI</v>
      </c>
      <c r="O746" s="20" t="str">
        <f ca="1">IFERROR(__xludf.DUMMYFUNCTION("""COMPUTED_VALUE"""),"NO")</f>
        <v>NO</v>
      </c>
      <c r="P746" s="20">
        <f ca="1">IFERROR(__xludf.DUMMYFUNCTION("""COMPUTED_VALUE"""),0)</f>
        <v>0</v>
      </c>
      <c r="Q746" s="20" t="str">
        <f ca="1">IFERROR(__xludf.DUMMYFUNCTION("""COMPUTED_VALUE"""),"NA")</f>
        <v>NA</v>
      </c>
      <c r="R746" s="113" t="str">
        <f ca="1">IFERROR(__xludf.DUMMYFUNCTION("""COMPUTED_VALUE"""),"https://www.youtube.com/watch?v=TZWHxpf4wxk")</f>
        <v>https://www.youtube.com/watch?v=TZWHxpf4wxk</v>
      </c>
      <c r="S746" s="20" t="str">
        <f ca="1">IFERROR(__xludf.DUMMYFUNCTION("""COMPUTED_VALUE"""),"NA")</f>
        <v>NA</v>
      </c>
      <c r="T746" s="99">
        <f t="shared" ca="1" si="0"/>
        <v>1</v>
      </c>
    </row>
    <row r="747" spans="1:20">
      <c r="A747" s="20">
        <f ca="1">IFERROR(__xludf.DUMMYFUNCTION("""COMPUTED_VALUE"""),41)</f>
        <v>41</v>
      </c>
      <c r="B747" s="20">
        <f ca="1">IFERROR(__xludf.DUMMYFUNCTION("""COMPUTED_VALUE"""),2023)</f>
        <v>2023</v>
      </c>
      <c r="C747" s="20" t="str">
        <f ca="1">IFERROR(__xludf.DUMMYFUNCTION("""COMPUTED_VALUE"""),"VIRTUAL")</f>
        <v>VIRTUAL</v>
      </c>
      <c r="D747" s="106">
        <f ca="1">IFERROR(__xludf.DUMMYFUNCTION("""COMPUTED_VALUE"""),45041)</f>
        <v>45041</v>
      </c>
      <c r="E747" s="20" t="str">
        <f ca="1">IFERROR(__xludf.DUMMYFUNCTION("""COMPUTED_VALUE"""),"NO")</f>
        <v>NO</v>
      </c>
      <c r="F747" s="20" t="str">
        <f ca="1">IFERROR(__xludf.DUMMYFUNCTION("""COMPUTED_VALUE"""),"ASUNTOS CONSTITUCIONALES, JUSTICIA Y ACUERDOS")</f>
        <v>ASUNTOS CONSTITUCIONALES, JUSTICIA Y ACUERDOS</v>
      </c>
      <c r="G747" s="20">
        <f ca="1">IFERROR(__xludf.DUMMYFUNCTION("""COMPUTED_VALUE"""),1)</f>
        <v>1</v>
      </c>
      <c r="H747" s="20">
        <f ca="1">IFERROR(__xludf.DUMMYFUNCTION("""COMPUTED_VALUE"""),1)</f>
        <v>1</v>
      </c>
      <c r="I747" s="20">
        <f ca="1">IFERROR(__xludf.DUMMYFUNCTION("""COMPUTED_VALUE"""),1)</f>
        <v>1</v>
      </c>
      <c r="J747" s="20" t="str">
        <f ca="1">IFERROR(__xludf.DUMMYFUNCTION("""COMPUTED_VALUE"""),"Ley")</f>
        <v>Ley</v>
      </c>
      <c r="K747" s="20">
        <f ca="1">IFERROR(__xludf.DUMMYFUNCTION("""COMPUTED_VALUE"""),37320)</f>
        <v>37320</v>
      </c>
      <c r="L747" s="20" t="str">
        <f ca="1">IFERROR(__xludf.DUMMYFUNCTION("""COMPUTED_VALUE"""),"Poder Ejecutivo Provincial")</f>
        <v>Poder Ejecutivo Provincial</v>
      </c>
      <c r="M747" s="20" t="str">
        <f ca="1">IFERROR(__xludf.DUMMYFUNCTION("""COMPUTED_VALUE"""),"Solicitando acuerdo para designar a la Sra. Abogada María del Rosario Fernández López, como Fiscal de Cámara en la Fiscalía de Cámaras en lo Criminal y Correccional perteneciente a la Segunda Circunscripción Judicial, con sede en la ciudad de Río Cuarto. ")</f>
        <v xml:space="preserve">Solicitando acuerdo para designar a la Sra. Abogada María del Rosario Fernández López, como Fiscal de Cámara en la Fiscalía de Cámaras en lo Criminal y Correccional perteneciente a la Segunda Circunscripción Judicial, con sede en la ciudad de Río Cuarto. </v>
      </c>
      <c r="N747" s="20" t="str">
        <f ca="1">IFERROR(__xludf.DUMMYFUNCTION("""COMPUTED_VALUE"""),"SI")</f>
        <v>SI</v>
      </c>
      <c r="O747" s="20" t="str">
        <f ca="1">IFERROR(__xludf.DUMMYFUNCTION("""COMPUTED_VALUE"""),"SI")</f>
        <v>SI</v>
      </c>
      <c r="P747" s="20">
        <f ca="1">IFERROR(__xludf.DUMMYFUNCTION("""COMPUTED_VALUE"""),1)</f>
        <v>1</v>
      </c>
      <c r="Q747" s="113" t="str">
        <f ca="1">IFERROR(__xludf.DUMMYFUNCTION("""COMPUTED_VALUE"""),"https://gld.legislaturacba.gob.ar/_cdd/api/Documento/descargar?guid=23059487-e88a-4a56-93f0-293fc171c414&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v>
      </c>
      <c r="R747" s="113" t="str">
        <f ca="1">IFERROR(__xludf.DUMMYFUNCTION("""COMPUTED_VALUE"""),"https://www.youtube.com/watch?v=RH2aYnkn1UU")</f>
        <v>https://www.youtube.com/watch?v=RH2aYnkn1UU</v>
      </c>
      <c r="S747" s="113" t="str">
        <f ca="1">IFERROR(__xludf.DUMMYFUNCTION("""COMPUTED_VALUE"""),"https://gld.legislaturacba.gob.ar/Publics/Actas.aspx?id=41mYgvB1B-E=")</f>
        <v>https://gld.legislaturacba.gob.ar/Publics/Actas.aspx?id=41mYgvB1B-E=</v>
      </c>
      <c r="T747" s="99">
        <f t="shared" ca="1" si="0"/>
        <v>0</v>
      </c>
    </row>
    <row r="748" spans="1:20">
      <c r="A748" s="20">
        <f ca="1">IFERROR(__xludf.DUMMYFUNCTION("""COMPUTED_VALUE"""),42)</f>
        <v>42</v>
      </c>
      <c r="B748" s="20">
        <f ca="1">IFERROR(__xludf.DUMMYFUNCTION("""COMPUTED_VALUE"""),2023)</f>
        <v>2023</v>
      </c>
      <c r="C748" s="20" t="str">
        <f ca="1">IFERROR(__xludf.DUMMYFUNCTION("""COMPUTED_VALUE"""),"SEMIPRESENCIAL")</f>
        <v>SEMIPRESENCIAL</v>
      </c>
      <c r="D748" s="106">
        <f ca="1">IFERROR(__xludf.DUMMYFUNCTION("""COMPUTED_VALUE"""),45041)</f>
        <v>45041</v>
      </c>
      <c r="E748" s="20" t="str">
        <f ca="1">IFERROR(__xludf.DUMMYFUNCTION("""COMPUTED_VALUE"""),"NO")</f>
        <v>NO</v>
      </c>
      <c r="F748" s="20" t="str">
        <f ca="1">IFERROR(__xludf.DUMMYFUNCTION("""COMPUTED_VALUE"""),"PROMOCIÓN Y DEFENSA DE LOS DERECHOS DE LA NIÑEZ, ADOLESCENCIA Y FAMILIA")</f>
        <v>PROMOCIÓN Y DEFENSA DE LOS DERECHOS DE LA NIÑEZ, ADOLESCENCIA Y FAMILIA</v>
      </c>
      <c r="G748" s="20">
        <f ca="1">IFERROR(__xludf.DUMMYFUNCTION("""COMPUTED_VALUE"""),1)</f>
        <v>1</v>
      </c>
      <c r="H748" s="20">
        <f ca="1">IFERROR(__xludf.DUMMYFUNCTION("""COMPUTED_VALUE"""),1)</f>
        <v>1</v>
      </c>
      <c r="I748" s="20">
        <f ca="1">IFERROR(__xludf.DUMMYFUNCTION("""COMPUTED_VALUE"""),1)</f>
        <v>1</v>
      </c>
      <c r="J748" s="20" t="str">
        <f ca="1">IFERROR(__xludf.DUMMYFUNCTION("""COMPUTED_VALUE"""),"Nota")</f>
        <v>Nota</v>
      </c>
      <c r="K748" s="20">
        <f ca="1">IFERROR(__xludf.DUMMYFUNCTION("""COMPUTED_VALUE"""),37198)</f>
        <v>37198</v>
      </c>
      <c r="L748" s="20" t="str">
        <f ca="1">IFERROR(__xludf.DUMMYFUNCTION("""COMPUTED_VALUE"""),"Poder Ejecutivo Provincial")</f>
        <v>Poder Ejecutivo Provincial</v>
      </c>
      <c r="M748" s="20" t="str">
        <f ca="1">IFERROR(__xludf.DUMMYFUNCTION("""COMPUTED_VALUE"""),"Nota de la Defensoría de los Derechos de Niñas, Niños y Adolescentes de la provincia, remitiendo informe anual 2022 según lo establecido en el artículo 12 de la Ley N° 9396. ")</f>
        <v xml:space="preserve">Nota de la Defensoría de los Derechos de Niñas, Niños y Adolescentes de la provincia, remitiendo informe anual 2022 según lo establecido en el artículo 12 de la Ley N° 9396. </v>
      </c>
      <c r="N748" s="20" t="str">
        <f ca="1">IFERROR(__xludf.DUMMYFUNCTION("""COMPUTED_VALUE"""),"SI")</f>
        <v>SI</v>
      </c>
      <c r="O748" s="20" t="str">
        <f ca="1">IFERROR(__xludf.DUMMYFUNCTION("""COMPUTED_VALUE"""),"SI")</f>
        <v>SI</v>
      </c>
      <c r="P748" s="20">
        <f ca="1">IFERROR(__xludf.DUMMYFUNCTION("""COMPUTED_VALUE"""),8)</f>
        <v>8</v>
      </c>
      <c r="Q748" s="113" t="str">
        <f ca="1">IFERROR(__xludf.DUMMYFUNCTION("""COMPUTED_VALUE"""),"https://gld.legislaturacba.gob.ar/_cdd/api/Documento/descargar?guid=c4a1cd28-b4e4-4a34-abfa-66dda2480e6c&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v>
      </c>
      <c r="R748" s="113" t="str">
        <f ca="1">IFERROR(__xludf.DUMMYFUNCTION("""COMPUTED_VALUE"""),"https://www.youtube.com/watch?v=ZLMIJOJ29tU")</f>
        <v>https://www.youtube.com/watch?v=ZLMIJOJ29tU</v>
      </c>
      <c r="S748" s="113" t="str">
        <f ca="1">IFERROR(__xludf.DUMMYFUNCTION("""COMPUTED_VALUE"""),"https://gld.legislaturacba.gob.ar/Publics/Actas.aspx?id=QN7SSRE6Xt8=")</f>
        <v>https://gld.legislaturacba.gob.ar/Publics/Actas.aspx?id=QN7SSRE6Xt8=</v>
      </c>
      <c r="T748" s="99">
        <f t="shared" ca="1" si="0"/>
        <v>0</v>
      </c>
    </row>
    <row r="749" spans="1:20">
      <c r="A749" s="20">
        <f ca="1">IFERROR(__xludf.DUMMYFUNCTION("""COMPUTED_VALUE"""),43)</f>
        <v>43</v>
      </c>
      <c r="B749" s="20">
        <f ca="1">IFERROR(__xludf.DUMMYFUNCTION("""COMPUTED_VALUE"""),2023)</f>
        <v>2023</v>
      </c>
      <c r="C749" s="20" t="str">
        <f ca="1">IFERROR(__xludf.DUMMYFUNCTION("""COMPUTED_VALUE"""),"SEMIPRESENCIAL")</f>
        <v>SEMIPRESENCIAL</v>
      </c>
      <c r="D749" s="106">
        <f ca="1">IFERROR(__xludf.DUMMYFUNCTION("""COMPUTED_VALUE"""),45041)</f>
        <v>45041</v>
      </c>
      <c r="E749" s="20" t="str">
        <f ca="1">IFERROR(__xludf.DUMMYFUNCTION("""COMPUTED_VALUE"""),"SI")</f>
        <v>SI</v>
      </c>
      <c r="F749" s="20" t="str">
        <f ca="1">IFERROR(__xludf.DUMMYFUNCTION("""COMPUTED_VALUE"""),"TURISMO Y SU RELACIÓN CON EL DESARROLLO REGIONAL;RELACIONES INTERNACIONALES, MERCOSUR Y COMERCIO EXTERIOR")</f>
        <v>TURISMO Y SU RELACIÓN CON EL DESARROLLO REGIONAL;RELACIONES INTERNACIONALES, MERCOSUR Y COMERCIO EXTERIOR</v>
      </c>
      <c r="G749" s="20">
        <f ca="1">IFERROR(__xludf.DUMMYFUNCTION("""COMPUTED_VALUE"""),2)</f>
        <v>2</v>
      </c>
      <c r="H749" s="20">
        <f ca="1">IFERROR(__xludf.DUMMYFUNCTION("""COMPUTED_VALUE"""),1)</f>
        <v>1</v>
      </c>
      <c r="I749" s="20">
        <f ca="1">IFERROR(__xludf.DUMMYFUNCTION("""COMPUTED_VALUE"""),1)</f>
        <v>1</v>
      </c>
      <c r="J749" s="20" t="str">
        <f ca="1">IFERROR(__xludf.DUMMYFUNCTION("""COMPUTED_VALUE"""),"Resolución")</f>
        <v>Resolución</v>
      </c>
      <c r="K749" s="20">
        <f ca="1">IFERROR(__xludf.DUMMYFUNCTION("""COMPUTED_VALUE"""),36864)</f>
        <v>36864</v>
      </c>
      <c r="L749" s="20" t="str">
        <f ca="1">IFERROR(__xludf.DUMMYFUNCTION("""COMPUTED_VALUE"""),"Poder Legislativo Provincial")</f>
        <v>Poder Legislativo Provincial</v>
      </c>
      <c r="M749" s="20" t="str">
        <f ca="1">IFERROR(__xludf.DUMMYFUNCTION("""COMPUTED_VALUE"""),"Solicitando al Poder Ejecutivo informe (Art. 102 C.P.) sobre diversos aspectos referidos al viaje realizado por el Gobernador de la provincia el pasado 10 de febrero a España, especificando en qué consiste el acuerdo de hermanamiento del Camino de Santiag"&amp;"o de Compostela con el del Cura Brochero firmado el día 13 de febrero. ")</f>
        <v xml:space="preserve">Solicitando al Poder Ejecutivo informe (Art. 102 C.P.) sobre diversos aspectos referidos al viaje realizado por el Gobernador de la provincia el pasado 10 de febrero a España, especificando en qué consiste el acuerdo de hermanamiento del Camino de Santiago de Compostela con el del Cura Brochero firmado el día 13 de febrero. </v>
      </c>
      <c r="N749" s="20" t="str">
        <f ca="1">IFERROR(__xludf.DUMMYFUNCTION("""COMPUTED_VALUE"""),"SI")</f>
        <v>SI</v>
      </c>
      <c r="O749" s="20" t="str">
        <f ca="1">IFERROR(__xludf.DUMMYFUNCTION("""COMPUTED_VALUE"""),"SI")</f>
        <v>SI</v>
      </c>
      <c r="P749" s="20">
        <f ca="1">IFERROR(__xludf.DUMMYFUNCTION("""COMPUTED_VALUE"""),2)</f>
        <v>2</v>
      </c>
      <c r="Q749" s="113" t="str">
        <f ca="1">IFERROR(__xludf.DUMMYFUNCTION("""COMPUTED_VALUE"""),"https://gld.legislaturacba.gob.ar/_cdd/api/Documento/descargar?guid=5dd28aa7-1c85-4987-b9ae-8df241e98456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v>
      </c>
      <c r="R749" s="113" t="str">
        <f ca="1">IFERROR(__xludf.DUMMYFUNCTION("""COMPUTED_VALUE"""),"https://www.youtube.com/watch?v=10cGrFgWJ4Y")</f>
        <v>https://www.youtube.com/watch?v=10cGrFgWJ4Y</v>
      </c>
      <c r="S749" s="20" t="str">
        <f ca="1">IFERROR(__xludf.DUMMYFUNCTION("""COMPUTED_VALUE"""),"NA;https://gld.legislaturacba.gob.ar/Publics/Actas.aspx?id=EmouEM7zEZ8=")</f>
        <v>NA;https://gld.legislaturacba.gob.ar/Publics/Actas.aspx?id=EmouEM7zEZ8=</v>
      </c>
      <c r="T749" s="99">
        <f t="shared" ca="1" si="0"/>
        <v>1</v>
      </c>
    </row>
    <row r="750" spans="1:20">
      <c r="A750" s="20">
        <f ca="1">IFERROR(__xludf.DUMMYFUNCTION("""COMPUTED_VALUE"""),44)</f>
        <v>44</v>
      </c>
      <c r="B750" s="20">
        <f ca="1">IFERROR(__xludf.DUMMYFUNCTION("""COMPUTED_VALUE"""),2023)</f>
        <v>2023</v>
      </c>
      <c r="C750" s="20" t="str">
        <f ca="1">IFERROR(__xludf.DUMMYFUNCTION("""COMPUTED_VALUE"""),"VIRTUAL")</f>
        <v>VIRTUAL</v>
      </c>
      <c r="D750" s="106">
        <f ca="1">IFERROR(__xludf.DUMMYFUNCTION("""COMPUTED_VALUE"""),45042)</f>
        <v>45042</v>
      </c>
      <c r="E750" s="20" t="str">
        <f ca="1">IFERROR(__xludf.DUMMYFUNCTION("""COMPUTED_VALUE"""),"NO")</f>
        <v>NO</v>
      </c>
      <c r="F750" s="20" t="str">
        <f ca="1">IFERROR(__xludf.DUMMYFUNCTION("""COMPUTED_VALUE"""),"LEGISLACIÓN GENERAL")</f>
        <v>LEGISLACIÓN GENERAL</v>
      </c>
      <c r="G750" s="20">
        <f ca="1">IFERROR(__xludf.DUMMYFUNCTION("""COMPUTED_VALUE"""),1)</f>
        <v>1</v>
      </c>
      <c r="H750" s="20">
        <f ca="1">IFERROR(__xludf.DUMMYFUNCTION("""COMPUTED_VALUE"""),1)</f>
        <v>1</v>
      </c>
      <c r="I750" s="20">
        <f ca="1">IFERROR(__xludf.DUMMYFUNCTION("""COMPUTED_VALUE"""),1)</f>
        <v>1</v>
      </c>
      <c r="J750" s="20" t="str">
        <f ca="1">IFERROR(__xludf.DUMMYFUNCTION("""COMPUTED_VALUE"""),"Ley")</f>
        <v>Ley</v>
      </c>
      <c r="K750" s="20">
        <f ca="1">IFERROR(__xludf.DUMMYFUNCTION("""COMPUTED_VALUE"""),37160)</f>
        <v>37160</v>
      </c>
      <c r="L750" s="20" t="str">
        <f ca="1">IFERROR(__xludf.DUMMYFUNCTION("""COMPUTED_VALUE"""),"Poder Ejecutivo Provincial")</f>
        <v>Poder Ejecutivo Provincial</v>
      </c>
      <c r="M750" s="20" t="str">
        <f ca="1">IFERROR(__xludf.DUMMYFUNCTION("""COMPUTED_VALUE"""),"Ratificando el Decreto N° 337 del 23/03/2023 que aprobó el Convenio Marco INDEC 2023 y sus Anexos, celebrado entre el Instituto Nacional de Estadística y Censos y la Dirección General de Estadística y Censos, dependiente de la Secretaría de Fortalecimient"&amp;"o Institucional del Ministerio de Coordinación, en representación del Gobierno de la provincia, destinado a dar cumplimiento a las tareas establecidas para la realización del Programa Anual de Estadística 2023. ")</f>
        <v xml:space="preserve">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 </v>
      </c>
      <c r="N750" s="20" t="str">
        <f ca="1">IFERROR(__xludf.DUMMYFUNCTION("""COMPUTED_VALUE"""),"NO")</f>
        <v>NO</v>
      </c>
      <c r="O750" s="20" t="str">
        <f ca="1">IFERROR(__xludf.DUMMYFUNCTION("""COMPUTED_VALUE"""),"NO")</f>
        <v>NO</v>
      </c>
      <c r="P750" s="20">
        <f ca="1">IFERROR(__xludf.DUMMYFUNCTION("""COMPUTED_VALUE"""),0)</f>
        <v>0</v>
      </c>
      <c r="Q750" s="20" t="str">
        <f ca="1">IFERROR(__xludf.DUMMYFUNCTION("""COMPUTED_VALUE"""),"NA")</f>
        <v>NA</v>
      </c>
      <c r="R750" s="113" t="str">
        <f ca="1">IFERROR(__xludf.DUMMYFUNCTION("""COMPUTED_VALUE"""),"https://www.youtube.com/watch?v=GxBEFobw4ZA")</f>
        <v>https://www.youtube.com/watch?v=GxBEFobw4ZA</v>
      </c>
      <c r="S750" s="113" t="str">
        <f ca="1">IFERROR(__xludf.DUMMYFUNCTION("""COMPUTED_VALUE"""),"https://gld.legislaturacba.gob.ar/Publics/Actas.aspx?id=1gSqRiE1Wb4=")</f>
        <v>https://gld.legislaturacba.gob.ar/Publics/Actas.aspx?id=1gSqRiE1Wb4=</v>
      </c>
      <c r="T750" s="99">
        <f t="shared" ca="1" si="0"/>
        <v>0</v>
      </c>
    </row>
    <row r="751" spans="1:20">
      <c r="A751" s="20">
        <f ca="1">IFERROR(__xludf.DUMMYFUNCTION("""COMPUTED_VALUE"""),45)</f>
        <v>45</v>
      </c>
      <c r="B751" s="20">
        <f ca="1">IFERROR(__xludf.DUMMYFUNCTION("""COMPUTED_VALUE"""),2023)</f>
        <v>2023</v>
      </c>
      <c r="C751" s="20" t="str">
        <f ca="1">IFERROR(__xludf.DUMMYFUNCTION("""COMPUTED_VALUE"""),"SEMIPRESENCIAL")</f>
        <v>SEMIPRESENCIAL</v>
      </c>
      <c r="D751" s="106">
        <f ca="1">IFERROR(__xludf.DUMMYFUNCTION("""COMPUTED_VALUE"""),45043)</f>
        <v>45043</v>
      </c>
      <c r="E751" s="20" t="str">
        <f ca="1">IFERROR(__xludf.DUMMYFUNCTION("""COMPUTED_VALUE"""),"SI")</f>
        <v>SI</v>
      </c>
      <c r="F751" s="20" t="str">
        <f ca="1">IFERROR(__xludf.DUMMYFUNCTION("""COMPUTED_VALUE"""),"LEGISLACIÓN DEL TRABAJO, PREVISIÓN Y SEGURIDAD SOCIAL;SALUD HUMANA")</f>
        <v>LEGISLACIÓN DEL TRABAJO, PREVISIÓN Y SEGURIDAD SOCIAL;SALUD HUMANA</v>
      </c>
      <c r="G751" s="20">
        <f ca="1">IFERROR(__xludf.DUMMYFUNCTION("""COMPUTED_VALUE"""),2)</f>
        <v>2</v>
      </c>
      <c r="H751" s="20">
        <f ca="1">IFERROR(__xludf.DUMMYFUNCTION("""COMPUTED_VALUE"""),1)</f>
        <v>1</v>
      </c>
      <c r="I751" s="20">
        <f ca="1">IFERROR(__xludf.DUMMYFUNCTION("""COMPUTED_VALUE"""),1)</f>
        <v>1</v>
      </c>
      <c r="J751" s="20" t="str">
        <f ca="1">IFERROR(__xludf.DUMMYFUNCTION("""COMPUTED_VALUE"""),"Ley")</f>
        <v>Ley</v>
      </c>
      <c r="K751" s="20">
        <f ca="1">IFERROR(__xludf.DUMMYFUNCTION("""COMPUTED_VALUE"""),37057)</f>
        <v>37057</v>
      </c>
      <c r="L751" s="20" t="str">
        <f ca="1">IFERROR(__xludf.DUMMYFUNCTION("""COMPUTED_VALUE"""),"Poder Ejecutivo Provincial")</f>
        <v>Poder Ejecutivo Provincial</v>
      </c>
      <c r="M751"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1" s="20" t="str">
        <f ca="1">IFERROR(__xludf.DUMMYFUNCTION("""COMPUTED_VALUE"""),"NO")</f>
        <v>NO</v>
      </c>
      <c r="O751" s="20" t="str">
        <f ca="1">IFERROR(__xludf.DUMMYFUNCTION("""COMPUTED_VALUE"""),"SI")</f>
        <v>SI</v>
      </c>
      <c r="P751" s="20">
        <f ca="1">IFERROR(__xludf.DUMMYFUNCTION("""COMPUTED_VALUE"""),9)</f>
        <v>9</v>
      </c>
      <c r="Q751" s="113" t="str">
        <f ca="1">IFERROR(__xludf.DUMMYFUNCTION("""COMPUTED_VALUE"""),"https://gld.legislaturacba.gob.ar/Publics/Actas.aspx?id=zU6RcUBrNjQ=;https://gld.legislaturacba.gob.ar/Publics/Actas.aspx?id=i9PE2gnwrNY=")</f>
        <v>https://gld.legislaturacba.gob.ar/Publics/Actas.aspx?id=zU6RcUBrNjQ=;https://gld.legislaturacba.gob.ar/Publics/Actas.aspx?id=i9PE2gnwrNY=</v>
      </c>
      <c r="R751" s="113" t="str">
        <f ca="1">IFERROR(__xludf.DUMMYFUNCTION("""COMPUTED_VALUE"""),"https://www.youtube.com/watch?v=ZGIJwUSasIA")</f>
        <v>https://www.youtube.com/watch?v=ZGIJwUSasIA</v>
      </c>
      <c r="S751" s="113" t="str">
        <f ca="1">IFERROR(__xludf.DUMMYFUNCTION("""COMPUTED_VALUE"""),"https://gld.legislaturacba.gob.ar/Publics/Actas.aspx?id=zU6RcUBrNjQ=;https://gld.legislaturacba.gob.ar/Publics/Actas.aspx?id=i9PE2gnwrNY=")</f>
        <v>https://gld.legislaturacba.gob.ar/Publics/Actas.aspx?id=zU6RcUBrNjQ=;https://gld.legislaturacba.gob.ar/Publics/Actas.aspx?id=i9PE2gnwrNY=</v>
      </c>
      <c r="T751" s="99">
        <f t="shared" ca="1" si="0"/>
        <v>0</v>
      </c>
    </row>
    <row r="752" spans="1:20">
      <c r="A752" s="20">
        <f ca="1">IFERROR(__xludf.DUMMYFUNCTION("""COMPUTED_VALUE"""),46)</f>
        <v>46</v>
      </c>
      <c r="B752" s="20">
        <f ca="1">IFERROR(__xludf.DUMMYFUNCTION("""COMPUTED_VALUE"""),2023)</f>
        <v>2023</v>
      </c>
      <c r="C752" s="20" t="str">
        <f ca="1">IFERROR(__xludf.DUMMYFUNCTION("""COMPUTED_VALUE"""),"VIRTUAL")</f>
        <v>VIRTUAL</v>
      </c>
      <c r="D752" s="106">
        <f ca="1">IFERROR(__xludf.DUMMYFUNCTION("""COMPUTED_VALUE"""),45048)</f>
        <v>45048</v>
      </c>
      <c r="E752" s="20" t="str">
        <f ca="1">IFERROR(__xludf.DUMMYFUNCTION("""COMPUTED_VALUE"""),"NO")</f>
        <v>NO</v>
      </c>
      <c r="F752" s="20" t="str">
        <f ca="1">IFERROR(__xludf.DUMMYFUNCTION("""COMPUTED_VALUE"""),"ASUNTOS INSTITUCIONALES, MUNICIPALES Y COMUNALES")</f>
        <v>ASUNTOS INSTITUCIONALES, MUNICIPALES Y COMUNALES</v>
      </c>
      <c r="G752" s="20">
        <f ca="1">IFERROR(__xludf.DUMMYFUNCTION("""COMPUTED_VALUE"""),1)</f>
        <v>1</v>
      </c>
      <c r="H752" s="20">
        <f ca="1">IFERROR(__xludf.DUMMYFUNCTION("""COMPUTED_VALUE"""),1)</f>
        <v>1</v>
      </c>
      <c r="I752" s="20">
        <f ca="1">IFERROR(__xludf.DUMMYFUNCTION("""COMPUTED_VALUE"""),1)</f>
        <v>1</v>
      </c>
      <c r="J752" s="20" t="str">
        <f ca="1">IFERROR(__xludf.DUMMYFUNCTION("""COMPUTED_VALUE"""),"Ley")</f>
        <v>Ley</v>
      </c>
      <c r="K752" s="20">
        <f ca="1">IFERROR(__xludf.DUMMYFUNCTION("""COMPUTED_VALUE"""),37236)</f>
        <v>37236</v>
      </c>
      <c r="L752" s="20" t="str">
        <f ca="1">IFERROR(__xludf.DUMMYFUNCTION("""COMPUTED_VALUE"""),"Poder Ejecutivo Provincial")</f>
        <v>Poder Ejecutivo Provincial</v>
      </c>
      <c r="M752" s="20" t="str">
        <f ca="1">IFERROR(__xludf.DUMMYFUNCTION("""COMPUTED_VALUE"""),"Modificando el radio municipal de la localidad de El Fortín, Dpto. San Justo. ")</f>
        <v xml:space="preserve">Modificando el radio municipal de la localidad de El Fortín, Dpto. San Justo. </v>
      </c>
      <c r="N752" s="20" t="str">
        <f ca="1">IFERROR(__xludf.DUMMYFUNCTION("""COMPUTED_VALUE"""),"SI")</f>
        <v>SI</v>
      </c>
      <c r="O752" s="20" t="str">
        <f ca="1">IFERROR(__xludf.DUMMYFUNCTION("""COMPUTED_VALUE"""),"SI")</f>
        <v>SI</v>
      </c>
      <c r="P752" s="20">
        <f ca="1">IFERROR(__xludf.DUMMYFUNCTION("""COMPUTED_VALUE"""),1)</f>
        <v>1</v>
      </c>
      <c r="Q752" s="113" t="str">
        <f ca="1">IFERROR(__xludf.DUMMYFUNCTION("""COMPUTED_VALUE"""),"https://gld.legislaturacba.gob.ar/_cdd/api/Documento/descargar?guid=b5502451-360a-43d3-a37d-c563406a5418&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v>
      </c>
      <c r="R752" s="113" t="str">
        <f ca="1">IFERROR(__xludf.DUMMYFUNCTION("""COMPUTED_VALUE"""),"https://www.youtube.com/watch?v=5ck83Zn7iPc")</f>
        <v>https://www.youtube.com/watch?v=5ck83Zn7iPc</v>
      </c>
      <c r="S752" s="113" t="str">
        <f ca="1">IFERROR(__xludf.DUMMYFUNCTION("""COMPUTED_VALUE"""),"https://gld.legislaturacba.gob.ar/Publics/Actas.aspx?id=St7UBev-UhQ=")</f>
        <v>https://gld.legislaturacba.gob.ar/Publics/Actas.aspx?id=St7UBev-UhQ=</v>
      </c>
      <c r="T752" s="99">
        <f t="shared" ca="1" si="0"/>
        <v>0</v>
      </c>
    </row>
    <row r="753" spans="1:20">
      <c r="A753" s="20">
        <f ca="1">IFERROR(__xludf.DUMMYFUNCTION("""COMPUTED_VALUE"""),47)</f>
        <v>47</v>
      </c>
      <c r="B753" s="20">
        <f ca="1">IFERROR(__xludf.DUMMYFUNCTION("""COMPUTED_VALUE"""),2023)</f>
        <v>2023</v>
      </c>
      <c r="C753" s="20" t="str">
        <f ca="1">IFERROR(__xludf.DUMMYFUNCTION("""COMPUTED_VALUE"""),"SEMIPRESENCIAL")</f>
        <v>SEMIPRESENCIAL</v>
      </c>
      <c r="D753" s="106">
        <f ca="1">IFERROR(__xludf.DUMMYFUNCTION("""COMPUTED_VALUE"""),45050)</f>
        <v>45050</v>
      </c>
      <c r="E753" s="20" t="str">
        <f ca="1">IFERROR(__xludf.DUMMYFUNCTION("""COMPUTED_VALUE"""),"SI")</f>
        <v>SI</v>
      </c>
      <c r="F753" s="20" t="str">
        <f ca="1">IFERROR(__xludf.DUMMYFUNCTION("""COMPUTED_VALUE"""),"LEGISLACIÓN GENERAL;LEGISLACIÓN DEL TRABAJO, PREVISIÓN Y SEGURIDAD SOCIAL;SALUD HUMANA")</f>
        <v>LEGISLACIÓN GENERAL;LEGISLACIÓN DEL TRABAJO, PREVISIÓN Y SEGURIDAD SOCIAL;SALUD HUMANA</v>
      </c>
      <c r="G753" s="20">
        <f ca="1">IFERROR(__xludf.DUMMYFUNCTION("""COMPUTED_VALUE"""),3)</f>
        <v>3</v>
      </c>
      <c r="H753" s="20">
        <f ca="1">IFERROR(__xludf.DUMMYFUNCTION("""COMPUTED_VALUE"""),1)</f>
        <v>1</v>
      </c>
      <c r="I753" s="20">
        <f ca="1">IFERROR(__xludf.DUMMYFUNCTION("""COMPUTED_VALUE"""),1)</f>
        <v>1</v>
      </c>
      <c r="J753" s="20" t="str">
        <f ca="1">IFERROR(__xludf.DUMMYFUNCTION("""COMPUTED_VALUE"""),"Ley")</f>
        <v>Ley</v>
      </c>
      <c r="K753" s="20">
        <f ca="1">IFERROR(__xludf.DUMMYFUNCTION("""COMPUTED_VALUE"""),37057)</f>
        <v>37057</v>
      </c>
      <c r="L753" s="20" t="str">
        <f ca="1">IFERROR(__xludf.DUMMYFUNCTION("""COMPUTED_VALUE"""),"Poder Ejecutivo Provincial")</f>
        <v>Poder Ejecutivo Provincial</v>
      </c>
      <c r="M753"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3" s="20" t="str">
        <f ca="1">IFERROR(__xludf.DUMMYFUNCTION("""COMPUTED_VALUE"""),"NO")</f>
        <v>NO</v>
      </c>
      <c r="O753" s="20" t="str">
        <f ca="1">IFERROR(__xludf.DUMMYFUNCTION("""COMPUTED_VALUE"""),"SI")</f>
        <v>SI</v>
      </c>
      <c r="P753" s="20">
        <f ca="1">IFERROR(__xludf.DUMMYFUNCTION("""COMPUTED_VALUE"""),3)</f>
        <v>3</v>
      </c>
      <c r="Q753" s="113" t="str">
        <f ca="1">IFERROR(__xludf.DUMMYFUNCTION("""COMPUTED_VALUE"""),"https://gld.legislaturacba.gob.ar/_cdd/api/Documento/descargar?guid=505df074-ef5c-4263-a9fe-582c70127cc4&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v>
      </c>
      <c r="R753" s="113" t="str">
        <f ca="1">IFERROR(__xludf.DUMMYFUNCTION("""COMPUTED_VALUE"""),"https://www.youtube.com/watch?v=khhrY2rrHiQ")</f>
        <v>https://www.youtube.com/watch?v=khhrY2rrHiQ</v>
      </c>
      <c r="S753" s="113" t="str">
        <f ca="1">IFERROR(__xludf.DUMMYFUNCTION("""COMPUTED_VALUE"""),"https://gld.legislaturacba.gob.ar/Publics/Actas.aspx?id=4lEUYpZoBZE=;https://gld.legislaturacba.gob.ar/Publics/Actas.aspx?id=K2V9kQcjT2k=;https://gld.legislaturacba.gob.ar/Publics/Actas.aspx?id=wP3IkK_pR4o=")</f>
        <v>https://gld.legislaturacba.gob.ar/Publics/Actas.aspx?id=4lEUYpZoBZE=;https://gld.legislaturacba.gob.ar/Publics/Actas.aspx?id=K2V9kQcjT2k=;https://gld.legislaturacba.gob.ar/Publics/Actas.aspx?id=wP3IkK_pR4o=</v>
      </c>
      <c r="T753" s="99">
        <f t="shared" ca="1" si="0"/>
        <v>0</v>
      </c>
    </row>
    <row r="754" spans="1:20">
      <c r="A754" s="20">
        <f ca="1">IFERROR(__xludf.DUMMYFUNCTION("""COMPUTED_VALUE"""),48)</f>
        <v>48</v>
      </c>
      <c r="B754" s="20">
        <f ca="1">IFERROR(__xludf.DUMMYFUNCTION("""COMPUTED_VALUE"""),2023)</f>
        <v>2023</v>
      </c>
      <c r="C754" s="20" t="str">
        <f ca="1">IFERROR(__xludf.DUMMYFUNCTION("""COMPUTED_VALUE"""),"SEMIPRESENCIAL")</f>
        <v>SEMIPRESENCIAL</v>
      </c>
      <c r="D754" s="106">
        <f ca="1">IFERROR(__xludf.DUMMYFUNCTION("""COMPUTED_VALUE"""),45050)</f>
        <v>45050</v>
      </c>
      <c r="E754" s="20" t="str">
        <f ca="1">IFERROR(__xludf.DUMMYFUNCTION("""COMPUTED_VALUE"""),"NO")</f>
        <v>NO</v>
      </c>
      <c r="F754" s="20" t="str">
        <f ca="1">IFERROR(__xludf.DUMMYFUNCTION("""COMPUTED_VALUE"""),"EDUCACIÓN, CULTURA, CIENCIA, TECNOLOGÍA E INFORMÁTICA")</f>
        <v>EDUCACIÓN, CULTURA, CIENCIA, TECNOLOGÍA E INFORMÁTICA</v>
      </c>
      <c r="G754" s="20">
        <f ca="1">IFERROR(__xludf.DUMMYFUNCTION("""COMPUTED_VALUE"""),1)</f>
        <v>1</v>
      </c>
      <c r="H754" s="20">
        <f ca="1">IFERROR(__xludf.DUMMYFUNCTION("""COMPUTED_VALUE"""),20)</f>
        <v>20</v>
      </c>
      <c r="I754" s="20">
        <f ca="1">IFERROR(__xludf.DUMMYFUNCTION("""COMPUTED_VALUE"""),1)</f>
        <v>1</v>
      </c>
      <c r="J754" s="20" t="str">
        <f ca="1">IFERROR(__xludf.DUMMYFUNCTION("""COMPUTED_VALUE"""),"Resolución")</f>
        <v>Resolución</v>
      </c>
      <c r="K754" s="20">
        <f ca="1">IFERROR(__xludf.DUMMYFUNCTION("""COMPUTED_VALUE"""),34979)</f>
        <v>34979</v>
      </c>
      <c r="L754" s="20" t="str">
        <f ca="1">IFERROR(__xludf.DUMMYFUNCTION("""COMPUTED_VALUE"""),"Poder Legislativo Provincial")</f>
        <v>Poder Legislativo Provincial</v>
      </c>
      <c r="M754" s="20" t="str">
        <f ca="1">IFERROR(__xludf.DUMMYFUNCTION("""COMPUTED_VALUE"""),"Solicitando al Poder Ejecutivo informe (Art. 102 C.P.) sobre la situación dominial del terreno donde funciona el predio deportivo y recreativo de la Escuela Domingo F. Sarmiento, el jardín de infantes Los Aromitos y el IPEM Nº 419 de la localidad de Villa"&amp;" Los Aromos, Dpto. Santa María")</f>
        <v>Solicitando al Poder Ejecutivo informe (Art. 102 C.P.) sobre la situación dominial del terreno donde funciona el predio deportivo y recreativo de la Escuela Domingo F. Sarmiento, el jardín de infantes Los Aromitos y el IPEM Nº 419 de la localidad de Villa Los Aromos, Dpto. Santa María</v>
      </c>
      <c r="N754" s="20" t="str">
        <f ca="1">IFERROR(__xludf.DUMMYFUNCTION("""COMPUTED_VALUE"""),"SI")</f>
        <v>SI</v>
      </c>
      <c r="O754" s="20" t="str">
        <f ca="1">IFERROR(__xludf.DUMMYFUNCTION("""COMPUTED_VALUE"""),"SI")</f>
        <v>SI</v>
      </c>
      <c r="P754" s="20">
        <f ca="1">IFERROR(__xludf.DUMMYFUNCTION("""COMPUTED_VALUE"""),3)</f>
        <v>3</v>
      </c>
      <c r="Q754" s="113" t="str">
        <f ca="1">IFERROR(__xludf.DUMMYFUNCTION("""COMPUTED_VALUE"""),"https://gld.legislaturacba.gob.ar/_cdd/api/Documento/descargar?guid=ca71e0f0-fc45-486b-81f5-45540daaa390&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v>
      </c>
      <c r="R754" s="113" t="str">
        <f ca="1">IFERROR(__xludf.DUMMYFUNCTION("""COMPUTED_VALUE"""),"https://www.youtube.com/watch?v=M4MKoqkyiEA")</f>
        <v>https://www.youtube.com/watch?v=M4MKoqkyiEA</v>
      </c>
      <c r="S754" s="113" t="str">
        <f ca="1">IFERROR(__xludf.DUMMYFUNCTION("""COMPUTED_VALUE"""),"https://gld.legislaturacba.gob.ar/Publics/Actas.aspx?id=2LRGDNbzyew=")</f>
        <v>https://gld.legislaturacba.gob.ar/Publics/Actas.aspx?id=2LRGDNbzyew=</v>
      </c>
      <c r="T754" s="99">
        <f t="shared" ca="1" si="0"/>
        <v>0</v>
      </c>
    </row>
    <row r="755" spans="1:20">
      <c r="A755" s="20">
        <f ca="1">IFERROR(__xludf.DUMMYFUNCTION("""COMPUTED_VALUE"""),49)</f>
        <v>49</v>
      </c>
      <c r="B755" s="20">
        <f ca="1">IFERROR(__xludf.DUMMYFUNCTION("""COMPUTED_VALUE"""),2023)</f>
        <v>2023</v>
      </c>
      <c r="C755" s="20" t="str">
        <f ca="1">IFERROR(__xludf.DUMMYFUNCTION("""COMPUTED_VALUE"""),"SEMIPRESENCIAL")</f>
        <v>SEMIPRESENCIAL</v>
      </c>
      <c r="D755" s="106">
        <f ca="1">IFERROR(__xludf.DUMMYFUNCTION("""COMPUTED_VALUE"""),45055)</f>
        <v>45055</v>
      </c>
      <c r="E755" s="20" t="str">
        <f ca="1">IFERROR(__xludf.DUMMYFUNCTION("""COMPUTED_VALUE"""),"SI")</f>
        <v>SI</v>
      </c>
      <c r="F755" s="20" t="str">
        <f ca="1">IFERROR(__xludf.DUMMYFUNCTION("""COMPUTED_VALUE"""),"LEGISLACIÓN GENERAL;LEGISLACIÓN DEL TRABAJO, PREVISIÓN Y SEGURIDAD SOCIAL;SALUD HUMANA")</f>
        <v>LEGISLACIÓN GENERAL;LEGISLACIÓN DEL TRABAJO, PREVISIÓN Y SEGURIDAD SOCIAL;SALUD HUMANA</v>
      </c>
      <c r="G755" s="20">
        <f ca="1">IFERROR(__xludf.DUMMYFUNCTION("""COMPUTED_VALUE"""),3)</f>
        <v>3</v>
      </c>
      <c r="H755" s="20">
        <f ca="1">IFERROR(__xludf.DUMMYFUNCTION("""COMPUTED_VALUE"""),1)</f>
        <v>1</v>
      </c>
      <c r="I755" s="20">
        <f ca="1">IFERROR(__xludf.DUMMYFUNCTION("""COMPUTED_VALUE"""),1)</f>
        <v>1</v>
      </c>
      <c r="J755" s="20" t="str">
        <f ca="1">IFERROR(__xludf.DUMMYFUNCTION("""COMPUTED_VALUE"""),"Ley")</f>
        <v>Ley</v>
      </c>
      <c r="K755" s="20">
        <f ca="1">IFERROR(__xludf.DUMMYFUNCTION("""COMPUTED_VALUE"""),37057)</f>
        <v>37057</v>
      </c>
      <c r="L755" s="20" t="str">
        <f ca="1">IFERROR(__xludf.DUMMYFUNCTION("""COMPUTED_VALUE"""),"Poder Ejecutivo Provincial")</f>
        <v>Poder Ejecutivo Provincial</v>
      </c>
      <c r="M755"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5" s="20" t="str">
        <f ca="1">IFERROR(__xludf.DUMMYFUNCTION("""COMPUTED_VALUE"""),"NO")</f>
        <v>NO</v>
      </c>
      <c r="O755" s="20" t="str">
        <f ca="1">IFERROR(__xludf.DUMMYFUNCTION("""COMPUTED_VALUE"""),"SI")</f>
        <v>SI</v>
      </c>
      <c r="P755" s="20">
        <f ca="1">IFERROR(__xludf.DUMMYFUNCTION("""COMPUTED_VALUE"""),12)</f>
        <v>12</v>
      </c>
      <c r="Q755" s="113" t="str">
        <f ca="1">IFERROR(__xludf.DUMMYFUNCTION("""COMPUTED_VALUE"""),"https://gld.legislaturacba.gob.ar/_cdd/api/Documento/descargar?guid=caecc454-9ee3-453b-b03d-6995b86ce5b6&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v>
      </c>
      <c r="R755" s="113" t="str">
        <f ca="1">IFERROR(__xludf.DUMMYFUNCTION("""COMPUTED_VALUE"""),"https://www.youtube.com/watch?v=2jO3NiGJ57A")</f>
        <v>https://www.youtube.com/watch?v=2jO3NiGJ57A</v>
      </c>
      <c r="S755" s="113" t="str">
        <f ca="1">IFERROR(__xludf.DUMMYFUNCTION("""COMPUTED_VALUE"""),"https://gld.legislaturacba.gob.ar/Publics/Actas.aspx?id=HDWF62FDAVA=;https://gld.legislaturacba.gob.ar/Publics/Actas.aspx?id=KR5xX2tYn4w=;https://gld.legislaturacba.gob.ar/Publics/Actas.aspx?id=V9L5SXdgjog=")</f>
        <v>https://gld.legislaturacba.gob.ar/Publics/Actas.aspx?id=HDWF62FDAVA=;https://gld.legislaturacba.gob.ar/Publics/Actas.aspx?id=KR5xX2tYn4w=;https://gld.legislaturacba.gob.ar/Publics/Actas.aspx?id=V9L5SXdgjog=</v>
      </c>
      <c r="T755" s="99">
        <f t="shared" ca="1" si="0"/>
        <v>0</v>
      </c>
    </row>
    <row r="756" spans="1:20">
      <c r="A756" s="20">
        <f ca="1">IFERROR(__xludf.DUMMYFUNCTION("""COMPUTED_VALUE"""),50)</f>
        <v>50</v>
      </c>
      <c r="B756" s="20">
        <f ca="1">IFERROR(__xludf.DUMMYFUNCTION("""COMPUTED_VALUE"""),2023)</f>
        <v>2023</v>
      </c>
      <c r="C756" s="20" t="str">
        <f ca="1">IFERROR(__xludf.DUMMYFUNCTION("""COMPUTED_VALUE"""),"SEMIPRESENCIAL")</f>
        <v>SEMIPRESENCIAL</v>
      </c>
      <c r="D756" s="106">
        <f ca="1">IFERROR(__xludf.DUMMYFUNCTION("""COMPUTED_VALUE"""),45055)</f>
        <v>45055</v>
      </c>
      <c r="E756" s="20" t="str">
        <f ca="1">IFERROR(__xludf.DUMMYFUNCTION("""COMPUTED_VALUE"""),"SI")</f>
        <v>SI</v>
      </c>
      <c r="F756" s="20" t="str">
        <f ca="1">IFERROR(__xludf.DUMMYFUNCTION("""COMPUTED_VALUE"""),"ECONOMÍA, PRESUPUESTO, GESTIÓN PÚBLICA E INNOVACIÓN;OBRAS PÚBLICAS, VIVIENDA Y COMUNICACIONES")</f>
        <v>ECONOMÍA, PRESUPUESTO, GESTIÓN PÚBLICA E INNOVACIÓN;OBRAS PÚBLICAS, VIVIENDA Y COMUNICACIONES</v>
      </c>
      <c r="G756" s="20">
        <f ca="1">IFERROR(__xludf.DUMMYFUNCTION("""COMPUTED_VALUE"""),2)</f>
        <v>2</v>
      </c>
      <c r="H756" s="20">
        <f ca="1">IFERROR(__xludf.DUMMYFUNCTION("""COMPUTED_VALUE"""),1)</f>
        <v>1</v>
      </c>
      <c r="I756" s="20">
        <f ca="1">IFERROR(__xludf.DUMMYFUNCTION("""COMPUTED_VALUE"""),1)</f>
        <v>1</v>
      </c>
      <c r="J756" s="20" t="str">
        <f ca="1">IFERROR(__xludf.DUMMYFUNCTION("""COMPUTED_VALUE"""),"Ley")</f>
        <v>Ley</v>
      </c>
      <c r="K756" s="20">
        <f ca="1">IFERROR(__xludf.DUMMYFUNCTION("""COMPUTED_VALUE"""),37218)</f>
        <v>37218</v>
      </c>
      <c r="L756" s="20" t="str">
        <f ca="1">IFERROR(__xludf.DUMMYFUNCTION("""COMPUTED_VALUE"""),"Poder Ejecutivo Provincial")</f>
        <v>Poder Ejecutivo Provincial</v>
      </c>
      <c r="M756" s="20" t="str">
        <f ca="1">IFERROR(__xludf.DUMMYFUNCTION("""COMPUTED_VALUE"""),"Declarando de utilidad pública y sujeto a expropiación, todos los bienes convenientes o necesarios para la ejecución de las obras que se encuentran comprendidas en la Red de Accesos a Córdoba (RAC), de acuerdo a la establecido en la Ley N° 6394.")</f>
        <v>Declarando de utilidad pública y sujeto a expropiación, todos los bienes convenientes o necesarios para la ejecución de las obras que se encuentran comprendidas en la Red de Accesos a Córdoba (RAC), de acuerdo a la establecido en la Ley N° 6394.</v>
      </c>
      <c r="N756" s="20" t="str">
        <f ca="1">IFERROR(__xludf.DUMMYFUNCTION("""COMPUTED_VALUE"""),"SI")</f>
        <v>SI</v>
      </c>
      <c r="O756" s="20" t="str">
        <f ca="1">IFERROR(__xludf.DUMMYFUNCTION("""COMPUTED_VALUE"""),"SI")</f>
        <v>SI</v>
      </c>
      <c r="P756" s="20">
        <f ca="1">IFERROR(__xludf.DUMMYFUNCTION("""COMPUTED_VALUE"""),1)</f>
        <v>1</v>
      </c>
      <c r="Q756" s="20" t="str">
        <f ca="1">IFERROR(__xludf.DUMMYFUNCTION("""COMPUTED_VALUE"""),"NA")</f>
        <v>NA</v>
      </c>
      <c r="R756" s="113" t="str">
        <f ca="1">IFERROR(__xludf.DUMMYFUNCTION("""COMPUTED_VALUE"""),"https://www.youtube.com/watch?v=jsae9ad_cY8")</f>
        <v>https://www.youtube.com/watch?v=jsae9ad_cY8</v>
      </c>
      <c r="S756" s="20" t="str">
        <f ca="1">IFERROR(__xludf.DUMMYFUNCTION("""COMPUTED_VALUE"""),"NA;NA")</f>
        <v>NA;NA</v>
      </c>
      <c r="T756" s="99">
        <f t="shared" ca="1" si="0"/>
        <v>2</v>
      </c>
    </row>
    <row r="757" spans="1:20">
      <c r="A757" s="20">
        <f ca="1">IFERROR(__xludf.DUMMYFUNCTION("""COMPUTED_VALUE"""),51)</f>
        <v>51</v>
      </c>
      <c r="B757" s="20">
        <f ca="1">IFERROR(__xludf.DUMMYFUNCTION("""COMPUTED_VALUE"""),2023)</f>
        <v>2023</v>
      </c>
      <c r="C757" s="20" t="str">
        <f ca="1">IFERROR(__xludf.DUMMYFUNCTION("""COMPUTED_VALUE"""),"VIRTUAL")</f>
        <v>VIRTUAL</v>
      </c>
      <c r="D757" s="106">
        <f ca="1">IFERROR(__xludf.DUMMYFUNCTION("""COMPUTED_VALUE"""),45055)</f>
        <v>45055</v>
      </c>
      <c r="E757" s="20" t="str">
        <f ca="1">IFERROR(__xludf.DUMMYFUNCTION("""COMPUTED_VALUE"""),"NO")</f>
        <v>NO</v>
      </c>
      <c r="F757" s="20" t="str">
        <f ca="1">IFERROR(__xludf.DUMMYFUNCTION("""COMPUTED_VALUE"""),"ASUNTOS INSTITUCIONALES, MUNICIPALES Y COMUNALES")</f>
        <v>ASUNTOS INSTITUCIONALES, MUNICIPALES Y COMUNALES</v>
      </c>
      <c r="G757" s="20">
        <f ca="1">IFERROR(__xludf.DUMMYFUNCTION("""COMPUTED_VALUE"""),1)</f>
        <v>1</v>
      </c>
      <c r="H757" s="20">
        <f ca="1">IFERROR(__xludf.DUMMYFUNCTION("""COMPUTED_VALUE"""),3)</f>
        <v>3</v>
      </c>
      <c r="I757" s="20">
        <f ca="1">IFERROR(__xludf.DUMMYFUNCTION("""COMPUTED_VALUE"""),1)</f>
        <v>1</v>
      </c>
      <c r="J757" s="20" t="str">
        <f ca="1">IFERROR(__xludf.DUMMYFUNCTION("""COMPUTED_VALUE"""),"Ley")</f>
        <v>Ley</v>
      </c>
      <c r="K757" s="20">
        <f ca="1">IFERROR(__xludf.DUMMYFUNCTION("""COMPUTED_VALUE"""),37286)</f>
        <v>37286</v>
      </c>
      <c r="L757" s="20" t="str">
        <f ca="1">IFERROR(__xludf.DUMMYFUNCTION("""COMPUTED_VALUE"""),"Poder Ejecutivo Provincial")</f>
        <v>Poder Ejecutivo Provincial</v>
      </c>
      <c r="M757" s="20" t="str">
        <f ca="1">IFERROR(__xludf.DUMMYFUNCTION("""COMPUTED_VALUE"""),"Modificando el Radio Municipal de Sampacho, Dpto. Rio Cuarto")</f>
        <v>Modificando el Radio Municipal de Sampacho, Dpto. Rio Cuarto</v>
      </c>
      <c r="N757" s="20" t="str">
        <f ca="1">IFERROR(__xludf.DUMMYFUNCTION("""COMPUTED_VALUE"""),"SI")</f>
        <v>SI</v>
      </c>
      <c r="O757" s="20" t="str">
        <f ca="1">IFERROR(__xludf.DUMMYFUNCTION("""COMPUTED_VALUE"""),"SI")</f>
        <v>SI</v>
      </c>
      <c r="P757" s="20">
        <f ca="1">IFERROR(__xludf.DUMMYFUNCTION("""COMPUTED_VALUE"""),3)</f>
        <v>3</v>
      </c>
      <c r="Q757" s="113" t="str">
        <f ca="1">IFERROR(__xludf.DUMMYFUNCTION("""COMPUTED_VALUE"""),"https://gld.legislaturacba.gob.ar/_cdd/api/Documento/descargar?guid=533d17c3-0b0d-4e81-a8ec-90da20fb92e4&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v>
      </c>
      <c r="R757" s="113" t="str">
        <f ca="1">IFERROR(__xludf.DUMMYFUNCTION("""COMPUTED_VALUE"""),"https://www.youtube.com/watch?v=oPz1VLQY_HY")</f>
        <v>https://www.youtube.com/watch?v=oPz1VLQY_HY</v>
      </c>
      <c r="S757" s="113" t="str">
        <f ca="1">IFERROR(__xludf.DUMMYFUNCTION("""COMPUTED_VALUE"""),"https://gld.legislaturacba.gob.ar/Publics/Actas.aspx?id=wzMmH5wG9FA=")</f>
        <v>https://gld.legislaturacba.gob.ar/Publics/Actas.aspx?id=wzMmH5wG9FA=</v>
      </c>
      <c r="T757" s="99">
        <f t="shared" ca="1" si="0"/>
        <v>0</v>
      </c>
    </row>
    <row r="758" spans="1:20">
      <c r="A758" s="20">
        <f ca="1">IFERROR(__xludf.DUMMYFUNCTION("""COMPUTED_VALUE"""),52)</f>
        <v>52</v>
      </c>
      <c r="B758" s="20">
        <f ca="1">IFERROR(__xludf.DUMMYFUNCTION("""COMPUTED_VALUE"""),2023)</f>
        <v>2023</v>
      </c>
      <c r="C758" s="20" t="str">
        <f ca="1">IFERROR(__xludf.DUMMYFUNCTION("""COMPUTED_VALUE"""),"SEMIPRESENCIAL")</f>
        <v>SEMIPRESENCIAL</v>
      </c>
      <c r="D758" s="106">
        <f ca="1">IFERROR(__xludf.DUMMYFUNCTION("""COMPUTED_VALUE"""),45057)</f>
        <v>45057</v>
      </c>
      <c r="E758" s="20" t="str">
        <f ca="1">IFERROR(__xludf.DUMMYFUNCTION("""COMPUTED_VALUE"""),"SI")</f>
        <v>SI</v>
      </c>
      <c r="F758" s="20" t="str">
        <f ca="1">IFERROR(__xludf.DUMMYFUNCTION("""COMPUTED_VALUE"""),"LEGISLACIÓN GENERAL;LEGISLACIÓN DEL TRABAJO, PREVISIÓN Y SEGURIDAD SOCIAL;SALUD HUMANA")</f>
        <v>LEGISLACIÓN GENERAL;LEGISLACIÓN DEL TRABAJO, PREVISIÓN Y SEGURIDAD SOCIAL;SALUD HUMANA</v>
      </c>
      <c r="G758" s="20">
        <f ca="1">IFERROR(__xludf.DUMMYFUNCTION("""COMPUTED_VALUE"""),3)</f>
        <v>3</v>
      </c>
      <c r="H758" s="20">
        <f ca="1">IFERROR(__xludf.DUMMYFUNCTION("""COMPUTED_VALUE"""),1)</f>
        <v>1</v>
      </c>
      <c r="I758" s="20">
        <f ca="1">IFERROR(__xludf.DUMMYFUNCTION("""COMPUTED_VALUE"""),1)</f>
        <v>1</v>
      </c>
      <c r="J758" s="20" t="str">
        <f ca="1">IFERROR(__xludf.DUMMYFUNCTION("""COMPUTED_VALUE"""),"Ley")</f>
        <v>Ley</v>
      </c>
      <c r="K758" s="20">
        <f ca="1">IFERROR(__xludf.DUMMYFUNCTION("""COMPUTED_VALUE"""),37057)</f>
        <v>37057</v>
      </c>
      <c r="L758" s="20" t="str">
        <f ca="1">IFERROR(__xludf.DUMMYFUNCTION("""COMPUTED_VALUE"""),"Poder Ejecutivo Provincial")</f>
        <v>Poder Ejecutivo Provincial</v>
      </c>
      <c r="M758"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58" s="20" t="str">
        <f ca="1">IFERROR(__xludf.DUMMYFUNCTION("""COMPUTED_VALUE"""),"NO")</f>
        <v>NO</v>
      </c>
      <c r="O758" s="20" t="str">
        <f ca="1">IFERROR(__xludf.DUMMYFUNCTION("""COMPUTED_VALUE"""),"SI")</f>
        <v>SI</v>
      </c>
      <c r="P758" s="20">
        <f ca="1">IFERROR(__xludf.DUMMYFUNCTION("""COMPUTED_VALUE"""),3)</f>
        <v>3</v>
      </c>
      <c r="Q758" s="113" t="str">
        <f ca="1">IFERROR(__xludf.DUMMYFUNCTION("""COMPUTED_VALUE"""),"https://gld.legislaturacba.gob.ar/_cdd/api/Documento/descargar?guid=70143a06-8291-4865-9a0f-2aa7c67608f1&amp;token=ZP42TsOpSxg3XDd4AZoTZb1YnQlsWxEdpQOHFt44jAWa7sEFY_KcYxUIzrAsq_-aHs7h7pSUYB42pZvI5G6kJIM0h5gXVurM9obMMGrsecyToimrtuyYFwuUQr1BBF2JlPepcdN9IJSsjXrh"&amp;"0icFNF0Wgn9AMAsn4qGZ2mVhTnnAfXBRspDyHD0XNa3GAkxH_QmgZS6DrGacf-SHIs2yB-8-XkA6ojznsRfK9bD_28A_7vW6_fgraOEZ49Gy5PYh")</f>
        <v>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v>
      </c>
      <c r="R758" s="113" t="str">
        <f ca="1">IFERROR(__xludf.DUMMYFUNCTION("""COMPUTED_VALUE"""),"https://www.youtube.com/watch?v=pRmlcIL_haE")</f>
        <v>https://www.youtube.com/watch?v=pRmlcIL_haE</v>
      </c>
      <c r="S758" s="113" t="str">
        <f ca="1">IFERROR(__xludf.DUMMYFUNCTION("""COMPUTED_VALUE"""),"https://gld.legislaturacba.gob.ar/Publics/Actas.aspx?id=1qYqXjWrf3M=;https://gld.legislaturacba.gob.ar/Publics/Actas.aspx?id=M5KKACBVueM=;https://gld.legislaturacba.gob.ar/Publics/Actas.aspx?id=WH489q1hhDg=")</f>
        <v>https://gld.legislaturacba.gob.ar/Publics/Actas.aspx?id=1qYqXjWrf3M=;https://gld.legislaturacba.gob.ar/Publics/Actas.aspx?id=M5KKACBVueM=;https://gld.legislaturacba.gob.ar/Publics/Actas.aspx?id=WH489q1hhDg=</v>
      </c>
      <c r="T758" s="99">
        <f t="shared" ca="1" si="0"/>
        <v>0</v>
      </c>
    </row>
    <row r="759" spans="1:20">
      <c r="A759" s="20">
        <f ca="1">IFERROR(__xludf.DUMMYFUNCTION("""COMPUTED_VALUE"""),53)</f>
        <v>53</v>
      </c>
      <c r="B759" s="20">
        <f ca="1">IFERROR(__xludf.DUMMYFUNCTION("""COMPUTED_VALUE"""),2023)</f>
        <v>2023</v>
      </c>
      <c r="C759" s="20" t="str">
        <f ca="1">IFERROR(__xludf.DUMMYFUNCTION("""COMPUTED_VALUE"""),"SEMIPRESENCIAL")</f>
        <v>SEMIPRESENCIAL</v>
      </c>
      <c r="D759" s="106">
        <f ca="1">IFERROR(__xludf.DUMMYFUNCTION("""COMPUTED_VALUE"""),45057)</f>
        <v>45057</v>
      </c>
      <c r="E759" s="20" t="str">
        <f ca="1">IFERROR(__xludf.DUMMYFUNCTION("""COMPUTED_VALUE"""),"NO")</f>
        <v>NO</v>
      </c>
      <c r="F759" s="20" t="str">
        <f ca="1">IFERROR(__xludf.DUMMYFUNCTION("""COMPUTED_VALUE"""),"DERECHOS HUMANOS Y DESARROLLO SOCIAL")</f>
        <v>DERECHOS HUMANOS Y DESARROLLO SOCIAL</v>
      </c>
      <c r="G759" s="20">
        <f ca="1">IFERROR(__xludf.DUMMYFUNCTION("""COMPUTED_VALUE"""),1)</f>
        <v>1</v>
      </c>
      <c r="H759" s="20">
        <f ca="1">IFERROR(__xludf.DUMMYFUNCTION("""COMPUTED_VALUE"""),6)</f>
        <v>6</v>
      </c>
      <c r="I759" s="20">
        <f ca="1">IFERROR(__xludf.DUMMYFUNCTION("""COMPUTED_VALUE"""),1)</f>
        <v>1</v>
      </c>
      <c r="J759" s="20" t="str">
        <f ca="1">IFERROR(__xludf.DUMMYFUNCTION("""COMPUTED_VALUE"""),"Resolución")</f>
        <v>Resolución</v>
      </c>
      <c r="K759" s="20">
        <f ca="1">IFERROR(__xludf.DUMMYFUNCTION("""COMPUTED_VALUE"""),35624)</f>
        <v>35624</v>
      </c>
      <c r="L759" s="20" t="str">
        <f ca="1">IFERROR(__xludf.DUMMYFUNCTION("""COMPUTED_VALUE"""),"Poder Legislativo Provincial")</f>
        <v>Poder Legislativo Provincial</v>
      </c>
      <c r="M759" s="20" t="str">
        <f ca="1">IFERROR(__xludf.DUMMYFUNCTION("""COMPUTED_VALUE"""),"Solicitando al Poder Ejecutivo informe (Art. 102 C.P.) sobre diversos aspectos re-feridos al Programa Paicor")</f>
        <v>Solicitando al Poder Ejecutivo informe (Art. 102 C.P.) sobre diversos aspectos re-feridos al Programa Paicor</v>
      </c>
      <c r="N759" s="20" t="str">
        <f ca="1">IFERROR(__xludf.DUMMYFUNCTION("""COMPUTED_VALUE"""),"SI")</f>
        <v>SI</v>
      </c>
      <c r="O759" s="20" t="str">
        <f ca="1">IFERROR(__xludf.DUMMYFUNCTION("""COMPUTED_VALUE"""),"SI")</f>
        <v>SI</v>
      </c>
      <c r="P759" s="20">
        <f ca="1">IFERROR(__xludf.DUMMYFUNCTION("""COMPUTED_VALUE"""),1)</f>
        <v>1</v>
      </c>
      <c r="Q759" s="20" t="str">
        <f ca="1">IFERROR(__xludf.DUMMYFUNCTION("""COMPUTED_VALUE"""),"NA")</f>
        <v>NA</v>
      </c>
      <c r="R759" s="113" t="str">
        <f ca="1">IFERROR(__xludf.DUMMYFUNCTION("""COMPUTED_VALUE"""),"https://www.youtube.com/watch?v=Fz_DxWVNEm0")</f>
        <v>https://www.youtube.com/watch?v=Fz_DxWVNEm0</v>
      </c>
      <c r="S759" s="20" t="str">
        <f ca="1">IFERROR(__xludf.DUMMYFUNCTION("""COMPUTED_VALUE"""),"NA")</f>
        <v>NA</v>
      </c>
      <c r="T759" s="99">
        <f t="shared" ca="1" si="0"/>
        <v>1</v>
      </c>
    </row>
    <row r="760" spans="1:20">
      <c r="A760" s="20">
        <f ca="1">IFERROR(__xludf.DUMMYFUNCTION("""COMPUTED_VALUE"""),54)</f>
        <v>54</v>
      </c>
      <c r="B760" s="20">
        <f ca="1">IFERROR(__xludf.DUMMYFUNCTION("""COMPUTED_VALUE"""),2023)</f>
        <v>2023</v>
      </c>
      <c r="C760" s="20" t="str">
        <f ca="1">IFERROR(__xludf.DUMMYFUNCTION("""COMPUTED_VALUE"""),"SEMIPRESENCIAL")</f>
        <v>SEMIPRESENCIAL</v>
      </c>
      <c r="D760" s="106">
        <f ca="1">IFERROR(__xludf.DUMMYFUNCTION("""COMPUTED_VALUE"""),45062)</f>
        <v>45062</v>
      </c>
      <c r="E760" s="20" t="str">
        <f ca="1">IFERROR(__xludf.DUMMYFUNCTION("""COMPUTED_VALUE"""),"SI")</f>
        <v>SI</v>
      </c>
      <c r="F760" s="20" t="str">
        <f ca="1">IFERROR(__xludf.DUMMYFUNCTION("""COMPUTED_VALUE"""),"LEGISLACIÓN GENERAL;LEGISLACIÓN DEL TRABAJO, PREVISIÓN Y SEGURIDAD SOCIAL;SALUD HUMANA")</f>
        <v>LEGISLACIÓN GENERAL;LEGISLACIÓN DEL TRABAJO, PREVISIÓN Y SEGURIDAD SOCIAL;SALUD HUMANA</v>
      </c>
      <c r="G760" s="20">
        <f ca="1">IFERROR(__xludf.DUMMYFUNCTION("""COMPUTED_VALUE"""),3)</f>
        <v>3</v>
      </c>
      <c r="H760" s="20">
        <f ca="1">IFERROR(__xludf.DUMMYFUNCTION("""COMPUTED_VALUE"""),1)</f>
        <v>1</v>
      </c>
      <c r="I760" s="20">
        <f ca="1">IFERROR(__xludf.DUMMYFUNCTION("""COMPUTED_VALUE"""),1)</f>
        <v>1</v>
      </c>
      <c r="J760" s="20" t="str">
        <f ca="1">IFERROR(__xludf.DUMMYFUNCTION("""COMPUTED_VALUE"""),"Ley")</f>
        <v>Ley</v>
      </c>
      <c r="K760" s="20">
        <f ca="1">IFERROR(__xludf.DUMMYFUNCTION("""COMPUTED_VALUE"""),37057)</f>
        <v>37057</v>
      </c>
      <c r="L760" s="20" t="str">
        <f ca="1">IFERROR(__xludf.DUMMYFUNCTION("""COMPUTED_VALUE"""),"Poder Ejecutivo Provincial")</f>
        <v>Poder Ejecutivo Provincial</v>
      </c>
      <c r="M760"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60" s="20" t="str">
        <f ca="1">IFERROR(__xludf.DUMMYFUNCTION("""COMPUTED_VALUE"""),"NO")</f>
        <v>NO</v>
      </c>
      <c r="O760" s="20" t="str">
        <f ca="1">IFERROR(__xludf.DUMMYFUNCTION("""COMPUTED_VALUE"""),"SI")</f>
        <v>SI</v>
      </c>
      <c r="P760" s="20">
        <f ca="1">IFERROR(__xludf.DUMMYFUNCTION("""COMPUTED_VALUE"""),19)</f>
        <v>19</v>
      </c>
      <c r="Q760" s="113" t="str">
        <f ca="1">IFERROR(__xludf.DUMMYFUNCTION("""COMPUTED_VALUE"""),"https://gld.legislaturacba.gob.ar/_cdd/api/Documento/descargar?guid=b378f46f-48c7-49a3-97a0-d78488a1667e&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v>
      </c>
      <c r="R760" s="113" t="str">
        <f ca="1">IFERROR(__xludf.DUMMYFUNCTION("""COMPUTED_VALUE"""),"https://www.youtube.com/watch?v=Dkk5syaQm7s")</f>
        <v>https://www.youtube.com/watch?v=Dkk5syaQm7s</v>
      </c>
      <c r="S760" s="113" t="str">
        <f ca="1">IFERROR(__xludf.DUMMYFUNCTION("""COMPUTED_VALUE"""),"https://gld.legislaturacba.gob.ar/Publics/Actas.aspx?id=JogCi8832KI=;https://gld.legislaturacba.gob.ar/Publics/Actas.aspx?id=GR2UAU6hhcM=;https://gld.legislaturacba.gob.ar/Publics/Actas.aspx?id=RHHlKix1G3Q=")</f>
        <v>https://gld.legislaturacba.gob.ar/Publics/Actas.aspx?id=JogCi8832KI=;https://gld.legislaturacba.gob.ar/Publics/Actas.aspx?id=GR2UAU6hhcM=;https://gld.legislaturacba.gob.ar/Publics/Actas.aspx?id=RHHlKix1G3Q=</v>
      </c>
      <c r="T760" s="99">
        <f t="shared" ca="1" si="0"/>
        <v>0</v>
      </c>
    </row>
    <row r="761" spans="1:20">
      <c r="A761" s="20">
        <f ca="1">IFERROR(__xludf.DUMMYFUNCTION("""COMPUTED_VALUE"""),55)</f>
        <v>55</v>
      </c>
      <c r="B761" s="20">
        <f ca="1">IFERROR(__xludf.DUMMYFUNCTION("""COMPUTED_VALUE"""),2023)</f>
        <v>2023</v>
      </c>
      <c r="C761" s="20" t="str">
        <f ca="1">IFERROR(__xludf.DUMMYFUNCTION("""COMPUTED_VALUE"""),"SEMIPRESENCIAL")</f>
        <v>SEMIPRESENCIAL</v>
      </c>
      <c r="D761" s="106">
        <f ca="1">IFERROR(__xludf.DUMMYFUNCTION("""COMPUTED_VALUE"""),45062)</f>
        <v>45062</v>
      </c>
      <c r="E761" s="20" t="str">
        <f ca="1">IFERROR(__xludf.DUMMYFUNCTION("""COMPUTED_VALUE"""),"NO")</f>
        <v>NO</v>
      </c>
      <c r="F761" s="20" t="str">
        <f ca="1">IFERROR(__xludf.DUMMYFUNCTION("""COMPUTED_VALUE"""),"LEGISLACIÓN DEL TRABAJO, PREVISIÓN Y SEGURIDAD SOCIAL")</f>
        <v>LEGISLACIÓN DEL TRABAJO, PREVISIÓN Y SEGURIDAD SOCIAL</v>
      </c>
      <c r="G761" s="20">
        <f ca="1">IFERROR(__xludf.DUMMYFUNCTION("""COMPUTED_VALUE"""),1)</f>
        <v>1</v>
      </c>
      <c r="H761" s="20">
        <f ca="1">IFERROR(__xludf.DUMMYFUNCTION("""COMPUTED_VALUE"""),1)</f>
        <v>1</v>
      </c>
      <c r="I761" s="20">
        <f ca="1">IFERROR(__xludf.DUMMYFUNCTION("""COMPUTED_VALUE"""),1)</f>
        <v>1</v>
      </c>
      <c r="J761" s="20" t="str">
        <f ca="1">IFERROR(__xludf.DUMMYFUNCTION("""COMPUTED_VALUE"""),"NA")</f>
        <v>NA</v>
      </c>
      <c r="K761" s="20" t="str">
        <f ca="1">IFERROR(__xludf.DUMMYFUNCTION("""COMPUTED_VALUE"""),"NA")</f>
        <v>NA</v>
      </c>
      <c r="L761" s="20" t="str">
        <f ca="1">IFERROR(__xludf.DUMMYFUNCTION("""COMPUTED_VALUE"""),"NA")</f>
        <v>NA</v>
      </c>
      <c r="M761" s="20" t="str">
        <f ca="1">IFERROR(__xludf.DUMMYFUNCTION("""COMPUTED_VALUE"""),"Situación de los trabajadores de la empresa BAGLEY Córdoba")</f>
        <v>Situación de los trabajadores de la empresa BAGLEY Córdoba</v>
      </c>
      <c r="N761" s="20" t="str">
        <f ca="1">IFERROR(__xludf.DUMMYFUNCTION("""COMPUTED_VALUE"""),"NA")</f>
        <v>NA</v>
      </c>
      <c r="O761" s="20" t="str">
        <f ca="1">IFERROR(__xludf.DUMMYFUNCTION("""COMPUTED_VALUE"""),"SI")</f>
        <v>SI</v>
      </c>
      <c r="P761" s="20">
        <f ca="1">IFERROR(__xludf.DUMMYFUNCTION("""COMPUTED_VALUE"""),1)</f>
        <v>1</v>
      </c>
      <c r="Q761" s="113" t="str">
        <f ca="1">IFERROR(__xludf.DUMMYFUNCTION("""COMPUTED_VALUE"""),"https://gld.legislaturacba.gob.ar/_cdd/api/Documento/descargar?guid=7f65a44c-fd34-4e73-9cca-0c99af227316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v>
      </c>
      <c r="R761" s="113" t="str">
        <f ca="1">IFERROR(__xludf.DUMMYFUNCTION("""COMPUTED_VALUE"""),"https://www.youtube.com/watch?v=Dkk5syaQm7s")</f>
        <v>https://www.youtube.com/watch?v=Dkk5syaQm7s</v>
      </c>
      <c r="S761" s="113" t="str">
        <f ca="1">IFERROR(__xludf.DUMMYFUNCTION("""COMPUTED_VALUE"""),"https://gld.legislaturacba.gob.ar/Publics/Actas.aspx?id=hTNrwCIyGW8=")</f>
        <v>https://gld.legislaturacba.gob.ar/Publics/Actas.aspx?id=hTNrwCIyGW8=</v>
      </c>
      <c r="T761" s="99">
        <f t="shared" ca="1" si="0"/>
        <v>0</v>
      </c>
    </row>
    <row r="762" spans="1:20">
      <c r="A762" s="20">
        <f ca="1">IFERROR(__xludf.DUMMYFUNCTION("""COMPUTED_VALUE"""),56)</f>
        <v>56</v>
      </c>
      <c r="B762" s="20">
        <f ca="1">IFERROR(__xludf.DUMMYFUNCTION("""COMPUTED_VALUE"""),2023)</f>
        <v>2023</v>
      </c>
      <c r="C762" s="20" t="str">
        <f ca="1">IFERROR(__xludf.DUMMYFUNCTION("""COMPUTED_VALUE"""),"PRESENCIAL")</f>
        <v>PRESENCIAL</v>
      </c>
      <c r="D762" s="106">
        <f ca="1">IFERROR(__xludf.DUMMYFUNCTION("""COMPUTED_VALUE"""),45062)</f>
        <v>45062</v>
      </c>
      <c r="E762" s="20" t="str">
        <f ca="1">IFERROR(__xludf.DUMMYFUNCTION("""COMPUTED_VALUE"""),"SI")</f>
        <v>SI</v>
      </c>
      <c r="F762" s="20" t="str">
        <f ca="1">IFERROR(__xludf.DUMMYFUNCTION("""COMPUTED_VALUE"""),"SALUD HUMANA;DERECHOS HUMANOS Y DESARROLLO SOCIAL;DEPORTES Y RECREACIÓN")</f>
        <v>SALUD HUMANA;DERECHOS HUMANOS Y DESARROLLO SOCIAL;DEPORTES Y RECREACIÓN</v>
      </c>
      <c r="G762" s="20">
        <f ca="1">IFERROR(__xludf.DUMMYFUNCTION("""COMPUTED_VALUE"""),3)</f>
        <v>3</v>
      </c>
      <c r="H762" s="20">
        <f ca="1">IFERROR(__xludf.DUMMYFUNCTION("""COMPUTED_VALUE"""),1)</f>
        <v>1</v>
      </c>
      <c r="I762" s="20">
        <f ca="1">IFERROR(__xludf.DUMMYFUNCTION("""COMPUTED_VALUE"""),1)</f>
        <v>1</v>
      </c>
      <c r="J762" s="20" t="str">
        <f ca="1">IFERROR(__xludf.DUMMYFUNCTION("""COMPUTED_VALUE"""),"NA")</f>
        <v>NA</v>
      </c>
      <c r="K762" s="20" t="str">
        <f ca="1">IFERROR(__xludf.DUMMYFUNCTION("""COMPUTED_VALUE"""),"NA")</f>
        <v>NA</v>
      </c>
      <c r="L762" s="20" t="str">
        <f ca="1">IFERROR(__xludf.DUMMYFUNCTION("""COMPUTED_VALUE"""),"NA")</f>
        <v>NA</v>
      </c>
      <c r="M762" s="20" t="str">
        <f ca="1">IFERROR(__xludf.DUMMYFUNCTION("""COMPUTED_VALUE"""),"Visita a la Escuela de Tenis ""Sin Límites"" -tenis adaptado- del Córdoba Lawn Tenis Club (Concepción Arenal 299 - Parque Sarmiento). ")</f>
        <v xml:space="preserve">Visita a la Escuela de Tenis "Sin Límites" -tenis adaptado- del Córdoba Lawn Tenis Club (Concepción Arenal 299 - Parque Sarmiento). </v>
      </c>
      <c r="N762" s="20" t="str">
        <f ca="1">IFERROR(__xludf.DUMMYFUNCTION("""COMPUTED_VALUE"""),"NA")</f>
        <v>NA</v>
      </c>
      <c r="O762" s="20" t="str">
        <f ca="1">IFERROR(__xludf.DUMMYFUNCTION("""COMPUTED_VALUE"""),"NO")</f>
        <v>NO</v>
      </c>
      <c r="P762" s="20">
        <f ca="1">IFERROR(__xludf.DUMMYFUNCTION("""COMPUTED_VALUE"""),0)</f>
        <v>0</v>
      </c>
      <c r="Q762" s="20" t="str">
        <f ca="1">IFERROR(__xludf.DUMMYFUNCTION("""COMPUTED_VALUE"""),"NA")</f>
        <v>NA</v>
      </c>
      <c r="R762" s="20" t="str">
        <f ca="1">IFERROR(__xludf.DUMMYFUNCTION("""COMPUTED_VALUE"""),"NA")</f>
        <v>NA</v>
      </c>
      <c r="S762" s="113" t="str">
        <f ca="1">IFERROR(__xludf.DUMMYFUNCTION("""COMPUTED_VALUE"""),"https://gld.legislaturacba.gob.ar/Publics/Actas.aspx?id=7qijYLHbHtk=;NA;https://gld.legislaturacba.gob.ar/Publics/Actas.aspx?id=LXI1h9zoY44=")</f>
        <v>https://gld.legislaturacba.gob.ar/Publics/Actas.aspx?id=7qijYLHbHtk=;NA;https://gld.legislaturacba.gob.ar/Publics/Actas.aspx?id=LXI1h9zoY44=</v>
      </c>
      <c r="T762" s="99">
        <f t="shared" ca="1" si="0"/>
        <v>1</v>
      </c>
    </row>
    <row r="763" spans="1:20">
      <c r="A763" s="20">
        <f ca="1">IFERROR(__xludf.DUMMYFUNCTION("""COMPUTED_VALUE"""),57)</f>
        <v>57</v>
      </c>
      <c r="B763" s="20">
        <f ca="1">IFERROR(__xludf.DUMMYFUNCTION("""COMPUTED_VALUE"""),2023)</f>
        <v>2023</v>
      </c>
      <c r="C763" s="20" t="str">
        <f ca="1">IFERROR(__xludf.DUMMYFUNCTION("""COMPUTED_VALUE"""),"SEMIPRESENCIAL")</f>
        <v>SEMIPRESENCIAL</v>
      </c>
      <c r="D763" s="106">
        <f ca="1">IFERROR(__xludf.DUMMYFUNCTION("""COMPUTED_VALUE"""),45063)</f>
        <v>45063</v>
      </c>
      <c r="E763" s="20" t="str">
        <f ca="1">IFERROR(__xludf.DUMMYFUNCTION("""COMPUTED_VALUE"""),"SI")</f>
        <v>SI</v>
      </c>
      <c r="F763" s="20" t="str">
        <f ca="1">IFERROR(__xludf.DUMMYFUNCTION("""COMPUTED_VALUE"""),"LEGISLACIÓN GENERAL;LEGISLACIÓN DEL TRABAJO, PREVISIÓN Y SEGURIDAD SOCIAL;SALUD HUMANA")</f>
        <v>LEGISLACIÓN GENERAL;LEGISLACIÓN DEL TRABAJO, PREVISIÓN Y SEGURIDAD SOCIAL;SALUD HUMANA</v>
      </c>
      <c r="G763" s="20">
        <f ca="1">IFERROR(__xludf.DUMMYFUNCTION("""COMPUTED_VALUE"""),3)</f>
        <v>3</v>
      </c>
      <c r="H763" s="20">
        <f ca="1">IFERROR(__xludf.DUMMYFUNCTION("""COMPUTED_VALUE"""),1)</f>
        <v>1</v>
      </c>
      <c r="I763" s="20">
        <f ca="1">IFERROR(__xludf.DUMMYFUNCTION("""COMPUTED_VALUE"""),1)</f>
        <v>1</v>
      </c>
      <c r="J763" s="20" t="str">
        <f ca="1">IFERROR(__xludf.DUMMYFUNCTION("""COMPUTED_VALUE"""),"Ley")</f>
        <v>Ley</v>
      </c>
      <c r="K763" s="20">
        <f ca="1">IFERROR(__xludf.DUMMYFUNCTION("""COMPUTED_VALUE"""),37057)</f>
        <v>37057</v>
      </c>
      <c r="L763" s="20" t="str">
        <f ca="1">IFERROR(__xludf.DUMMYFUNCTION("""COMPUTED_VALUE"""),"Poder Ejecutivo Provincial")</f>
        <v>Poder Ejecutivo Provincial</v>
      </c>
      <c r="M763" s="20" t="str">
        <f ca="1">IFERROR(__xludf.DUMMYFUNCTION("""COMPUTED_VALUE"""),"Modificando los artículos 1°, 2°, 19, 35, 35 Bis y 107 y derogando el artículo 24 de la Ley N° 7625, Régimen del Personal que integra el Equipo de Salud Humana.  ")</f>
        <v xml:space="preserve">Modificando los artículos 1°, 2°, 19, 35, 35 Bis y 107 y derogando el artículo 24 de la Ley N° 7625, Régimen del Personal que integra el Equipo de Salud Humana.  </v>
      </c>
      <c r="N763" s="20" t="str">
        <f ca="1">IFERROR(__xludf.DUMMYFUNCTION("""COMPUTED_VALUE"""),"SI")</f>
        <v>SI</v>
      </c>
      <c r="O763" s="20" t="str">
        <f ca="1">IFERROR(__xludf.DUMMYFUNCTION("""COMPUTED_VALUE"""),"NO")</f>
        <v>NO</v>
      </c>
      <c r="P763" s="20">
        <f ca="1">IFERROR(__xludf.DUMMYFUNCTION("""COMPUTED_VALUE"""),0)</f>
        <v>0</v>
      </c>
      <c r="Q763" s="113" t="str">
        <f ca="1">IFERROR(__xludf.DUMMYFUNCTION("""COMPUTED_VALUE"""),"https://gld.legislaturacba.gob.ar/_cdd/api/Documento/descargar?guid=6c180e59-0c8b-4658-98bd-651d27ca36d9&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v>
      </c>
      <c r="R763" s="113" t="str">
        <f ca="1">IFERROR(__xludf.DUMMYFUNCTION("""COMPUTED_VALUE"""),"https://www.youtube.com/watch?v=cPfcQbDAMXQ")</f>
        <v>https://www.youtube.com/watch?v=cPfcQbDAMXQ</v>
      </c>
      <c r="S763" s="113" t="str">
        <f ca="1">IFERROR(__xludf.DUMMYFUNCTION("""COMPUTED_VALUE"""),"https://gld.legislaturacba.gob.ar/Publics/Actas.aspx?id=4_2MUNai5ro=;https://gld.legislaturacba.gob.ar/Publics/Actas.aspx?id=DhhOQNr1ljM=;https://gld.legislaturacba.gob.ar/Publics/Actas.aspx?id=HsyMNzMnh7M=")</f>
        <v>https://gld.legislaturacba.gob.ar/Publics/Actas.aspx?id=4_2MUNai5ro=;https://gld.legislaturacba.gob.ar/Publics/Actas.aspx?id=DhhOQNr1ljM=;https://gld.legislaturacba.gob.ar/Publics/Actas.aspx?id=HsyMNzMnh7M=</v>
      </c>
      <c r="T763" s="99">
        <f t="shared" ca="1" si="0"/>
        <v>0</v>
      </c>
    </row>
    <row r="764" spans="1:20">
      <c r="A764" s="20">
        <f ca="1">IFERROR(__xludf.DUMMYFUNCTION("""COMPUTED_VALUE"""),58)</f>
        <v>58</v>
      </c>
      <c r="B764" s="20">
        <f ca="1">IFERROR(__xludf.DUMMYFUNCTION("""COMPUTED_VALUE"""),2023)</f>
        <v>2023</v>
      </c>
      <c r="C764" s="20" t="str">
        <f ca="1">IFERROR(__xludf.DUMMYFUNCTION("""COMPUTED_VALUE"""),"VIRTUAL")</f>
        <v>VIRTUAL</v>
      </c>
      <c r="D764" s="106">
        <f ca="1">IFERROR(__xludf.DUMMYFUNCTION("""COMPUTED_VALUE"""),45064)</f>
        <v>45064</v>
      </c>
      <c r="E764" s="20" t="str">
        <f ca="1">IFERROR(__xludf.DUMMYFUNCTION("""COMPUTED_VALUE"""),"NO")</f>
        <v>NO</v>
      </c>
      <c r="F764" s="20" t="str">
        <f ca="1">IFERROR(__xludf.DUMMYFUNCTION("""COMPUTED_VALUE"""),"ASUNTOS INSTITUCIONALES, MUNICIPALES Y COMUNALES")</f>
        <v>ASUNTOS INSTITUCIONALES, MUNICIPALES Y COMUNALES</v>
      </c>
      <c r="G764" s="20">
        <f ca="1">IFERROR(__xludf.DUMMYFUNCTION("""COMPUTED_VALUE"""),1)</f>
        <v>1</v>
      </c>
      <c r="H764" s="20">
        <f ca="1">IFERROR(__xludf.DUMMYFUNCTION("""COMPUTED_VALUE"""),2)</f>
        <v>2</v>
      </c>
      <c r="I764" s="20">
        <f ca="1">IFERROR(__xludf.DUMMYFUNCTION("""COMPUTED_VALUE"""),1)</f>
        <v>1</v>
      </c>
      <c r="J764" s="20" t="str">
        <f ca="1">IFERROR(__xludf.DUMMYFUNCTION("""COMPUTED_VALUE"""),"Ley")</f>
        <v>Ley</v>
      </c>
      <c r="K764" s="20">
        <f ca="1">IFERROR(__xludf.DUMMYFUNCTION("""COMPUTED_VALUE"""),37316)</f>
        <v>37316</v>
      </c>
      <c r="L764" s="20" t="str">
        <f ca="1">IFERROR(__xludf.DUMMYFUNCTION("""COMPUTED_VALUE"""),"Poder Ejecutivo Provincial")</f>
        <v>Poder Ejecutivo Provincial</v>
      </c>
      <c r="M764" s="20" t="str">
        <f ca="1">IFERROR(__xludf.DUMMYFUNCTION("""COMPUTED_VALUE"""),"Modificando el radio comunal de la localidad de Pacheco de Melo, Dpto. Juá-rez Celman.")</f>
        <v>Modificando el radio comunal de la localidad de Pacheco de Melo, Dpto. Juá-rez Celman.</v>
      </c>
      <c r="N764" s="20" t="str">
        <f ca="1">IFERROR(__xludf.DUMMYFUNCTION("""COMPUTED_VALUE"""),"SI")</f>
        <v>SI</v>
      </c>
      <c r="O764" s="20" t="str">
        <f ca="1">IFERROR(__xludf.DUMMYFUNCTION("""COMPUTED_VALUE"""),"SI")</f>
        <v>SI</v>
      </c>
      <c r="P764" s="20">
        <f ca="1">IFERROR(__xludf.DUMMYFUNCTION("""COMPUTED_VALUE"""),2)</f>
        <v>2</v>
      </c>
      <c r="Q764" s="113" t="str">
        <f ca="1">IFERROR(__xludf.DUMMYFUNCTION("""COMPUTED_VALUE"""),"https://gld.legislaturacba.gob.ar/_cdd/api/Documento/descargar?guid=cea286d1-5e6f-4f05-83d2-54a1a6b555a5&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v>
      </c>
      <c r="R764" s="113" t="str">
        <f ca="1">IFERROR(__xludf.DUMMYFUNCTION("""COMPUTED_VALUE"""),"https://www.youtube.com/watch?v=ZHvaRIWNx1A")</f>
        <v>https://www.youtube.com/watch?v=ZHvaRIWNx1A</v>
      </c>
      <c r="S764" s="113" t="str">
        <f ca="1">IFERROR(__xludf.DUMMYFUNCTION("""COMPUTED_VALUE"""),"https://gld.legislaturacba.gob.ar/Publics/Actas.aspx?id=aqoyc-_D1kw=")</f>
        <v>https://gld.legislaturacba.gob.ar/Publics/Actas.aspx?id=aqoyc-_D1kw=</v>
      </c>
      <c r="T764" s="99">
        <f t="shared" ca="1" si="0"/>
        <v>0</v>
      </c>
    </row>
    <row r="765" spans="1:20">
      <c r="A765" s="20">
        <f ca="1">IFERROR(__xludf.DUMMYFUNCTION("""COMPUTED_VALUE"""),59)</f>
        <v>59</v>
      </c>
      <c r="B765" s="20">
        <f ca="1">IFERROR(__xludf.DUMMYFUNCTION("""COMPUTED_VALUE"""),2023)</f>
        <v>2023</v>
      </c>
      <c r="C765" s="20" t="str">
        <f ca="1">IFERROR(__xludf.DUMMYFUNCTION("""COMPUTED_VALUE"""),"PRESENCIAL")</f>
        <v>PRESENCIAL</v>
      </c>
      <c r="D765" s="106">
        <f ca="1">IFERROR(__xludf.DUMMYFUNCTION("""COMPUTED_VALUE"""),45064)</f>
        <v>45064</v>
      </c>
      <c r="E765" s="20" t="str">
        <f ca="1">IFERROR(__xludf.DUMMYFUNCTION("""COMPUTED_VALUE"""),"SI")</f>
        <v>SI</v>
      </c>
      <c r="F765" s="20" t="str">
        <f ca="1">IFERROR(__xludf.DUMMYFUNCTION("""COMPUTED_VALUE"""),"SALUD HUMANA;DERECHOS HUMANOS Y DESARROLLO SOCIAL")</f>
        <v>SALUD HUMANA;DERECHOS HUMANOS Y DESARROLLO SOCIAL</v>
      </c>
      <c r="G765" s="20">
        <f ca="1">IFERROR(__xludf.DUMMYFUNCTION("""COMPUTED_VALUE"""),2)</f>
        <v>2</v>
      </c>
      <c r="H765" s="20">
        <f ca="1">IFERROR(__xludf.DUMMYFUNCTION("""COMPUTED_VALUE"""),1)</f>
        <v>1</v>
      </c>
      <c r="I765" s="20">
        <f ca="1">IFERROR(__xludf.DUMMYFUNCTION("""COMPUTED_VALUE"""),1)</f>
        <v>1</v>
      </c>
      <c r="J765" s="20" t="str">
        <f ca="1">IFERROR(__xludf.DUMMYFUNCTION("""COMPUTED_VALUE"""),"NA")</f>
        <v>NA</v>
      </c>
      <c r="K765" s="20" t="str">
        <f ca="1">IFERROR(__xludf.DUMMYFUNCTION("""COMPUTED_VALUE"""),"NA")</f>
        <v>NA</v>
      </c>
      <c r="L765" s="20" t="str">
        <f ca="1">IFERROR(__xludf.DUMMYFUNCTION("""COMPUTED_VALUE"""),"NA")</f>
        <v>NA</v>
      </c>
      <c r="M765" s="20" t="str">
        <f ca="1">IFERROR(__xludf.DUMMYFUNCTION("""COMPUTED_VALUE"""),"Jornada de Sensibilización sobre la Ley Provincial N° 10.728 “Córdoba Inclu-siva”.")</f>
        <v>Jornada de Sensibilización sobre la Ley Provincial N° 10.728 “Córdoba Inclu-siva”.</v>
      </c>
      <c r="N765" s="20" t="str">
        <f ca="1">IFERROR(__xludf.DUMMYFUNCTION("""COMPUTED_VALUE"""),"NA")</f>
        <v>NA</v>
      </c>
      <c r="O765" s="20" t="str">
        <f ca="1">IFERROR(__xludf.DUMMYFUNCTION("""COMPUTED_VALUE"""),"SI")</f>
        <v>SI</v>
      </c>
      <c r="P765" s="20">
        <f ca="1">IFERROR(__xludf.DUMMYFUNCTION("""COMPUTED_VALUE"""),3)</f>
        <v>3</v>
      </c>
      <c r="Q765" s="20" t="str">
        <f ca="1">IFERROR(__xludf.DUMMYFUNCTION("""COMPUTED_VALUE"""),"NA")</f>
        <v>NA</v>
      </c>
      <c r="R765" s="20" t="str">
        <f ca="1">IFERROR(__xludf.DUMMYFUNCTION("""COMPUTED_VALUE"""),"NA")</f>
        <v>NA</v>
      </c>
      <c r="S765" s="113" t="str">
        <f ca="1">IFERROR(__xludf.DUMMYFUNCTION("""COMPUTED_VALUE"""),"https://gld.legislaturacba.gob.ar/Publics/Actas.aspx?id=6mBtBdMW8F0=;NA")</f>
        <v>https://gld.legislaturacba.gob.ar/Publics/Actas.aspx?id=6mBtBdMW8F0=;NA</v>
      </c>
      <c r="T765" s="99">
        <f t="shared" ca="1" si="0"/>
        <v>1</v>
      </c>
    </row>
    <row r="766" spans="1:20">
      <c r="A766" s="20">
        <f ca="1">IFERROR(__xludf.DUMMYFUNCTION("""COMPUTED_VALUE"""),60)</f>
        <v>60</v>
      </c>
      <c r="B766" s="20">
        <f ca="1">IFERROR(__xludf.DUMMYFUNCTION("""COMPUTED_VALUE"""),2023)</f>
        <v>2023</v>
      </c>
      <c r="C766" s="20" t="str">
        <f ca="1">IFERROR(__xludf.DUMMYFUNCTION("""COMPUTED_VALUE"""),"VIRTUAL")</f>
        <v>VIRTUAL</v>
      </c>
      <c r="D766" s="106">
        <f ca="1">IFERROR(__xludf.DUMMYFUNCTION("""COMPUTED_VALUE"""),45069)</f>
        <v>45069</v>
      </c>
      <c r="E766" s="20" t="str">
        <f ca="1">IFERROR(__xludf.DUMMYFUNCTION("""COMPUTED_VALUE"""),"NO")</f>
        <v>NO</v>
      </c>
      <c r="F766" s="20" t="str">
        <f ca="1">IFERROR(__xludf.DUMMYFUNCTION("""COMPUTED_VALUE"""),"LEGISLACIÓN GENERAL")</f>
        <v>LEGISLACIÓN GENERAL</v>
      </c>
      <c r="G766" s="20">
        <f ca="1">IFERROR(__xludf.DUMMYFUNCTION("""COMPUTED_VALUE"""),1)</f>
        <v>1</v>
      </c>
      <c r="H766" s="20">
        <f ca="1">IFERROR(__xludf.DUMMYFUNCTION("""COMPUTED_VALUE"""),7)</f>
        <v>7</v>
      </c>
      <c r="I766" s="20">
        <f ca="1">IFERROR(__xludf.DUMMYFUNCTION("""COMPUTED_VALUE"""),1)</f>
        <v>1</v>
      </c>
      <c r="J766" s="20" t="str">
        <f ca="1">IFERROR(__xludf.DUMMYFUNCTION("""COMPUTED_VALUE"""),"Ley")</f>
        <v>Ley</v>
      </c>
      <c r="K766" s="20">
        <f ca="1">IFERROR(__xludf.DUMMYFUNCTION("""COMPUTED_VALUE"""),37315)</f>
        <v>37315</v>
      </c>
      <c r="L766" s="20" t="str">
        <f ca="1">IFERROR(__xludf.DUMMYFUNCTION("""COMPUTED_VALUE"""),"Poder Ejecutivo Provincial")</f>
        <v>Poder Ejecutivo Provincial</v>
      </c>
      <c r="M766" s="20" t="str">
        <f ca="1">IFERROR(__xludf.DUMMYFUNCTION("""COMPUTED_VALUE"""),"Modificando el artículo 32 de la Ley Nº 8802, referido a las atribuciones del Gobernador en la remisión de pliegos de aspirantes a cargos de Magistrados y Funcionarios del Poder Judicial.")</f>
        <v>Modificando el artículo 32 de la Ley Nº 8802, referido a las atribuciones del Gobernador en la remisión de pliegos de aspirantes a cargos de Magistrados y Funcionarios del Poder Judicial.</v>
      </c>
      <c r="N766" s="20" t="str">
        <f ca="1">IFERROR(__xludf.DUMMYFUNCTION("""COMPUTED_VALUE"""),"NO")</f>
        <v>NO</v>
      </c>
      <c r="O766" s="20" t="str">
        <f ca="1">IFERROR(__xludf.DUMMYFUNCTION("""COMPUTED_VALUE"""),"NO")</f>
        <v>NO</v>
      </c>
      <c r="P766" s="20">
        <f ca="1">IFERROR(__xludf.DUMMYFUNCTION("""COMPUTED_VALUE"""),0)</f>
        <v>0</v>
      </c>
      <c r="Q766" s="113" t="str">
        <f ca="1">IFERROR(__xludf.DUMMYFUNCTION("""COMPUTED_VALUE"""),"https://gld.legislaturacba.gob.ar/_cdd/api/Documento/descargar?guid=c27f23c7-ee2a-48ad-ac42-07f40b3bfc5c&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v>
      </c>
      <c r="R766" s="113" t="str">
        <f ca="1">IFERROR(__xludf.DUMMYFUNCTION("""COMPUTED_VALUE"""),"https://www.youtube.com/watch?v=1SYL1SHERdo")</f>
        <v>https://www.youtube.com/watch?v=1SYL1SHERdo</v>
      </c>
      <c r="S766" s="113" t="str">
        <f ca="1">IFERROR(__xludf.DUMMYFUNCTION("""COMPUTED_VALUE"""),"https://gld.legislaturacba.gob.ar/Publics/Actas.aspx?id=UqsHMMQwe0c=")</f>
        <v>https://gld.legislaturacba.gob.ar/Publics/Actas.aspx?id=UqsHMMQwe0c=</v>
      </c>
      <c r="T766" s="99">
        <f t="shared" ca="1" si="0"/>
        <v>0</v>
      </c>
    </row>
    <row r="767" spans="1:20">
      <c r="A767" s="20">
        <f ca="1">IFERROR(__xludf.DUMMYFUNCTION("""COMPUTED_VALUE"""),61)</f>
        <v>61</v>
      </c>
      <c r="B767" s="20">
        <f ca="1">IFERROR(__xludf.DUMMYFUNCTION("""COMPUTED_VALUE"""),2023)</f>
        <v>2023</v>
      </c>
      <c r="C767" s="20" t="str">
        <f ca="1">IFERROR(__xludf.DUMMYFUNCTION("""COMPUTED_VALUE"""),"VIRTUAL")</f>
        <v>VIRTUAL</v>
      </c>
      <c r="D767" s="106">
        <f ca="1">IFERROR(__xludf.DUMMYFUNCTION("""COMPUTED_VALUE"""),45069)</f>
        <v>45069</v>
      </c>
      <c r="E767" s="20" t="str">
        <f ca="1">IFERROR(__xludf.DUMMYFUNCTION("""COMPUTED_VALUE"""),"NO")</f>
        <v>NO</v>
      </c>
      <c r="F767" s="20" t="str">
        <f ca="1">IFERROR(__xludf.DUMMYFUNCTION("""COMPUTED_VALUE"""),"SALUD HUMANA")</f>
        <v>SALUD HUMANA</v>
      </c>
      <c r="G767" s="20">
        <f ca="1">IFERROR(__xludf.DUMMYFUNCTION("""COMPUTED_VALUE"""),1)</f>
        <v>1</v>
      </c>
      <c r="H767" s="20">
        <f ca="1">IFERROR(__xludf.DUMMYFUNCTION("""COMPUTED_VALUE"""),8)</f>
        <v>8</v>
      </c>
      <c r="I767" s="20">
        <f ca="1">IFERROR(__xludf.DUMMYFUNCTION("""COMPUTED_VALUE"""),1)</f>
        <v>1</v>
      </c>
      <c r="J767" s="20" t="str">
        <f ca="1">IFERROR(__xludf.DUMMYFUNCTION("""COMPUTED_VALUE"""),"Ley")</f>
        <v>Ley</v>
      </c>
      <c r="K767" s="20">
        <f ca="1">IFERROR(__xludf.DUMMYFUNCTION("""COMPUTED_VALUE"""),37317)</f>
        <v>37317</v>
      </c>
      <c r="L767" s="20" t="str">
        <f ca="1">IFERROR(__xludf.DUMMYFUNCTION("""COMPUTED_VALUE"""),"Poder Ejecutivo Provincial")</f>
        <v>Poder Ejecutivo Provincial</v>
      </c>
      <c r="M767" s="20" t="str">
        <f ca="1">IFERROR(__xludf.DUMMYFUNCTION("""COMPUTED_VALUE"""),"Adhiriendo la provincia a la Ley Nacional N° 27674, Creación del Régimen de Protección Integral del Niño, Niña y Adolescente con Cáncer. ")</f>
        <v xml:space="preserve">Adhiriendo la provincia a la Ley Nacional N° 27674, Creación del Régimen de Protección Integral del Niño, Niña y Adolescente con Cáncer. </v>
      </c>
      <c r="N767" s="20" t="str">
        <f ca="1">IFERROR(__xludf.DUMMYFUNCTION("""COMPUTED_VALUE"""),"NO")</f>
        <v>NO</v>
      </c>
      <c r="O767" s="20" t="str">
        <f ca="1">IFERROR(__xludf.DUMMYFUNCTION("""COMPUTED_VALUE"""),"NO")</f>
        <v>NO</v>
      </c>
      <c r="P767" s="20">
        <f ca="1">IFERROR(__xludf.DUMMYFUNCTION("""COMPUTED_VALUE"""),0)</f>
        <v>0</v>
      </c>
      <c r="Q767" s="20" t="str">
        <f ca="1">IFERROR(__xludf.DUMMYFUNCTION("""COMPUTED_VALUE"""),"NA")</f>
        <v>NA</v>
      </c>
      <c r="R767" s="113" t="str">
        <f ca="1">IFERROR(__xludf.DUMMYFUNCTION("""COMPUTED_VALUE"""),"https://www.youtube.com/watch?v=-ZPNsYFFtjc")</f>
        <v>https://www.youtube.com/watch?v=-ZPNsYFFtjc</v>
      </c>
      <c r="S767" s="113" t="str">
        <f ca="1">IFERROR(__xludf.DUMMYFUNCTION("""COMPUTED_VALUE"""),"https://gld.legislaturacba.gob.ar/Publics/Actas.aspx?id=BIuBmm8Xvcc=")</f>
        <v>https://gld.legislaturacba.gob.ar/Publics/Actas.aspx?id=BIuBmm8Xvcc=</v>
      </c>
      <c r="T767" s="99">
        <f t="shared" ca="1" si="0"/>
        <v>0</v>
      </c>
    </row>
    <row r="768" spans="1:20">
      <c r="A768" s="20">
        <f ca="1">IFERROR(__xludf.DUMMYFUNCTION("""COMPUTED_VALUE"""),62)</f>
        <v>62</v>
      </c>
      <c r="B768" s="20">
        <f ca="1">IFERROR(__xludf.DUMMYFUNCTION("""COMPUTED_VALUE"""),2023)</f>
        <v>2023</v>
      </c>
      <c r="C768" s="20" t="str">
        <f ca="1">IFERROR(__xludf.DUMMYFUNCTION("""COMPUTED_VALUE"""),"VIRTUAL")</f>
        <v>VIRTUAL</v>
      </c>
      <c r="D768" s="106">
        <f ca="1">IFERROR(__xludf.DUMMYFUNCTION("""COMPUTED_VALUE"""),45069)</f>
        <v>45069</v>
      </c>
      <c r="E768" s="20" t="str">
        <f ca="1">IFERROR(__xludf.DUMMYFUNCTION("""COMPUTED_VALUE"""),"NO")</f>
        <v>NO</v>
      </c>
      <c r="F768" s="20" t="str">
        <f ca="1">IFERROR(__xludf.DUMMYFUNCTION("""COMPUTED_VALUE"""),"ECONOMÍA, PRESUPUESTO, GESTIÓN PÚBLICA E INNOVACIÓN")</f>
        <v>ECONOMÍA, PRESUPUESTO, GESTIÓN PÚBLICA E INNOVACIÓN</v>
      </c>
      <c r="G768" s="20">
        <f ca="1">IFERROR(__xludf.DUMMYFUNCTION("""COMPUTED_VALUE"""),1)</f>
        <v>1</v>
      </c>
      <c r="H768" s="20">
        <f ca="1">IFERROR(__xludf.DUMMYFUNCTION("""COMPUTED_VALUE"""),1)</f>
        <v>1</v>
      </c>
      <c r="I768" s="20">
        <f ca="1">IFERROR(__xludf.DUMMYFUNCTION("""COMPUTED_VALUE"""),1)</f>
        <v>1</v>
      </c>
      <c r="J768" s="20" t="str">
        <f ca="1">IFERROR(__xludf.DUMMYFUNCTION("""COMPUTED_VALUE"""),"Ley")</f>
        <v>Ley</v>
      </c>
      <c r="K768" s="20">
        <f ca="1">IFERROR(__xludf.DUMMYFUNCTION("""COMPUTED_VALUE"""),37352)</f>
        <v>37352</v>
      </c>
      <c r="L768" s="20" t="str">
        <f ca="1">IFERROR(__xludf.DUMMYFUNCTION("""COMPUTED_VALUE"""),"Poder Ejecutivo Provincial")</f>
        <v>Poder Ejecutivo Provincial</v>
      </c>
      <c r="M768" s="20" t="str">
        <f ca="1">IFERROR(__xludf.DUMMYFUNCTION("""COMPUTED_VALUE"""),"Ratificando el Decreto N° 369, que aprueba el Convenio Ampliatorio al Con-venio Marco 2022, destinado a dar cumplimiento al Programa Anual de Es-tadística 2022, celebrado entre el Instituto Nacional de Estadísticas y Censos y el Gobierno de Córdoba.")</f>
        <v>Ratificando el Decreto N° 369, que aprueba el Convenio Ampliatorio al Con-venio Marco 2022, destinado a dar cumplimiento al Programa Anual de Es-tadística 2022, celebrado entre el Instituto Nacional de Estadísticas y Censos y el Gobierno de Córdoba.</v>
      </c>
      <c r="N768" s="20" t="str">
        <f ca="1">IFERROR(__xludf.DUMMYFUNCTION("""COMPUTED_VALUE"""),"SI")</f>
        <v>SI</v>
      </c>
      <c r="O768" s="20" t="str">
        <f ca="1">IFERROR(__xludf.DUMMYFUNCTION("""COMPUTED_VALUE"""),"NO")</f>
        <v>NO</v>
      </c>
      <c r="P768" s="20">
        <f ca="1">IFERROR(__xludf.DUMMYFUNCTION("""COMPUTED_VALUE"""),0)</f>
        <v>0</v>
      </c>
      <c r="Q768" s="20" t="str">
        <f ca="1">IFERROR(__xludf.DUMMYFUNCTION("""COMPUTED_VALUE"""),"NA")</f>
        <v>NA</v>
      </c>
      <c r="R768" s="113" t="str">
        <f ca="1">IFERROR(__xludf.DUMMYFUNCTION("""COMPUTED_VALUE"""),"https://www.youtube.com/watch?v=7dBO7mX9ldk")</f>
        <v>https://www.youtube.com/watch?v=7dBO7mX9ldk</v>
      </c>
      <c r="S768" s="20" t="str">
        <f ca="1">IFERROR(__xludf.DUMMYFUNCTION("""COMPUTED_VALUE"""),"NA")</f>
        <v>NA</v>
      </c>
      <c r="T768" s="99">
        <f t="shared" ca="1" si="0"/>
        <v>1</v>
      </c>
    </row>
    <row r="769" spans="1:20">
      <c r="A769" s="20">
        <f ca="1">IFERROR(__xludf.DUMMYFUNCTION("""COMPUTED_VALUE"""),63)</f>
        <v>63</v>
      </c>
      <c r="B769" s="20">
        <f ca="1">IFERROR(__xludf.DUMMYFUNCTION("""COMPUTED_VALUE"""),2023)</f>
        <v>2023</v>
      </c>
      <c r="C769" s="20" t="str">
        <f ca="1">IFERROR(__xludf.DUMMYFUNCTION("""COMPUTED_VALUE"""),"VIRTUAL")</f>
        <v>VIRTUAL</v>
      </c>
      <c r="D769" s="106">
        <f ca="1">IFERROR(__xludf.DUMMYFUNCTION("""COMPUTED_VALUE"""),45076)</f>
        <v>45076</v>
      </c>
      <c r="E769" s="20" t="str">
        <f ca="1">IFERROR(__xludf.DUMMYFUNCTION("""COMPUTED_VALUE"""),"SI")</f>
        <v>SI</v>
      </c>
      <c r="F769" s="20" t="str">
        <f ca="1">IFERROR(__xludf.DUMMYFUNCTION("""COMPUTED_VALUE"""),"LEGISLACIÓN GENERAL;ASUNTOS CONSTITUCIONALES, JUSTICIA Y ACUERDOS")</f>
        <v>LEGISLACIÓN GENERAL;ASUNTOS CONSTITUCIONALES, JUSTICIA Y ACUERDOS</v>
      </c>
      <c r="G769" s="20">
        <f ca="1">IFERROR(__xludf.DUMMYFUNCTION("""COMPUTED_VALUE"""),2)</f>
        <v>2</v>
      </c>
      <c r="H769" s="20">
        <f ca="1">IFERROR(__xludf.DUMMYFUNCTION("""COMPUTED_VALUE"""),1)</f>
        <v>1</v>
      </c>
      <c r="I769" s="20">
        <f ca="1">IFERROR(__xludf.DUMMYFUNCTION("""COMPUTED_VALUE"""),1)</f>
        <v>1</v>
      </c>
      <c r="J769" s="20" t="str">
        <f ca="1">IFERROR(__xludf.DUMMYFUNCTION("""COMPUTED_VALUE"""),"Ley")</f>
        <v>Ley</v>
      </c>
      <c r="K769" s="20">
        <f ca="1">IFERROR(__xludf.DUMMYFUNCTION("""COMPUTED_VALUE"""),37315)</f>
        <v>37315</v>
      </c>
      <c r="L769" s="20" t="str">
        <f ca="1">IFERROR(__xludf.DUMMYFUNCTION("""COMPUTED_VALUE"""),"Poder Ejecutivo Provincial")</f>
        <v>Poder Ejecutivo Provincial</v>
      </c>
      <c r="M769" s="20" t="str">
        <f ca="1">IFERROR(__xludf.DUMMYFUNCTION("""COMPUTED_VALUE"""),"Modificando el artículo 32 de la Ley Nº 8802, referido a las atribuciones del Gobernador en la remisión de pliegos de aspirantes a cargos de Magistrados y Funcionarios del Poder Judicial.")</f>
        <v>Modificando el artículo 32 de la Ley Nº 8802, referido a las atribuciones del Gobernador en la remisión de pliegos de aspirantes a cargos de Magistrados y Funcionarios del Poder Judicial.</v>
      </c>
      <c r="N769" s="20" t="str">
        <f ca="1">IFERROR(__xludf.DUMMYFUNCTION("""COMPUTED_VALUE"""),"SI")</f>
        <v>SI</v>
      </c>
      <c r="O769" s="20" t="str">
        <f ca="1">IFERROR(__xludf.DUMMYFUNCTION("""COMPUTED_VALUE"""),"SI")</f>
        <v>SI</v>
      </c>
      <c r="P769" s="20">
        <f ca="1">IFERROR(__xludf.DUMMYFUNCTION("""COMPUTED_VALUE"""),1)</f>
        <v>1</v>
      </c>
      <c r="Q769" s="113" t="str">
        <f ca="1">IFERROR(__xludf.DUMMYFUNCTION("""COMPUTED_VALUE"""),"https://gld.legislaturacba.gob.ar/_cdd/api/Documento/descargar?guid=567f0cdf-2ec8-4312-adbf-313553405933&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v>
      </c>
      <c r="R769" s="113" t="str">
        <f ca="1">IFERROR(__xludf.DUMMYFUNCTION("""COMPUTED_VALUE"""),"https://www.youtube.com/watch?v=lbGhKv-szg8")</f>
        <v>https://www.youtube.com/watch?v=lbGhKv-szg8</v>
      </c>
      <c r="S769" s="113" t="str">
        <f ca="1">IFERROR(__xludf.DUMMYFUNCTION("""COMPUTED_VALUE"""),"https://gld.legislaturacba.gob.ar/Publics/Actas.aspx?id=2VCXbTtVbek=;https://gld.legislaturacba.gob.ar/Publics/Actas.aspx?id=jbz25Hj9nZ8=")</f>
        <v>https://gld.legislaturacba.gob.ar/Publics/Actas.aspx?id=2VCXbTtVbek=;https://gld.legislaturacba.gob.ar/Publics/Actas.aspx?id=jbz25Hj9nZ8=</v>
      </c>
      <c r="T769" s="99">
        <f t="shared" ca="1" si="0"/>
        <v>0</v>
      </c>
    </row>
    <row r="770" spans="1:20">
      <c r="A770" s="20">
        <f ca="1">IFERROR(__xludf.DUMMYFUNCTION("""COMPUTED_VALUE"""),64)</f>
        <v>64</v>
      </c>
      <c r="B770" s="20">
        <f ca="1">IFERROR(__xludf.DUMMYFUNCTION("""COMPUTED_VALUE"""),2023)</f>
        <v>2023</v>
      </c>
      <c r="C770" s="20" t="str">
        <f ca="1">IFERROR(__xludf.DUMMYFUNCTION("""COMPUTED_VALUE"""),"VIRTUAL")</f>
        <v>VIRTUAL</v>
      </c>
      <c r="D770" s="106">
        <f ca="1">IFERROR(__xludf.DUMMYFUNCTION("""COMPUTED_VALUE"""),45076)</f>
        <v>45076</v>
      </c>
      <c r="E770" s="20" t="str">
        <f ca="1">IFERROR(__xludf.DUMMYFUNCTION("""COMPUTED_VALUE"""),"NO")</f>
        <v>NO</v>
      </c>
      <c r="F770" s="20" t="str">
        <f ca="1">IFERROR(__xludf.DUMMYFUNCTION("""COMPUTED_VALUE"""),"AMBIENTE")</f>
        <v>AMBIENTE</v>
      </c>
      <c r="G770" s="20">
        <f ca="1">IFERROR(__xludf.DUMMYFUNCTION("""COMPUTED_VALUE"""),1)</f>
        <v>1</v>
      </c>
      <c r="H770" s="20">
        <f ca="1">IFERROR(__xludf.DUMMYFUNCTION("""COMPUTED_VALUE"""),2)</f>
        <v>2</v>
      </c>
      <c r="I770" s="20">
        <f ca="1">IFERROR(__xludf.DUMMYFUNCTION("""COMPUTED_VALUE"""),1)</f>
        <v>1</v>
      </c>
      <c r="J770" s="20" t="str">
        <f ca="1">IFERROR(__xludf.DUMMYFUNCTION("""COMPUTED_VALUE"""),"Ley")</f>
        <v>Ley</v>
      </c>
      <c r="K770" s="20">
        <f ca="1">IFERROR(__xludf.DUMMYFUNCTION("""COMPUTED_VALUE"""),37383)</f>
        <v>37383</v>
      </c>
      <c r="L770" s="20" t="str">
        <f ca="1">IFERROR(__xludf.DUMMYFUNCTION("""COMPUTED_VALUE"""),"Poder Ejecutivo Provincial")</f>
        <v>Poder Ejecutivo Provincial</v>
      </c>
      <c r="M770" s="20" t="str">
        <f ca="1">IFERROR(__xludf.DUMMYFUNCTION("""COMPUTED_VALUE"""),"Ratificando el Decreto N° 462/23, que dispuso la creación del Fondo de Financiamiento Ambiental en el marco del Plan Provincial para la Gestión Integral de Residuos.")</f>
        <v>Ratificando el Decreto N° 462/23, que dispuso la creación del Fondo de Financiamiento Ambiental en el marco del Plan Provincial para la Gestión Integral de Residuos.</v>
      </c>
      <c r="N770" s="20" t="str">
        <f ca="1">IFERROR(__xludf.DUMMYFUNCTION("""COMPUTED_VALUE"""),"NO")</f>
        <v>NO</v>
      </c>
      <c r="O770" s="20" t="str">
        <f ca="1">IFERROR(__xludf.DUMMYFUNCTION("""COMPUTED_VALUE"""),"NO")</f>
        <v>NO</v>
      </c>
      <c r="P770" s="20">
        <f ca="1">IFERROR(__xludf.DUMMYFUNCTION("""COMPUTED_VALUE"""),0)</f>
        <v>0</v>
      </c>
      <c r="Q770" s="113" t="str">
        <f ca="1">IFERROR(__xludf.DUMMYFUNCTION("""COMPUTED_VALUE"""),"https://gld.legislaturacba.gob.ar/_cdd/api/Documento/descargar?guid=671d8a76-698f-4262-8ef4-79edd6d8fe19&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v>
      </c>
      <c r="R770" s="113" t="str">
        <f ca="1">IFERROR(__xludf.DUMMYFUNCTION("""COMPUTED_VALUE"""),"https://www.youtube.com/watch?v=uYDcJ3nX-Lw")</f>
        <v>https://www.youtube.com/watch?v=uYDcJ3nX-Lw</v>
      </c>
      <c r="S770" s="113" t="str">
        <f ca="1">IFERROR(__xludf.DUMMYFUNCTION("""COMPUTED_VALUE"""),"https://gld.legislaturacba.gob.ar/Publics/Actas.aspx?id=z53Rrp7htu4=")</f>
        <v>https://gld.legislaturacba.gob.ar/Publics/Actas.aspx?id=z53Rrp7htu4=</v>
      </c>
      <c r="T770" s="99">
        <f t="shared" ca="1" si="0"/>
        <v>0</v>
      </c>
    </row>
    <row r="771" spans="1:20">
      <c r="A771" s="20">
        <f ca="1">IFERROR(__xludf.DUMMYFUNCTION("""COMPUTED_VALUE"""),65)</f>
        <v>65</v>
      </c>
      <c r="B771" s="20">
        <f ca="1">IFERROR(__xludf.DUMMYFUNCTION("""COMPUTED_VALUE"""),2023)</f>
        <v>2023</v>
      </c>
      <c r="C771" s="20" t="str">
        <f ca="1">IFERROR(__xludf.DUMMYFUNCTION("""COMPUTED_VALUE"""),"SEMIPRESENCIAL")</f>
        <v>SEMIPRESENCIAL</v>
      </c>
      <c r="D771" s="106">
        <f ca="1">IFERROR(__xludf.DUMMYFUNCTION("""COMPUTED_VALUE"""),45078)</f>
        <v>45078</v>
      </c>
      <c r="E771" s="20" t="str">
        <f ca="1">IFERROR(__xludf.DUMMYFUNCTION("""COMPUTED_VALUE"""),"SI")</f>
        <v>SI</v>
      </c>
      <c r="F771" s="20" t="str">
        <f ca="1">IFERROR(__xludf.DUMMYFUNCTION("""COMPUTED_VALUE"""),"SALUD HUMANA;PROMOCIÓN Y DEFENSA DE LOS DERECHOS DE LA NIÑEZ, ADOLESCENCIA Y FAMILIA")</f>
        <v>SALUD HUMANA;PROMOCIÓN Y DEFENSA DE LOS DERECHOS DE LA NIÑEZ, ADOLESCENCIA Y FAMILIA</v>
      </c>
      <c r="G771" s="20">
        <f ca="1">IFERROR(__xludf.DUMMYFUNCTION("""COMPUTED_VALUE"""),2)</f>
        <v>2</v>
      </c>
      <c r="H771" s="20">
        <f ca="1">IFERROR(__xludf.DUMMYFUNCTION("""COMPUTED_VALUE"""),9)</f>
        <v>9</v>
      </c>
      <c r="I771" s="20">
        <f ca="1">IFERROR(__xludf.DUMMYFUNCTION("""COMPUTED_VALUE"""),1)</f>
        <v>1</v>
      </c>
      <c r="J771" s="20" t="str">
        <f ca="1">IFERROR(__xludf.DUMMYFUNCTION("""COMPUTED_VALUE"""),"Ley")</f>
        <v>Ley</v>
      </c>
      <c r="K771" s="20">
        <f ca="1">IFERROR(__xludf.DUMMYFUNCTION("""COMPUTED_VALUE"""),37317)</f>
        <v>37317</v>
      </c>
      <c r="L771" s="20" t="str">
        <f ca="1">IFERROR(__xludf.DUMMYFUNCTION("""COMPUTED_VALUE"""),"Poder Ejecutivo Provincial")</f>
        <v>Poder Ejecutivo Provincial</v>
      </c>
      <c r="M771" s="20" t="str">
        <f ca="1">IFERROR(__xludf.DUMMYFUNCTION("""COMPUTED_VALUE"""),"Adhiriendo la provincia a la Ley Nacional N° 27674, Creación del Régimen de Protección Integral del Niño, Niña y Adolescente con Cáncer. ")</f>
        <v xml:space="preserve">Adhiriendo la provincia a la Ley Nacional N° 27674, Creación del Régimen de Protección Integral del Niño, Niña y Adolescente con Cáncer. </v>
      </c>
      <c r="N771" s="20" t="str">
        <f ca="1">IFERROR(__xludf.DUMMYFUNCTION("""COMPUTED_VALUE"""),"NO")</f>
        <v>NO</v>
      </c>
      <c r="O771" s="20" t="str">
        <f ca="1">IFERROR(__xludf.DUMMYFUNCTION("""COMPUTED_VALUE"""),"SI")</f>
        <v>SI</v>
      </c>
      <c r="P771" s="20">
        <f ca="1">IFERROR(__xludf.DUMMYFUNCTION("""COMPUTED_VALUE"""),11)</f>
        <v>11</v>
      </c>
      <c r="Q771" s="113" t="str">
        <f ca="1">IFERROR(__xludf.DUMMYFUNCTION("""COMPUTED_VALUE"""),"https://gld.legislaturacba.gob.ar/_cdd/api/Documento/descargar?guid=364c87ee-1ce7-4bd2-a6b9-a1288d44caec&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v>
      </c>
      <c r="R771" s="113" t="str">
        <f ca="1">IFERROR(__xludf.DUMMYFUNCTION("""COMPUTED_VALUE"""),"https://www.youtube.com/watch?v=2NndQ7Rs4_Q")</f>
        <v>https://www.youtube.com/watch?v=2NndQ7Rs4_Q</v>
      </c>
      <c r="S771" s="113" t="str">
        <f ca="1">IFERROR(__xludf.DUMMYFUNCTION("""COMPUTED_VALUE"""),"https://gld.legislaturacba.gob.ar/Publics/Actas.aspx?id=EUoaNV2S6XA=;https://gld.legislaturacba.gob.ar/Publics/Actas.aspx?id=IrjW9v0gpp8=")</f>
        <v>https://gld.legislaturacba.gob.ar/Publics/Actas.aspx?id=EUoaNV2S6XA=;https://gld.legislaturacba.gob.ar/Publics/Actas.aspx?id=IrjW9v0gpp8=</v>
      </c>
      <c r="T771" s="99">
        <f t="shared" ca="1" si="0"/>
        <v>0</v>
      </c>
    </row>
    <row r="772" spans="1:20">
      <c r="A772" s="20">
        <f ca="1">IFERROR(__xludf.DUMMYFUNCTION("""COMPUTED_VALUE"""),66)</f>
        <v>66</v>
      </c>
      <c r="B772" s="20">
        <f ca="1">IFERROR(__xludf.DUMMYFUNCTION("""COMPUTED_VALUE"""),2023)</f>
        <v>2023</v>
      </c>
      <c r="C772" s="20" t="str">
        <f ca="1">IFERROR(__xludf.DUMMYFUNCTION("""COMPUTED_VALUE"""),"VIRTUAL")</f>
        <v>VIRTUAL</v>
      </c>
      <c r="D772" s="106">
        <f ca="1">IFERROR(__xludf.DUMMYFUNCTION("""COMPUTED_VALUE"""),45083)</f>
        <v>45083</v>
      </c>
      <c r="E772" s="20" t="str">
        <f ca="1">IFERROR(__xludf.DUMMYFUNCTION("""COMPUTED_VALUE"""),"SI")</f>
        <v>SI</v>
      </c>
      <c r="F772" s="20" t="str">
        <f ca="1">IFERROR(__xludf.DUMMYFUNCTION("""COMPUTED_VALUE"""),"SALUD HUMANA;PROMOCIÓN Y DEFENSA DE LOS DERECHOS DE LA NIÑEZ, ADOLESCENCIA Y FAMILIA")</f>
        <v>SALUD HUMANA;PROMOCIÓN Y DEFENSA DE LOS DERECHOS DE LA NIÑEZ, ADOLESCENCIA Y FAMILIA</v>
      </c>
      <c r="G772" s="20">
        <f ca="1">IFERROR(__xludf.DUMMYFUNCTION("""COMPUTED_VALUE"""),2)</f>
        <v>2</v>
      </c>
      <c r="H772" s="20">
        <f ca="1">IFERROR(__xludf.DUMMYFUNCTION("""COMPUTED_VALUE"""),9)</f>
        <v>9</v>
      </c>
      <c r="I772" s="20">
        <f ca="1">IFERROR(__xludf.DUMMYFUNCTION("""COMPUTED_VALUE"""),1)</f>
        <v>1</v>
      </c>
      <c r="J772" s="20" t="str">
        <f ca="1">IFERROR(__xludf.DUMMYFUNCTION("""COMPUTED_VALUE"""),"Ley")</f>
        <v>Ley</v>
      </c>
      <c r="K772" s="20">
        <f ca="1">IFERROR(__xludf.DUMMYFUNCTION("""COMPUTED_VALUE"""),37317)</f>
        <v>37317</v>
      </c>
      <c r="L772" s="20" t="str">
        <f ca="1">IFERROR(__xludf.DUMMYFUNCTION("""COMPUTED_VALUE"""),"Poder Ejecutivo Provincial")</f>
        <v>Poder Ejecutivo Provincial</v>
      </c>
      <c r="M772" s="20" t="str">
        <f ca="1">IFERROR(__xludf.DUMMYFUNCTION("""COMPUTED_VALUE"""),"Adhiriendo la provincia a la Ley Nacional N° 27674, Creación del Régimen de Protección Integral del Niño, Niña y Adolescente con Cáncer. ")</f>
        <v xml:space="preserve">Adhiriendo la provincia a la Ley Nacional N° 27674, Creación del Régimen de Protección Integral del Niño, Niña y Adolescente con Cáncer. </v>
      </c>
      <c r="N772" s="20" t="str">
        <f ca="1">IFERROR(__xludf.DUMMYFUNCTION("""COMPUTED_VALUE"""),"NO")</f>
        <v>NO</v>
      </c>
      <c r="O772" s="20" t="str">
        <f ca="1">IFERROR(__xludf.DUMMYFUNCTION("""COMPUTED_VALUE"""),"NO")</f>
        <v>NO</v>
      </c>
      <c r="P772" s="20">
        <f ca="1">IFERROR(__xludf.DUMMYFUNCTION("""COMPUTED_VALUE"""),0)</f>
        <v>0</v>
      </c>
      <c r="Q772" s="113" t="str">
        <f ca="1">IFERROR(__xludf.DUMMYFUNCTION("""COMPUTED_VALUE"""),"https://gld.legislaturacba.gob.ar/_cdd/api/Documento/descargar?guid=0cb7134d-b421-475a-b503-1a6a1b24f626&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v>
      </c>
      <c r="R772" s="113" t="str">
        <f ca="1">IFERROR(__xludf.DUMMYFUNCTION("""COMPUTED_VALUE"""),"https://www.youtube.com/watch?v=DhMRl6lnldc")</f>
        <v>https://www.youtube.com/watch?v=DhMRl6lnldc</v>
      </c>
      <c r="S772" s="113" t="str">
        <f ca="1">IFERROR(__xludf.DUMMYFUNCTION("""COMPUTED_VALUE"""),"https://gld.legislaturacba.gob.ar/Publics/Actas.aspx?id=XaBPEz762kg=;https://gld.legislaturacba.gob.ar/Publics/Actas.aspx?id=86Dwn3jxFag=")</f>
        <v>https://gld.legislaturacba.gob.ar/Publics/Actas.aspx?id=XaBPEz762kg=;https://gld.legislaturacba.gob.ar/Publics/Actas.aspx?id=86Dwn3jxFag=</v>
      </c>
      <c r="T772" s="99">
        <f t="shared" ca="1" si="0"/>
        <v>0</v>
      </c>
    </row>
    <row r="773" spans="1:20">
      <c r="A773" s="20">
        <f ca="1">IFERROR(__xludf.DUMMYFUNCTION("""COMPUTED_VALUE"""),67)</f>
        <v>67</v>
      </c>
      <c r="B773" s="20">
        <f ca="1">IFERROR(__xludf.DUMMYFUNCTION("""COMPUTED_VALUE"""),2023)</f>
        <v>2023</v>
      </c>
      <c r="C773" s="20" t="str">
        <f ca="1">IFERROR(__xludf.DUMMYFUNCTION("""COMPUTED_VALUE"""),"VIRTUAL")</f>
        <v>VIRTUAL</v>
      </c>
      <c r="D773" s="106">
        <f ca="1">IFERROR(__xludf.DUMMYFUNCTION("""COMPUTED_VALUE"""),45083)</f>
        <v>45083</v>
      </c>
      <c r="E773" s="20" t="str">
        <f ca="1">IFERROR(__xludf.DUMMYFUNCTION("""COMPUTED_VALUE"""),"SI")</f>
        <v>SI</v>
      </c>
      <c r="F773" s="20" t="str">
        <f ca="1">IFERROR(__xludf.DUMMYFUNCTION("""COMPUTED_VALUE"""),"AMBIENTE;PROMOCIÓN Y DESARROLLO DE LAS COMUNIDADES REGIONALES")</f>
        <v>AMBIENTE;PROMOCIÓN Y DESARROLLO DE LAS COMUNIDADES REGIONALES</v>
      </c>
      <c r="G773" s="20">
        <f ca="1">IFERROR(__xludf.DUMMYFUNCTION("""COMPUTED_VALUE"""),2)</f>
        <v>2</v>
      </c>
      <c r="H773" s="20">
        <f ca="1">IFERROR(__xludf.DUMMYFUNCTION("""COMPUTED_VALUE"""),1)</f>
        <v>1</v>
      </c>
      <c r="I773" s="20">
        <f ca="1">IFERROR(__xludf.DUMMYFUNCTION("""COMPUTED_VALUE"""),1)</f>
        <v>1</v>
      </c>
      <c r="J773" s="20" t="str">
        <f ca="1">IFERROR(__xludf.DUMMYFUNCTION("""COMPUTED_VALUE"""),"Ley")</f>
        <v>Ley</v>
      </c>
      <c r="K773" s="20">
        <f ca="1">IFERROR(__xludf.DUMMYFUNCTION("""COMPUTED_VALUE"""),37383)</f>
        <v>37383</v>
      </c>
      <c r="L773" s="20" t="str">
        <f ca="1">IFERROR(__xludf.DUMMYFUNCTION("""COMPUTED_VALUE"""),"Poder Ejecutivo Provincial")</f>
        <v>Poder Ejecutivo Provincial</v>
      </c>
      <c r="M773" s="20" t="str">
        <f ca="1">IFERROR(__xludf.DUMMYFUNCTION("""COMPUTED_VALUE"""),"Ratificando el Decreto N° 462/23, que dispuso la creación del Fondo de Financiamiento Ambiental en el marco del Plan Provincial para la Gestión Integral de Residuos.")</f>
        <v>Ratificando el Decreto N° 462/23, que dispuso la creación del Fondo de Financiamiento Ambiental en el marco del Plan Provincial para la Gestión Integral de Residuos.</v>
      </c>
      <c r="N773" s="20" t="str">
        <f ca="1">IFERROR(__xludf.DUMMYFUNCTION("""COMPUTED_VALUE"""),"SI")</f>
        <v>SI</v>
      </c>
      <c r="O773" s="20" t="str">
        <f ca="1">IFERROR(__xludf.DUMMYFUNCTION("""COMPUTED_VALUE"""),"SI")</f>
        <v>SI</v>
      </c>
      <c r="P773" s="20">
        <f ca="1">IFERROR(__xludf.DUMMYFUNCTION("""COMPUTED_VALUE"""),1)</f>
        <v>1</v>
      </c>
      <c r="Q773" s="113" t="str">
        <f ca="1">IFERROR(__xludf.DUMMYFUNCTION("""COMPUTED_VALUE"""),"https://gld.legislaturacba.gob.ar/_cdd/api/Documento/descargar?guid=ff5dbecb-c83c-4e6c-8324-6fe3234b5453&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v>
      </c>
      <c r="R773" s="113" t="str">
        <f ca="1">IFERROR(__xludf.DUMMYFUNCTION("""COMPUTED_VALUE"""),"https://www.youtube.com/watch?v=KJ68Ku-0Zg8")</f>
        <v>https://www.youtube.com/watch?v=KJ68Ku-0Zg8</v>
      </c>
      <c r="S773" s="20" t="str">
        <f ca="1">IFERROR(__xludf.DUMMYFUNCTION("""COMPUTED_VALUE"""),"NA;https://gld.legislaturacba.gob.ar/Publics/Actas.aspx?id=86Dwn3jxFag=")</f>
        <v>NA;https://gld.legislaturacba.gob.ar/Publics/Actas.aspx?id=86Dwn3jxFag=</v>
      </c>
      <c r="T773" s="99">
        <f t="shared" ca="1" si="0"/>
        <v>1</v>
      </c>
    </row>
    <row r="774" spans="1:20">
      <c r="A774" s="20">
        <f ca="1">IFERROR(__xludf.DUMMYFUNCTION("""COMPUTED_VALUE"""),68)</f>
        <v>68</v>
      </c>
      <c r="B774" s="20">
        <f ca="1">IFERROR(__xludf.DUMMYFUNCTION("""COMPUTED_VALUE"""),2023)</f>
        <v>2023</v>
      </c>
      <c r="C774" s="20" t="str">
        <f ca="1">IFERROR(__xludf.DUMMYFUNCTION("""COMPUTED_VALUE"""),"VIRTUAL")</f>
        <v>VIRTUAL</v>
      </c>
      <c r="D774" s="106">
        <f ca="1">IFERROR(__xludf.DUMMYFUNCTION("""COMPUTED_VALUE"""),45084)</f>
        <v>45084</v>
      </c>
      <c r="E774" s="20" t="str">
        <f ca="1">IFERROR(__xludf.DUMMYFUNCTION("""COMPUTED_VALUE"""),"SI")</f>
        <v>SI</v>
      </c>
      <c r="F774" s="20" t="str">
        <f ca="1">IFERROR(__xludf.DUMMYFUNCTION("""COMPUTED_VALUE"""),"LEGISLACIÓN GENERAL;ASUNTOS CONSTITUCIONALES, JUSTICIA Y ACUERDOS")</f>
        <v>LEGISLACIÓN GENERAL;ASUNTOS CONSTITUCIONALES, JUSTICIA Y ACUERDOS</v>
      </c>
      <c r="G774" s="20">
        <f ca="1">IFERROR(__xludf.DUMMYFUNCTION("""COMPUTED_VALUE"""),2)</f>
        <v>2</v>
      </c>
      <c r="H774" s="20">
        <f ca="1">IFERROR(__xludf.DUMMYFUNCTION("""COMPUTED_VALUE"""),4)</f>
        <v>4</v>
      </c>
      <c r="I774" s="20">
        <f ca="1">IFERROR(__xludf.DUMMYFUNCTION("""COMPUTED_VALUE"""),1)</f>
        <v>1</v>
      </c>
      <c r="J774" s="20" t="str">
        <f ca="1">IFERROR(__xludf.DUMMYFUNCTION("""COMPUTED_VALUE"""),"Ley")</f>
        <v>Ley</v>
      </c>
      <c r="K774" s="20">
        <f ca="1">IFERROR(__xludf.DUMMYFUNCTION("""COMPUTED_VALUE"""),36647)</f>
        <v>36647</v>
      </c>
      <c r="L774" s="20" t="str">
        <f ca="1">IFERROR(__xludf.DUMMYFUNCTION("""COMPUTED_VALUE"""),"Poder Legislativo Provincial")</f>
        <v>Poder Legislativo Provincial</v>
      </c>
      <c r="M774" s="20" t="str">
        <f ca="1">IFERROR(__xludf.DUMMYFUNCTION("""COMPUTED_VALUE"""),"Creando un Juzgado de Primera Instancia con competencia Múltiple en lo Civil y Comercial, Cociliación, Familia y Quiebras en la Segunda Circunscripción Judicial con asiento en la ciudad  de La Carlota")</f>
        <v>Creando un Juzgado de Primera Instancia con competencia Múltiple en lo Civil y Comercial, Cociliación, Familia y Quiebras en la Segunda Circunscripción Judicial con asiento en la ciudad  de La Carlota</v>
      </c>
      <c r="N774" s="20" t="str">
        <f ca="1">IFERROR(__xludf.DUMMYFUNCTION("""COMPUTED_VALUE"""),"SI")</f>
        <v>SI</v>
      </c>
      <c r="O774" s="20" t="str">
        <f ca="1">IFERROR(__xludf.DUMMYFUNCTION("""COMPUTED_VALUE"""),"NO")</f>
        <v>NO</v>
      </c>
      <c r="P774" s="20">
        <f ca="1">IFERROR(__xludf.DUMMYFUNCTION("""COMPUTED_VALUE"""),0)</f>
        <v>0</v>
      </c>
      <c r="Q774" s="113" t="str">
        <f ca="1">IFERROR(__xludf.DUMMYFUNCTION("""COMPUTED_VALUE"""),"https://gld.legislaturacba.gob.ar/_cdd/api/Documento/descargar?guid=d72b8a10-2e2b-435d-8f0f-ac389b113f94&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v>
      </c>
      <c r="R774" s="113" t="str">
        <f ca="1">IFERROR(__xludf.DUMMYFUNCTION("""COMPUTED_VALUE"""),"https://www.youtube.com/watch?v=_8yPdVPR2Wc")</f>
        <v>https://www.youtube.com/watch?v=_8yPdVPR2Wc</v>
      </c>
      <c r="S774" s="113" t="str">
        <f ca="1">IFERROR(__xludf.DUMMYFUNCTION("""COMPUTED_VALUE"""),"https://gld.legislaturacba.gob.ar/Publics/Actas.aspx?id=KKt9FaC1DbY=;https://gld.legislaturacba.gob.ar/Publics/Actas.aspx?id=HWi34EiabZM=")</f>
        <v>https://gld.legislaturacba.gob.ar/Publics/Actas.aspx?id=KKt9FaC1DbY=;https://gld.legislaturacba.gob.ar/Publics/Actas.aspx?id=HWi34EiabZM=</v>
      </c>
      <c r="T774" s="99">
        <f t="shared" ca="1" si="0"/>
        <v>0</v>
      </c>
    </row>
    <row r="775" spans="1:20">
      <c r="A775" s="20">
        <f ca="1">IFERROR(__xludf.DUMMYFUNCTION("""COMPUTED_VALUE"""),69)</f>
        <v>69</v>
      </c>
      <c r="B775" s="20">
        <f ca="1">IFERROR(__xludf.DUMMYFUNCTION("""COMPUTED_VALUE"""),2023)</f>
        <v>2023</v>
      </c>
      <c r="C775" s="20" t="str">
        <f ca="1">IFERROR(__xludf.DUMMYFUNCTION("""COMPUTED_VALUE"""),"VIRTUAL")</f>
        <v>VIRTUAL</v>
      </c>
      <c r="D775" s="106">
        <f ca="1">IFERROR(__xludf.DUMMYFUNCTION("""COMPUTED_VALUE"""),45090)</f>
        <v>45090</v>
      </c>
      <c r="E775" s="20" t="str">
        <f ca="1">IFERROR(__xludf.DUMMYFUNCTION("""COMPUTED_VALUE"""),"NO")</f>
        <v>NO</v>
      </c>
      <c r="F775" s="20" t="str">
        <f ca="1">IFERROR(__xludf.DUMMYFUNCTION("""COMPUTED_VALUE"""),"PREVENCIÓN, TRATAMIENTO Y CONTROL DE LAS ADICCIONES")</f>
        <v>PREVENCIÓN, TRATAMIENTO Y CONTROL DE LAS ADICCIONES</v>
      </c>
      <c r="G775" s="20">
        <f ca="1">IFERROR(__xludf.DUMMYFUNCTION("""COMPUTED_VALUE"""),1)</f>
        <v>1</v>
      </c>
      <c r="H775" s="20">
        <f ca="1">IFERROR(__xludf.DUMMYFUNCTION("""COMPUTED_VALUE"""),1)</f>
        <v>1</v>
      </c>
      <c r="I775" s="20">
        <f ca="1">IFERROR(__xludf.DUMMYFUNCTION("""COMPUTED_VALUE"""),1)</f>
        <v>1</v>
      </c>
      <c r="J775" s="20" t="str">
        <f ca="1">IFERROR(__xludf.DUMMYFUNCTION("""COMPUTED_VALUE"""),"NA")</f>
        <v>NA</v>
      </c>
      <c r="K775" s="20" t="str">
        <f ca="1">IFERROR(__xludf.DUMMYFUNCTION("""COMPUTED_VALUE"""),"NA")</f>
        <v>NA</v>
      </c>
      <c r="L775" s="20" t="str">
        <f ca="1">IFERROR(__xludf.DUMMYFUNCTION("""COMPUTED_VALUE"""),"NA")</f>
        <v>NA</v>
      </c>
      <c r="M775" s="20" t="str">
        <f ca="1">IFERROR(__xludf.DUMMYFUNCTION("""COMPUTED_VALUE"""),"Actividades a realizarse en el marco de la  ""Semana Provincial de la  Prevención del Consumo de Drogas"" (Ley N° 10610)")</f>
        <v>Actividades a realizarse en el marco de la  "Semana Provincial de la  Prevención del Consumo de Drogas" (Ley N° 10610)</v>
      </c>
      <c r="N775" s="20" t="str">
        <f ca="1">IFERROR(__xludf.DUMMYFUNCTION("""COMPUTED_VALUE"""),"NA")</f>
        <v>NA</v>
      </c>
      <c r="O775" s="20" t="str">
        <f ca="1">IFERROR(__xludf.DUMMYFUNCTION("""COMPUTED_VALUE"""),"SI")</f>
        <v>SI</v>
      </c>
      <c r="P775" s="20">
        <f ca="1">IFERROR(__xludf.DUMMYFUNCTION("""COMPUTED_VALUE"""),1)</f>
        <v>1</v>
      </c>
      <c r="Q775" s="113" t="str">
        <f ca="1">IFERROR(__xludf.DUMMYFUNCTION("""COMPUTED_VALUE"""),"https://gld.legislaturacba.gob.ar/_cdd/api/Documento/descargar?guid=707bc116-7cca-44e0-b423-1b5290db6b47&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v>
      </c>
      <c r="R775" s="113" t="str">
        <f ca="1">IFERROR(__xludf.DUMMYFUNCTION("""COMPUTED_VALUE"""),"https://www.youtube.com/watch?v=LOCJvGd0Bsc")</f>
        <v>https://www.youtube.com/watch?v=LOCJvGd0Bsc</v>
      </c>
      <c r="S775" s="113" t="str">
        <f ca="1">IFERROR(__xludf.DUMMYFUNCTION("""COMPUTED_VALUE"""),"https://gld.legislaturacba.gob.ar/Publics/Actas.aspx?id=2pyGhT8Y67Y=")</f>
        <v>https://gld.legislaturacba.gob.ar/Publics/Actas.aspx?id=2pyGhT8Y67Y=</v>
      </c>
      <c r="T775" s="99">
        <f t="shared" ca="1" si="0"/>
        <v>0</v>
      </c>
    </row>
    <row r="776" spans="1:20">
      <c r="A776" s="20">
        <f ca="1">IFERROR(__xludf.DUMMYFUNCTION("""COMPUTED_VALUE"""),70)</f>
        <v>70</v>
      </c>
      <c r="B776" s="20">
        <f ca="1">IFERROR(__xludf.DUMMYFUNCTION("""COMPUTED_VALUE"""),2023)</f>
        <v>2023</v>
      </c>
      <c r="C776" s="20" t="str">
        <f ca="1">IFERROR(__xludf.DUMMYFUNCTION("""COMPUTED_VALUE"""),"VIRTUAL")</f>
        <v>VIRTUAL</v>
      </c>
      <c r="D776" s="106">
        <f ca="1">IFERROR(__xludf.DUMMYFUNCTION("""COMPUTED_VALUE"""),45090)</f>
        <v>45090</v>
      </c>
      <c r="E776" s="20" t="str">
        <f ca="1">IFERROR(__xludf.DUMMYFUNCTION("""COMPUTED_VALUE"""),"NO")</f>
        <v>NO</v>
      </c>
      <c r="F776" s="20" t="str">
        <f ca="1">IFERROR(__xludf.DUMMYFUNCTION("""COMPUTED_VALUE"""),"DERECHOS HUMANOS Y DESARROLLO SOCIAL")</f>
        <v>DERECHOS HUMANOS Y DESARROLLO SOCIAL</v>
      </c>
      <c r="G776" s="20">
        <f ca="1">IFERROR(__xludf.DUMMYFUNCTION("""COMPUTED_VALUE"""),1)</f>
        <v>1</v>
      </c>
      <c r="H776" s="20">
        <f ca="1">IFERROR(__xludf.DUMMYFUNCTION("""COMPUTED_VALUE"""),1)</f>
        <v>1</v>
      </c>
      <c r="I776" s="20">
        <f ca="1">IFERROR(__xludf.DUMMYFUNCTION("""COMPUTED_VALUE"""),1)</f>
        <v>1</v>
      </c>
      <c r="J776" s="20" t="str">
        <f ca="1">IFERROR(__xludf.DUMMYFUNCTION("""COMPUTED_VALUE"""),"Ley")</f>
        <v>Ley</v>
      </c>
      <c r="K776" s="20">
        <f ca="1">IFERROR(__xludf.DUMMYFUNCTION("""COMPUTED_VALUE"""),37445)</f>
        <v>37445</v>
      </c>
      <c r="L776" s="20" t="str">
        <f ca="1">IFERROR(__xludf.DUMMYFUNCTION("""COMPUTED_VALUE"""),"Poder Ejecutivo Provincial")</f>
        <v>Poder Ejecutivo Provincial</v>
      </c>
      <c r="M776" s="20" t="str">
        <f ca="1">IFERROR(__xludf.DUMMYFUNCTION("""COMPUTED_VALUE"""),"Declarando de utilidad pública y sujeto a expropiación para la regularización dominial y el saneamiento de títulos, los inmuebles comprendidos en el polígono determinado por calles José Cortez Funes, Aviador Valenti, Santa Ana y Curunao, ubicados en el as"&amp;"entamiento El Pueblito de la ciudad de Córdoba.")</f>
        <v>Declarando de utilidad pública y sujeto a expropiación para la regularización dominial y el saneamiento de títulos, los inmuebles comprendidos en el polígono determinado por calles José Cortez Funes, Aviador Valenti, Santa Ana y Curunao, ubicados en el asentamiento El Pueblito de la ciudad de Córdoba.</v>
      </c>
      <c r="N776" s="20" t="str">
        <f ca="1">IFERROR(__xludf.DUMMYFUNCTION("""COMPUTED_VALUE"""),"SI")</f>
        <v>SI</v>
      </c>
      <c r="O776" s="20" t="str">
        <f ca="1">IFERROR(__xludf.DUMMYFUNCTION("""COMPUTED_VALUE"""),"SI")</f>
        <v>SI</v>
      </c>
      <c r="P776" s="20">
        <f ca="1">IFERROR(__xludf.DUMMYFUNCTION("""COMPUTED_VALUE"""),2)</f>
        <v>2</v>
      </c>
      <c r="Q776" s="20" t="str">
        <f ca="1">IFERROR(__xludf.DUMMYFUNCTION("""COMPUTED_VALUE"""),"NA")</f>
        <v>NA</v>
      </c>
      <c r="R776" s="113" t="str">
        <f ca="1">IFERROR(__xludf.DUMMYFUNCTION("""COMPUTED_VALUE"""),"https://www.youtube.com/watch?v=ZW4ZeuiWDgw")</f>
        <v>https://www.youtube.com/watch?v=ZW4ZeuiWDgw</v>
      </c>
      <c r="S776" s="20" t="str">
        <f ca="1">IFERROR(__xludf.DUMMYFUNCTION("""COMPUTED_VALUE"""),"NA")</f>
        <v>NA</v>
      </c>
      <c r="T776" s="99">
        <f t="shared" ca="1" si="0"/>
        <v>1</v>
      </c>
    </row>
    <row r="777" spans="1:20">
      <c r="A777" s="20">
        <f ca="1">IFERROR(__xludf.DUMMYFUNCTION("""COMPUTED_VALUE"""),71)</f>
        <v>71</v>
      </c>
      <c r="B777" s="20">
        <f ca="1">IFERROR(__xludf.DUMMYFUNCTION("""COMPUTED_VALUE"""),2023)</f>
        <v>2023</v>
      </c>
      <c r="C777" s="20" t="str">
        <f ca="1">IFERROR(__xludf.DUMMYFUNCTION("""COMPUTED_VALUE"""),"VIRTUAL")</f>
        <v>VIRTUAL</v>
      </c>
      <c r="D777" s="106">
        <f ca="1">IFERROR(__xludf.DUMMYFUNCTION("""COMPUTED_VALUE"""),45104)</f>
        <v>45104</v>
      </c>
      <c r="E777" s="20" t="str">
        <f ca="1">IFERROR(__xludf.DUMMYFUNCTION("""COMPUTED_VALUE"""),"SI")</f>
        <v>SI</v>
      </c>
      <c r="F777" s="20" t="str">
        <f ca="1">IFERROR(__xludf.DUMMYFUNCTION("""COMPUTED_VALUE"""),"ECONOMÍA, PRESUPUESTO, GESTIÓN PÚBLICA E INNOVACIÓN;DERECHOS HUMANOS Y DESARROLLO SOCIAL")</f>
        <v>ECONOMÍA, PRESUPUESTO, GESTIÓN PÚBLICA E INNOVACIÓN;DERECHOS HUMANOS Y DESARROLLO SOCIAL</v>
      </c>
      <c r="G777" s="20">
        <f ca="1">IFERROR(__xludf.DUMMYFUNCTION("""COMPUTED_VALUE"""),2)</f>
        <v>2</v>
      </c>
      <c r="H777" s="20">
        <f ca="1">IFERROR(__xludf.DUMMYFUNCTION("""COMPUTED_VALUE"""),1)</f>
        <v>1</v>
      </c>
      <c r="I777" s="20">
        <f ca="1">IFERROR(__xludf.DUMMYFUNCTION("""COMPUTED_VALUE"""),1)</f>
        <v>1</v>
      </c>
      <c r="J777" s="20" t="str">
        <f ca="1">IFERROR(__xludf.DUMMYFUNCTION("""COMPUTED_VALUE"""),"Ley")</f>
        <v>Ley</v>
      </c>
      <c r="K777" s="20">
        <f ca="1">IFERROR(__xludf.DUMMYFUNCTION("""COMPUTED_VALUE"""),37445)</f>
        <v>37445</v>
      </c>
      <c r="L777" s="20" t="str">
        <f ca="1">IFERROR(__xludf.DUMMYFUNCTION("""COMPUTED_VALUE"""),"Poder Ejecutivo Provincial")</f>
        <v>Poder Ejecutivo Provincial</v>
      </c>
      <c r="M777" s="20" t="str">
        <f ca="1">IFERROR(__xludf.DUMMYFUNCTION("""COMPUTED_VALUE"""),"Declarando de utilidad pública y sujeto a expropiación para la regularización dominial y el saneamiento de títulos, los inmuebles comprendidos en el polígono determinado por calles José Cortez Funes, Aviador Valenti, Santa Ana y Curunao, ubicados en el as"&amp;"entamiento El Pueblito de la ciudad de Córdoba.")</f>
        <v>Declarando de utilidad pública y sujeto a expropiación para la regularización dominial y el saneamiento de títulos, los inmuebles comprendidos en el polígono determinado por calles José Cortez Funes, Aviador Valenti, Santa Ana y Curunao, ubicados en el asentamiento El Pueblito de la ciudad de Córdoba.</v>
      </c>
      <c r="N777" s="20" t="str">
        <f ca="1">IFERROR(__xludf.DUMMYFUNCTION("""COMPUTED_VALUE"""),"SI")</f>
        <v>SI</v>
      </c>
      <c r="O777" s="20" t="str">
        <f ca="1">IFERROR(__xludf.DUMMYFUNCTION("""COMPUTED_VALUE"""),"NO")</f>
        <v>NO</v>
      </c>
      <c r="P777" s="20">
        <f ca="1">IFERROR(__xludf.DUMMYFUNCTION("""COMPUTED_VALUE"""),0)</f>
        <v>0</v>
      </c>
      <c r="Q777" s="20" t="str">
        <f ca="1">IFERROR(__xludf.DUMMYFUNCTION("""COMPUTED_VALUE"""),"NA")</f>
        <v>NA</v>
      </c>
      <c r="R777" s="113" t="str">
        <f ca="1">IFERROR(__xludf.DUMMYFUNCTION("""COMPUTED_VALUE"""),"https://www.youtube.com/watch?v=CW2mETQ4XhM")</f>
        <v>https://www.youtube.com/watch?v=CW2mETQ4XhM</v>
      </c>
      <c r="S777" s="20" t="str">
        <f ca="1">IFERROR(__xludf.DUMMYFUNCTION("""COMPUTED_VALUE"""),"NA;NA")</f>
        <v>NA;NA</v>
      </c>
      <c r="T777" s="99">
        <f t="shared" ca="1" si="0"/>
        <v>2</v>
      </c>
    </row>
    <row r="778" spans="1:20">
      <c r="A778" s="20">
        <f ca="1">IFERROR(__xludf.DUMMYFUNCTION("""COMPUTED_VALUE"""),72)</f>
        <v>72</v>
      </c>
      <c r="B778" s="20">
        <f ca="1">IFERROR(__xludf.DUMMYFUNCTION("""COMPUTED_VALUE"""),2023)</f>
        <v>2023</v>
      </c>
      <c r="C778" s="20" t="str">
        <f ca="1">IFERROR(__xludf.DUMMYFUNCTION("""COMPUTED_VALUE"""),"VIRTUAL")</f>
        <v>VIRTUAL</v>
      </c>
      <c r="D778" s="106">
        <f ca="1">IFERROR(__xludf.DUMMYFUNCTION("""COMPUTED_VALUE"""),45111)</f>
        <v>45111</v>
      </c>
      <c r="E778" s="20" t="str">
        <f ca="1">IFERROR(__xludf.DUMMYFUNCTION("""COMPUTED_VALUE"""),"NO")</f>
        <v>NO</v>
      </c>
      <c r="F778" s="20" t="str">
        <f ca="1">IFERROR(__xludf.DUMMYFUNCTION("""COMPUTED_VALUE"""),"ASUNTOS INSTITUCIONALES, MUNICIPALES Y COMUNALES")</f>
        <v>ASUNTOS INSTITUCIONALES, MUNICIPALES Y COMUNALES</v>
      </c>
      <c r="G778" s="20">
        <f ca="1">IFERROR(__xludf.DUMMYFUNCTION("""COMPUTED_VALUE"""),1)</f>
        <v>1</v>
      </c>
      <c r="H778" s="20">
        <f ca="1">IFERROR(__xludf.DUMMYFUNCTION("""COMPUTED_VALUE"""),1)</f>
        <v>1</v>
      </c>
      <c r="I778" s="20">
        <f ca="1">IFERROR(__xludf.DUMMYFUNCTION("""COMPUTED_VALUE"""),1)</f>
        <v>1</v>
      </c>
      <c r="J778" s="20" t="str">
        <f ca="1">IFERROR(__xludf.DUMMYFUNCTION("""COMPUTED_VALUE"""),"Ley")</f>
        <v>Ley</v>
      </c>
      <c r="K778" s="20">
        <f ca="1">IFERROR(__xludf.DUMMYFUNCTION("""COMPUTED_VALUE"""),37515)</f>
        <v>37515</v>
      </c>
      <c r="L778" s="20" t="str">
        <f ca="1">IFERROR(__xludf.DUMMYFUNCTION("""COMPUTED_VALUE"""),"Poder Ejecutivo Provincial")</f>
        <v>Poder Ejecutivo Provincial</v>
      </c>
      <c r="M778" s="20" t="str">
        <f ca="1">IFERROR(__xludf.DUMMYFUNCTION("""COMPUTED_VALUE"""),"Modificando el radio municipal de la  localidad de Sebastian Elcano, Dpto. Rio Seco")</f>
        <v>Modificando el radio municipal de la  localidad de Sebastian Elcano, Dpto. Rio Seco</v>
      </c>
      <c r="N778" s="20" t="str">
        <f ca="1">IFERROR(__xludf.DUMMYFUNCTION("""COMPUTED_VALUE"""),"SI")</f>
        <v>SI</v>
      </c>
      <c r="O778" s="20" t="str">
        <f ca="1">IFERROR(__xludf.DUMMYFUNCTION("""COMPUTED_VALUE"""),"SI")</f>
        <v>SI</v>
      </c>
      <c r="P778" s="20">
        <f ca="1">IFERROR(__xludf.DUMMYFUNCTION("""COMPUTED_VALUE"""),1)</f>
        <v>1</v>
      </c>
      <c r="Q778" s="113" t="str">
        <f ca="1">IFERROR(__xludf.DUMMYFUNCTION("""COMPUTED_VALUE"""),"https://gld.legislaturacba.gob.ar/_cdd/api/Documento/descargar?guid=f5e32884-86a4-43a0-98a8-9475abc9a5dd&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v>
      </c>
      <c r="R778" s="113" t="str">
        <f ca="1">IFERROR(__xludf.DUMMYFUNCTION("""COMPUTED_VALUE"""),"https://www.youtube.com/watch?v=dw7tK5QFQes")</f>
        <v>https://www.youtube.com/watch?v=dw7tK5QFQes</v>
      </c>
      <c r="S778" s="113" t="str">
        <f ca="1">IFERROR(__xludf.DUMMYFUNCTION("""COMPUTED_VALUE"""),"https://gld.legislaturacba.gob.ar/Publics/Actas.aspx?id=WUY20FbWsYA=")</f>
        <v>https://gld.legislaturacba.gob.ar/Publics/Actas.aspx?id=WUY20FbWsYA=</v>
      </c>
      <c r="T778" s="99">
        <f t="shared" ca="1" si="0"/>
        <v>0</v>
      </c>
    </row>
    <row r="779" spans="1:20">
      <c r="A779" s="20">
        <f ca="1">IFERROR(__xludf.DUMMYFUNCTION("""COMPUTED_VALUE"""),73)</f>
        <v>73</v>
      </c>
      <c r="B779" s="20">
        <f ca="1">IFERROR(__xludf.DUMMYFUNCTION("""COMPUTED_VALUE"""),2023)</f>
        <v>2023</v>
      </c>
      <c r="C779" s="20" t="str">
        <f ca="1">IFERROR(__xludf.DUMMYFUNCTION("""COMPUTED_VALUE"""),"SEMIPRESENCIAL")</f>
        <v>SEMIPRESENCIAL</v>
      </c>
      <c r="D779" s="106">
        <f ca="1">IFERROR(__xludf.DUMMYFUNCTION("""COMPUTED_VALUE"""),45132)</f>
        <v>45132</v>
      </c>
      <c r="E779" s="20" t="str">
        <f ca="1">IFERROR(__xludf.DUMMYFUNCTION("""COMPUTED_VALUE"""),"SI")</f>
        <v>SI</v>
      </c>
      <c r="F779" s="20" t="str">
        <f ca="1">IFERROR(__xludf.DUMMYFUNCTION("""COMPUTED_VALUE"""),"LEGISLACIÓN DEL TRABAJO, PREVISIÓN Y SEGURIDAD SOCIAL;SALUD HUMANA")</f>
        <v>LEGISLACIÓN DEL TRABAJO, PREVISIÓN Y SEGURIDAD SOCIAL;SALUD HUMANA</v>
      </c>
      <c r="G779" s="20">
        <f ca="1">IFERROR(__xludf.DUMMYFUNCTION("""COMPUTED_VALUE"""),2)</f>
        <v>2</v>
      </c>
      <c r="H779" s="20">
        <f ca="1">IFERROR(__xludf.DUMMYFUNCTION("""COMPUTED_VALUE"""),2)</f>
        <v>2</v>
      </c>
      <c r="I779" s="20">
        <f ca="1">IFERROR(__xludf.DUMMYFUNCTION("""COMPUTED_VALUE"""),1)</f>
        <v>1</v>
      </c>
      <c r="J779" s="20" t="str">
        <f ca="1">IFERROR(__xludf.DUMMYFUNCTION("""COMPUTED_VALUE"""),"Ley")</f>
        <v>Ley</v>
      </c>
      <c r="K779" s="20">
        <f ca="1">IFERROR(__xludf.DUMMYFUNCTION("""COMPUTED_VALUE"""),35552)</f>
        <v>35552</v>
      </c>
      <c r="L779" s="20" t="str">
        <f ca="1">IFERROR(__xludf.DUMMYFUNCTION("""COMPUTED_VALUE"""),"Poder Legislativo Provincial")</f>
        <v>Poder Legislativo Provincial</v>
      </c>
      <c r="M779" s="20" t="str">
        <f ca="1">IFERROR(__xludf.DUMMYFUNCTION("""COMPUTED_VALUE"""),"Regulando el ejercicio profesional de Terapeutas y Terapistas Ocupacionales y Licenciados/as en Terapia Ocupacional, en la jurisdicción de la provincia.")</f>
        <v>Regulando el ejercicio profesional de Terapeutas y Terapistas Ocupacionales y Licenciados/as en Terapia Ocupacional, en la jurisdicción de la provincia.</v>
      </c>
      <c r="N779" s="20" t="str">
        <f ca="1">IFERROR(__xludf.DUMMYFUNCTION("""COMPUTED_VALUE"""),"NO")</f>
        <v>NO</v>
      </c>
      <c r="O779" s="20" t="str">
        <f ca="1">IFERROR(__xludf.DUMMYFUNCTION("""COMPUTED_VALUE"""),"NO")</f>
        <v>NO</v>
      </c>
      <c r="P779" s="20">
        <f ca="1">IFERROR(__xludf.DUMMYFUNCTION("""COMPUTED_VALUE"""),0)</f>
        <v>0</v>
      </c>
      <c r="Q779" s="113" t="str">
        <f ca="1">IFERROR(__xludf.DUMMYFUNCTION("""COMPUTED_VALUE"""),"https://gld.legislaturacba.gob.ar/_cdd/api/Documento/descargar?guid=57a24869-00fd-4d1e-bffe-1f9dac9fb5ae&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v>
      </c>
      <c r="R779" s="113" t="str">
        <f ca="1">IFERROR(__xludf.DUMMYFUNCTION("""COMPUTED_VALUE"""),"https://www.youtube.com/watch?v=7GRY1HLT-ic")</f>
        <v>https://www.youtube.com/watch?v=7GRY1HLT-ic</v>
      </c>
      <c r="S779" s="20" t="str">
        <f ca="1">IFERROR(__xludf.DUMMYFUNCTION("""COMPUTED_VALUE"""),"NA;https://gld.legislaturacba.gob.ar/Publics/Actas.aspx?id=dwij8UChx9w=")</f>
        <v>NA;https://gld.legislaturacba.gob.ar/Publics/Actas.aspx?id=dwij8UChx9w=</v>
      </c>
      <c r="T779" s="99">
        <f t="shared" ca="1" si="0"/>
        <v>1</v>
      </c>
    </row>
    <row r="780" spans="1:20">
      <c r="A780" s="20">
        <f ca="1">IFERROR(__xludf.DUMMYFUNCTION("""COMPUTED_VALUE"""),74)</f>
        <v>74</v>
      </c>
      <c r="B780" s="20">
        <f ca="1">IFERROR(__xludf.DUMMYFUNCTION("""COMPUTED_VALUE"""),2023)</f>
        <v>2023</v>
      </c>
      <c r="C780" s="20" t="str">
        <f ca="1">IFERROR(__xludf.DUMMYFUNCTION("""COMPUTED_VALUE"""),"VIRTUAL")</f>
        <v>VIRTUAL</v>
      </c>
      <c r="D780" s="106">
        <f ca="1">IFERROR(__xludf.DUMMYFUNCTION("""COMPUTED_VALUE"""),45132)</f>
        <v>45132</v>
      </c>
      <c r="E780" s="20" t="str">
        <f ca="1">IFERROR(__xludf.DUMMYFUNCTION("""COMPUTED_VALUE"""),"NO")</f>
        <v>NO</v>
      </c>
      <c r="F780" s="20" t="str">
        <f ca="1">IFERROR(__xludf.DUMMYFUNCTION("""COMPUTED_VALUE"""),"DEPORTES Y RECREACIÓN")</f>
        <v>DEPORTES Y RECREACIÓN</v>
      </c>
      <c r="G780" s="20">
        <f ca="1">IFERROR(__xludf.DUMMYFUNCTION("""COMPUTED_VALUE"""),1)</f>
        <v>1</v>
      </c>
      <c r="H780" s="20">
        <f ca="1">IFERROR(__xludf.DUMMYFUNCTION("""COMPUTED_VALUE"""),1)</f>
        <v>1</v>
      </c>
      <c r="I780" s="20">
        <f ca="1">IFERROR(__xludf.DUMMYFUNCTION("""COMPUTED_VALUE"""),1)</f>
        <v>1</v>
      </c>
      <c r="J780" s="20" t="str">
        <f ca="1">IFERROR(__xludf.DUMMYFUNCTION("""COMPUTED_VALUE"""),"Declaración")</f>
        <v>Declaración</v>
      </c>
      <c r="K780" s="20">
        <f ca="1">IFERROR(__xludf.DUMMYFUNCTION("""COMPUTED_VALUE"""),37549)</f>
        <v>37549</v>
      </c>
      <c r="L780" s="20" t="str">
        <f ca="1">IFERROR(__xludf.DUMMYFUNCTION("""COMPUTED_VALUE"""),"Poder Legislativo Provincial")</f>
        <v>Poder Legislativo Provincial</v>
      </c>
      <c r="M780" s="20" t="str">
        <f ca="1">IFERROR(__xludf.DUMMYFUNCTION("""COMPUTED_VALUE"""),"Expresando beneplácito por el evento Campus de Coaching Deportivo Fede-rado, a desarrollarse el día 16 de agosto en la ciudad de Córdoba.")</f>
        <v>Expresando beneplácito por el evento Campus de Coaching Deportivo Fede-rado, a desarrollarse el día 16 de agosto en la ciudad de Córdoba.</v>
      </c>
      <c r="N780" s="20" t="str">
        <f ca="1">IFERROR(__xludf.DUMMYFUNCTION("""COMPUTED_VALUE"""),"SI")</f>
        <v>SI</v>
      </c>
      <c r="O780" s="20" t="str">
        <f ca="1">IFERROR(__xludf.DUMMYFUNCTION("""COMPUTED_VALUE"""),"SI")</f>
        <v>SI</v>
      </c>
      <c r="P780" s="20">
        <f ca="1">IFERROR(__xludf.DUMMYFUNCTION("""COMPUTED_VALUE"""),3)</f>
        <v>3</v>
      </c>
      <c r="Q780" s="113" t="str">
        <f ca="1">IFERROR(__xludf.DUMMYFUNCTION("""COMPUTED_VALUE"""),"https://gld.legislaturacba.gob.ar/_cdd/api/Documento/descargar?guid=12736860-0e67-49e7-8e52-b5ee4f12f1a5&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v>
      </c>
      <c r="R780" s="113" t="str">
        <f ca="1">IFERROR(__xludf.DUMMYFUNCTION("""COMPUTED_VALUE"""),"https://www.youtube.com/watch?v=jGHmdHnE3qo")</f>
        <v>https://www.youtube.com/watch?v=jGHmdHnE3qo</v>
      </c>
      <c r="S780" s="113" t="str">
        <f ca="1">IFERROR(__xludf.DUMMYFUNCTION("""COMPUTED_VALUE"""),"https://gld.legislaturacba.gob.ar/Publics/Actas.aspx?id=ShIHVN8G-nE=")</f>
        <v>https://gld.legislaturacba.gob.ar/Publics/Actas.aspx?id=ShIHVN8G-nE=</v>
      </c>
      <c r="T780" s="99">
        <f t="shared" ca="1" si="0"/>
        <v>0</v>
      </c>
    </row>
    <row r="781" spans="1:20">
      <c r="A781" s="20">
        <f ca="1">IFERROR(__xludf.DUMMYFUNCTION("""COMPUTED_VALUE"""),75)</f>
        <v>75</v>
      </c>
      <c r="B781" s="20">
        <f ca="1">IFERROR(__xludf.DUMMYFUNCTION("""COMPUTED_VALUE"""),2023)</f>
        <v>2023</v>
      </c>
      <c r="C781" s="20" t="str">
        <f ca="1">IFERROR(__xludf.DUMMYFUNCTION("""COMPUTED_VALUE"""),"VIRTUAL")</f>
        <v>VIRTUAL</v>
      </c>
      <c r="D781" s="106">
        <f ca="1">IFERROR(__xludf.DUMMYFUNCTION("""COMPUTED_VALUE"""),45132)</f>
        <v>45132</v>
      </c>
      <c r="E781" s="20" t="str">
        <f ca="1">IFERROR(__xludf.DUMMYFUNCTION("""COMPUTED_VALUE"""),"NO")</f>
        <v>NO</v>
      </c>
      <c r="F781" s="20" t="str">
        <f ca="1">IFERROR(__xludf.DUMMYFUNCTION("""COMPUTED_VALUE"""),"EQUIDAD Y LUCHA CONTRA LA VIOLENCIA DE GÉNERO")</f>
        <v>EQUIDAD Y LUCHA CONTRA LA VIOLENCIA DE GÉNERO</v>
      </c>
      <c r="G781" s="20">
        <f ca="1">IFERROR(__xludf.DUMMYFUNCTION("""COMPUTED_VALUE"""),1)</f>
        <v>1</v>
      </c>
      <c r="H781" s="20">
        <f ca="1">IFERROR(__xludf.DUMMYFUNCTION("""COMPUTED_VALUE"""),1)</f>
        <v>1</v>
      </c>
      <c r="I781" s="20">
        <f ca="1">IFERROR(__xludf.DUMMYFUNCTION("""COMPUTED_VALUE"""),1)</f>
        <v>1</v>
      </c>
      <c r="J781" s="20" t="str">
        <f ca="1">IFERROR(__xludf.DUMMYFUNCTION("""COMPUTED_VALUE"""),"Ley")</f>
        <v>Ley</v>
      </c>
      <c r="K781" s="20">
        <f ca="1">IFERROR(__xludf.DUMMYFUNCTION("""COMPUTED_VALUE"""),37541)</f>
        <v>37541</v>
      </c>
      <c r="L781" s="20" t="str">
        <f ca="1">IFERROR(__xludf.DUMMYFUNCTION("""COMPUTED_VALUE"""),"Poder Ejecutivo Provincial")</f>
        <v>Poder Ejecutivo Provincial</v>
      </c>
      <c r="M781" s="20" t="str">
        <f ca="1">IFERROR(__xludf.DUMMYFUNCTION("""COMPUTED_VALUE"""),"Instituyendo el Programa Provincial Lideresas, con el objeto de promover y fortalecer la participación de las mujeres en condiciones de igualdad, en to-dos los ámbitos de la vida política")</f>
        <v>Instituyendo el Programa Provincial Lideresas, con el objeto de promover y fortalecer la participación de las mujeres en condiciones de igualdad, en to-dos los ámbitos de la vida política</v>
      </c>
      <c r="N781" s="20" t="str">
        <f ca="1">IFERROR(__xludf.DUMMYFUNCTION("""COMPUTED_VALUE"""),"NO")</f>
        <v>NO</v>
      </c>
      <c r="O781" s="20" t="str">
        <f ca="1">IFERROR(__xludf.DUMMYFUNCTION("""COMPUTED_VALUE"""),"NO")</f>
        <v>NO</v>
      </c>
      <c r="P781" s="20">
        <f ca="1">IFERROR(__xludf.DUMMYFUNCTION("""COMPUTED_VALUE"""),0)</f>
        <v>0</v>
      </c>
      <c r="Q781" s="113" t="str">
        <f ca="1">IFERROR(__xludf.DUMMYFUNCTION("""COMPUTED_VALUE"""),"https://gld.legislaturacba.gob.ar/_cdd/api/Documento/descargar?guid=c09af349-1c44-4f41-b32b-2f1a9831c849&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v>
      </c>
      <c r="R781" s="20" t="str">
        <f ca="1">IFERROR(__xludf.DUMMYFUNCTION("""COMPUTED_VALUE"""),"NA")</f>
        <v>NA</v>
      </c>
      <c r="S781" s="113" t="str">
        <f ca="1">IFERROR(__xludf.DUMMYFUNCTION("""COMPUTED_VALUE"""),"https://gld.legislaturacba.gob.ar/Publics/Actas.aspx?id=HOuDYrZrxAU=")</f>
        <v>https://gld.legislaturacba.gob.ar/Publics/Actas.aspx?id=HOuDYrZrxAU=</v>
      </c>
      <c r="T781" s="99">
        <f t="shared" ca="1" si="0"/>
        <v>0</v>
      </c>
    </row>
    <row r="782" spans="1:20">
      <c r="A782" s="20">
        <f ca="1">IFERROR(__xludf.DUMMYFUNCTION("""COMPUTED_VALUE"""),76)</f>
        <v>76</v>
      </c>
      <c r="B782" s="20">
        <f ca="1">IFERROR(__xludf.DUMMYFUNCTION("""COMPUTED_VALUE"""),2023)</f>
        <v>2023</v>
      </c>
      <c r="C782" s="20" t="str">
        <f ca="1">IFERROR(__xludf.DUMMYFUNCTION("""COMPUTED_VALUE"""),"SEMIPRESENCIAL")</f>
        <v>SEMIPRESENCIAL</v>
      </c>
      <c r="D782" s="106">
        <f ca="1">IFERROR(__xludf.DUMMYFUNCTION("""COMPUTED_VALUE"""),45133)</f>
        <v>45133</v>
      </c>
      <c r="E782" s="20" t="str">
        <f ca="1">IFERROR(__xludf.DUMMYFUNCTION("""COMPUTED_VALUE"""),"SI")</f>
        <v>SI</v>
      </c>
      <c r="F782" s="20" t="str">
        <f ca="1">IFERROR(__xludf.DUMMYFUNCTION("""COMPUTED_VALUE"""),"LEGISLACIÓN GENERAL;ASUNTOS CONSTITUCIONALES, JUSTICIA Y ACUERDOS")</f>
        <v>LEGISLACIÓN GENERAL;ASUNTOS CONSTITUCIONALES, JUSTICIA Y ACUERDOS</v>
      </c>
      <c r="G782" s="20">
        <f ca="1">IFERROR(__xludf.DUMMYFUNCTION("""COMPUTED_VALUE"""),2)</f>
        <v>2</v>
      </c>
      <c r="H782" s="20">
        <f ca="1">IFERROR(__xludf.DUMMYFUNCTION("""COMPUTED_VALUE"""),3)</f>
        <v>3</v>
      </c>
      <c r="I782" s="20">
        <f ca="1">IFERROR(__xludf.DUMMYFUNCTION("""COMPUTED_VALUE"""),1)</f>
        <v>1</v>
      </c>
      <c r="J782" s="20" t="str">
        <f ca="1">IFERROR(__xludf.DUMMYFUNCTION("""COMPUTED_VALUE"""),"Ley")</f>
        <v>Ley</v>
      </c>
      <c r="K782" s="20">
        <f ca="1">IFERROR(__xludf.DUMMYFUNCTION("""COMPUTED_VALUE"""),36647)</f>
        <v>36647</v>
      </c>
      <c r="L782" s="20" t="str">
        <f ca="1">IFERROR(__xludf.DUMMYFUNCTION("""COMPUTED_VALUE"""),"Poder Legislativo Provincial")</f>
        <v>Poder Legislativo Provincial</v>
      </c>
      <c r="M782" s="20" t="str">
        <f ca="1">IFERROR(__xludf.DUMMYFUNCTION("""COMPUTED_VALUE"""),"NA")</f>
        <v>NA</v>
      </c>
      <c r="N782" s="20" t="str">
        <f ca="1">IFERROR(__xludf.DUMMYFUNCTION("""COMPUTED_VALUE"""),"NO")</f>
        <v>NO</v>
      </c>
      <c r="O782" s="20" t="str">
        <f ca="1">IFERROR(__xludf.DUMMYFUNCTION("""COMPUTED_VALUE"""),"SI")</f>
        <v>SI</v>
      </c>
      <c r="P782" s="20">
        <f ca="1">IFERROR(__xludf.DUMMYFUNCTION("""COMPUTED_VALUE"""),8)</f>
        <v>8</v>
      </c>
      <c r="Q782" s="113" t="str">
        <f ca="1">IFERROR(__xludf.DUMMYFUNCTION("""COMPUTED_VALUE"""),"https://gld.legislaturacba.gob.ar/_cdd/api/Documento/descargar?guid=987434b6-5ce8-446a-a4c7-f4abc1e43e18&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v>
      </c>
      <c r="R782" s="113" t="str">
        <f ca="1">IFERROR(__xludf.DUMMYFUNCTION("""COMPUTED_VALUE"""),"https://www.youtube.com/watch?v=LmLzZ6mSmYA")</f>
        <v>https://www.youtube.com/watch?v=LmLzZ6mSmYA</v>
      </c>
      <c r="S782" s="20" t="str">
        <f ca="1">IFERROR(__xludf.DUMMYFUNCTION("""COMPUTED_VALUE"""),"NA;https://gld.legislaturacba.gob.ar/Publics/Actas.aspx?id=EbF9oQdnlgU=")</f>
        <v>NA;https://gld.legislaturacba.gob.ar/Publics/Actas.aspx?id=EbF9oQdnlgU=</v>
      </c>
      <c r="T782" s="99">
        <f t="shared" ca="1" si="0"/>
        <v>1</v>
      </c>
    </row>
    <row r="783" spans="1:20">
      <c r="A783" s="20">
        <f ca="1">IFERROR(__xludf.DUMMYFUNCTION("""COMPUTED_VALUE"""),77)</f>
        <v>77</v>
      </c>
      <c r="B783" s="20">
        <f ca="1">IFERROR(__xludf.DUMMYFUNCTION("""COMPUTED_VALUE"""),2023)</f>
        <v>2023</v>
      </c>
      <c r="C783" s="20" t="str">
        <f ca="1">IFERROR(__xludf.DUMMYFUNCTION("""COMPUTED_VALUE"""),"VIRTUAL")</f>
        <v>VIRTUAL</v>
      </c>
      <c r="D783" s="106">
        <f ca="1">IFERROR(__xludf.DUMMYFUNCTION("""COMPUTED_VALUE"""),45134)</f>
        <v>45134</v>
      </c>
      <c r="E783" s="20" t="str">
        <f ca="1">IFERROR(__xludf.DUMMYFUNCTION("""COMPUTED_VALUE"""),"NO")</f>
        <v>NO</v>
      </c>
      <c r="F783" s="20" t="str">
        <f ca="1">IFERROR(__xludf.DUMMYFUNCTION("""COMPUTED_VALUE"""),"ASUNTOS INSTITUCIONALES, MUNICIPALES Y COMUNALES")</f>
        <v>ASUNTOS INSTITUCIONALES, MUNICIPALES Y COMUNALES</v>
      </c>
      <c r="G783" s="20">
        <f ca="1">IFERROR(__xludf.DUMMYFUNCTION("""COMPUTED_VALUE"""),1)</f>
        <v>1</v>
      </c>
      <c r="H783" s="20">
        <f ca="1">IFERROR(__xludf.DUMMYFUNCTION("""COMPUTED_VALUE"""),3)</f>
        <v>3</v>
      </c>
      <c r="I783" s="20">
        <f ca="1">IFERROR(__xludf.DUMMYFUNCTION("""COMPUTED_VALUE"""),1)</f>
        <v>1</v>
      </c>
      <c r="J783" s="20" t="str">
        <f ca="1">IFERROR(__xludf.DUMMYFUNCTION("""COMPUTED_VALUE"""),"Ley")</f>
        <v>Ley</v>
      </c>
      <c r="K783" s="20">
        <f ca="1">IFERROR(__xludf.DUMMYFUNCTION("""COMPUTED_VALUE"""),37516)</f>
        <v>37516</v>
      </c>
      <c r="L783" s="20" t="str">
        <f ca="1">IFERROR(__xludf.DUMMYFUNCTION("""COMPUTED_VALUE"""),"Poder Ejecutivo Provincial")</f>
        <v>Poder Ejecutivo Provincial</v>
      </c>
      <c r="M783" s="20" t="str">
        <f ca="1">IFERROR(__xludf.DUMMYFUNCTION("""COMPUTED_VALUE"""),"Modificando el radio comunal de la localidad de Las Palmas, Dpto. Pocho.")</f>
        <v>Modificando el radio comunal de la localidad de Las Palmas, Dpto. Pocho.</v>
      </c>
      <c r="N783" s="20" t="str">
        <f ca="1">IFERROR(__xludf.DUMMYFUNCTION("""COMPUTED_VALUE"""),"SI")</f>
        <v>SI</v>
      </c>
      <c r="O783" s="20" t="str">
        <f ca="1">IFERROR(__xludf.DUMMYFUNCTION("""COMPUTED_VALUE"""),"SI")</f>
        <v>SI</v>
      </c>
      <c r="P783" s="20">
        <f ca="1">IFERROR(__xludf.DUMMYFUNCTION("""COMPUTED_VALUE"""),3)</f>
        <v>3</v>
      </c>
      <c r="Q783" s="113" t="str">
        <f ca="1">IFERROR(__xludf.DUMMYFUNCTION("""COMPUTED_VALUE"""),"https://gld.legislaturacba.gob.ar/_cdd/api/Documento/descargar?guid=3df71896-9cc7-4149-a7c8-0edb57edc5d3&amp;token=426zcG29hYW2wzLKQ4kXXIcq2YVSR4F7SERQxHjm7UgOKN7QzvDT9AP9C8B8EE74iR2VlVU6anFhi2_kOx97afTDgn9dcd27puTyllNl6_hWBIwjAhXRoNqgyYeqDmUXQSOoGFyQucP1NmYy"&amp;"ALsN6OyPNC48KFchH3aT7w5R4ID1IaP0xdYO0dhz9TA92CkKqEEAJCYswNgO92vWpQgIeTkqR72BCbTFC2FmjgJGi0PuqrepsaE7WhmQySYTJfJi")</f>
        <v>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v>
      </c>
      <c r="R783" s="113" t="str">
        <f ca="1">IFERROR(__xludf.DUMMYFUNCTION("""COMPUTED_VALUE"""),"https://www.youtube.com/watch?v=tZ_K77v7gzc")</f>
        <v>https://www.youtube.com/watch?v=tZ_K77v7gzc</v>
      </c>
      <c r="S783" s="113" t="str">
        <f ca="1">IFERROR(__xludf.DUMMYFUNCTION("""COMPUTED_VALUE"""),"https://gld.legislaturacba.gob.ar/Publics/Actas.aspx?id=zgCGuFulQeQ=")</f>
        <v>https://gld.legislaturacba.gob.ar/Publics/Actas.aspx?id=zgCGuFulQeQ=</v>
      </c>
      <c r="T783" s="99">
        <f t="shared" ca="1" si="0"/>
        <v>0</v>
      </c>
    </row>
    <row r="784" spans="1:20">
      <c r="A784" s="20">
        <f ca="1">IFERROR(__xludf.DUMMYFUNCTION("""COMPUTED_VALUE"""),78)</f>
        <v>78</v>
      </c>
      <c r="B784" s="20">
        <f ca="1">IFERROR(__xludf.DUMMYFUNCTION("""COMPUTED_VALUE"""),2023)</f>
        <v>2023</v>
      </c>
      <c r="C784" s="20" t="str">
        <f ca="1">IFERROR(__xludf.DUMMYFUNCTION("""COMPUTED_VALUE"""),"SEMIPRESENCIAL")</f>
        <v>SEMIPRESENCIAL</v>
      </c>
      <c r="D784" s="106">
        <f ca="1">IFERROR(__xludf.DUMMYFUNCTION("""COMPUTED_VALUE"""),45139)</f>
        <v>45139</v>
      </c>
      <c r="E784" s="20" t="str">
        <f ca="1">IFERROR(__xludf.DUMMYFUNCTION("""COMPUTED_VALUE"""),"SI")</f>
        <v>SI</v>
      </c>
      <c r="F784" s="20" t="str">
        <f ca="1">IFERROR(__xludf.DUMMYFUNCTION("""COMPUTED_VALUE"""),"LEGISLACIÓN DEL TRABAJO, PREVISIÓN Y SEGURIDAD SOCIAL;SALUD HUMANA")</f>
        <v>LEGISLACIÓN DEL TRABAJO, PREVISIÓN Y SEGURIDAD SOCIAL;SALUD HUMANA</v>
      </c>
      <c r="G784" s="20">
        <f ca="1">IFERROR(__xludf.DUMMYFUNCTION("""COMPUTED_VALUE"""),2)</f>
        <v>2</v>
      </c>
      <c r="H784" s="20">
        <f ca="1">IFERROR(__xludf.DUMMYFUNCTION("""COMPUTED_VALUE"""),2)</f>
        <v>2</v>
      </c>
      <c r="I784" s="20">
        <f ca="1">IFERROR(__xludf.DUMMYFUNCTION("""COMPUTED_VALUE"""),1)</f>
        <v>1</v>
      </c>
      <c r="J784" s="20" t="str">
        <f ca="1">IFERROR(__xludf.DUMMYFUNCTION("""COMPUTED_VALUE"""),"Ley")</f>
        <v>Ley</v>
      </c>
      <c r="K784" s="20">
        <f ca="1">IFERROR(__xludf.DUMMYFUNCTION("""COMPUTED_VALUE"""),35552)</f>
        <v>35552</v>
      </c>
      <c r="L784" s="20" t="str">
        <f ca="1">IFERROR(__xludf.DUMMYFUNCTION("""COMPUTED_VALUE"""),"Poder Legislativo Provincial")</f>
        <v>Poder Legislativo Provincial</v>
      </c>
      <c r="M784" s="20" t="str">
        <f ca="1">IFERROR(__xludf.DUMMYFUNCTION("""COMPUTED_VALUE"""),"Regulando el ejercicio profesional de Terapeutas y Terapistas Ocupacionales y Licenciados/as en Terapia Ocupacional, en la jurisdicción de la provincia.")</f>
        <v>Regulando el ejercicio profesional de Terapeutas y Terapistas Ocupacionales y Licenciados/as en Terapia Ocupacional, en la jurisdicción de la provincia.</v>
      </c>
      <c r="N784" s="20" t="str">
        <f ca="1">IFERROR(__xludf.DUMMYFUNCTION("""COMPUTED_VALUE"""),"NO")</f>
        <v>NO</v>
      </c>
      <c r="O784" s="20" t="str">
        <f ca="1">IFERROR(__xludf.DUMMYFUNCTION("""COMPUTED_VALUE"""),"SI")</f>
        <v>SI</v>
      </c>
      <c r="P784" s="20">
        <f ca="1">IFERROR(__xludf.DUMMYFUNCTION("""COMPUTED_VALUE"""),5)</f>
        <v>5</v>
      </c>
      <c r="Q784" s="113" t="str">
        <f ca="1">IFERROR(__xludf.DUMMYFUNCTION("""COMPUTED_VALUE"""),"https://gld.legislaturacba.gob.ar/_cdd/api/Documento/descargar?guid=44a778d5-6418-4c6c-b4c8-ec2da28d15eb&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v>
      </c>
      <c r="R784" s="113" t="str">
        <f ca="1">IFERROR(__xludf.DUMMYFUNCTION("""COMPUTED_VALUE"""),"https://www.youtube.com/watch?v=QtYfChZuWww")</f>
        <v>https://www.youtube.com/watch?v=QtYfChZuWww</v>
      </c>
      <c r="S784" s="20" t="str">
        <f ca="1">IFERROR(__xludf.DUMMYFUNCTION("""COMPUTED_VALUE"""),"NA;https://gld.legislaturacba.gob.ar/Publics/Actas.aspx?id=9H7qdQk9OT0=")</f>
        <v>NA;https://gld.legislaturacba.gob.ar/Publics/Actas.aspx?id=9H7qdQk9OT0=</v>
      </c>
      <c r="T784" s="99">
        <f t="shared" ca="1" si="0"/>
        <v>1</v>
      </c>
    </row>
    <row r="785" spans="1:20">
      <c r="A785" s="20">
        <f ca="1">IFERROR(__xludf.DUMMYFUNCTION("""COMPUTED_VALUE"""),79)</f>
        <v>79</v>
      </c>
      <c r="B785" s="20">
        <f ca="1">IFERROR(__xludf.DUMMYFUNCTION("""COMPUTED_VALUE"""),2023)</f>
        <v>2023</v>
      </c>
      <c r="C785" s="20" t="str">
        <f ca="1">IFERROR(__xludf.DUMMYFUNCTION("""COMPUTED_VALUE"""),"SEMIPRESENCIAL")</f>
        <v>SEMIPRESENCIAL</v>
      </c>
      <c r="D785" s="106">
        <f ca="1">IFERROR(__xludf.DUMMYFUNCTION("""COMPUTED_VALUE"""),45139)</f>
        <v>45139</v>
      </c>
      <c r="E785" s="20" t="str">
        <f ca="1">IFERROR(__xludf.DUMMYFUNCTION("""COMPUTED_VALUE"""),"SI")</f>
        <v>SI</v>
      </c>
      <c r="F785" s="20" t="str">
        <f ca="1">IFERROR(__xludf.DUMMYFUNCTION("""COMPUTED_VALUE"""),"LEGISLACIÓN GENERAL;ASUNTOS CONSTITUCIONALES, JUSTICIA Y ACUERDOS")</f>
        <v>LEGISLACIÓN GENERAL;ASUNTOS CONSTITUCIONALES, JUSTICIA Y ACUERDOS</v>
      </c>
      <c r="G785" s="20">
        <f ca="1">IFERROR(__xludf.DUMMYFUNCTION("""COMPUTED_VALUE"""),2)</f>
        <v>2</v>
      </c>
      <c r="H785" s="20">
        <f ca="1">IFERROR(__xludf.DUMMYFUNCTION("""COMPUTED_VALUE"""),4)</f>
        <v>4</v>
      </c>
      <c r="I785" s="20">
        <f ca="1">IFERROR(__xludf.DUMMYFUNCTION("""COMPUTED_VALUE"""),1)</f>
        <v>1</v>
      </c>
      <c r="J785" s="20" t="str">
        <f ca="1">IFERROR(__xludf.DUMMYFUNCTION("""COMPUTED_VALUE"""),"Ley")</f>
        <v>Ley</v>
      </c>
      <c r="K785" s="20">
        <f ca="1">IFERROR(__xludf.DUMMYFUNCTION("""COMPUTED_VALUE"""),36647)</f>
        <v>36647</v>
      </c>
      <c r="L785" s="20" t="str">
        <f ca="1">IFERROR(__xludf.DUMMYFUNCTION("""COMPUTED_VALUE"""),"Poder Legislativo Provincial")</f>
        <v>Poder Legislativo Provincial</v>
      </c>
      <c r="M785" s="20" t="str">
        <f ca="1">IFERROR(__xludf.DUMMYFUNCTION("""COMPUTED_VALUE"""),"Creando un Juzgado de Primera Instancia con competencia Múltiple en lo Civil y Comercial, Conciliación, Familia Y Quiebras en la Segunda Circunscripción Judicial, con asiento en el Centro Judicial Capital ")</f>
        <v xml:space="preserve">Creando un Juzgado de Primera Instancia con competencia Múltiple en lo Civil y Comercial, Conciliación, Familia Y Quiebras en la Segunda Circunscripción Judicial, con asiento en el Centro Judicial Capital </v>
      </c>
      <c r="N785" s="20" t="str">
        <f ca="1">IFERROR(__xludf.DUMMYFUNCTION("""COMPUTED_VALUE"""),"NO")</f>
        <v>NO</v>
      </c>
      <c r="O785" s="20" t="str">
        <f ca="1">IFERROR(__xludf.DUMMYFUNCTION("""COMPUTED_VALUE"""),"SI")</f>
        <v>SI</v>
      </c>
      <c r="P785" s="20">
        <f ca="1">IFERROR(__xludf.DUMMYFUNCTION("""COMPUTED_VALUE"""),2)</f>
        <v>2</v>
      </c>
      <c r="Q785" s="113" t="str">
        <f ca="1">IFERROR(__xludf.DUMMYFUNCTION("""COMPUTED_VALUE"""),"https://gld.legislaturacba.gob.ar/_cdd/api/Documento/descargar?guid=6ecc4204-cf9d-48ea-a192-8d8c4b2b6fd4&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v>
      </c>
      <c r="R785" s="113" t="str">
        <f ca="1">IFERROR(__xludf.DUMMYFUNCTION("""COMPUTED_VALUE"""),"https://www.youtube.com/watch?v=rnmKGBS1A7Y")</f>
        <v>https://www.youtube.com/watch?v=rnmKGBS1A7Y</v>
      </c>
      <c r="S785" s="20" t="str">
        <f ca="1">IFERROR(__xludf.DUMMYFUNCTION("""COMPUTED_VALUE"""),"NA;https://gld.legislaturacba.gob.ar/Publics/Actas.aspx?id=jd4hz1F-VBk=")</f>
        <v>NA;https://gld.legislaturacba.gob.ar/Publics/Actas.aspx?id=jd4hz1F-VBk=</v>
      </c>
      <c r="T785" s="99">
        <f t="shared" ca="1" si="0"/>
        <v>1</v>
      </c>
    </row>
    <row r="786" spans="1:20">
      <c r="A786" s="20">
        <f ca="1">IFERROR(__xludf.DUMMYFUNCTION("""COMPUTED_VALUE"""),80)</f>
        <v>80</v>
      </c>
      <c r="B786" s="20">
        <f ca="1">IFERROR(__xludf.DUMMYFUNCTION("""COMPUTED_VALUE"""),2023)</f>
        <v>2023</v>
      </c>
      <c r="C786" s="20" t="str">
        <f ca="1">IFERROR(__xludf.DUMMYFUNCTION("""COMPUTED_VALUE"""),"SEMIPRESENCIAL")</f>
        <v>SEMIPRESENCIAL</v>
      </c>
      <c r="D786" s="106">
        <f ca="1">IFERROR(__xludf.DUMMYFUNCTION("""COMPUTED_VALUE"""),45139)</f>
        <v>45139</v>
      </c>
      <c r="E786" s="20" t="str">
        <f ca="1">IFERROR(__xludf.DUMMYFUNCTION("""COMPUTED_VALUE"""),"NO")</f>
        <v>NO</v>
      </c>
      <c r="F786" s="20" t="str">
        <f ca="1">IFERROR(__xludf.DUMMYFUNCTION("""COMPUTED_VALUE"""),"PROMOCIÓN Y DEFENSA DE LOS DERECHOS DE LA NIÑEZ, ADOLESCENCIA Y FAMILIA")</f>
        <v>PROMOCIÓN Y DEFENSA DE LOS DERECHOS DE LA NIÑEZ, ADOLESCENCIA Y FAMILIA</v>
      </c>
      <c r="G786" s="20">
        <f ca="1">IFERROR(__xludf.DUMMYFUNCTION("""COMPUTED_VALUE"""),1)</f>
        <v>1</v>
      </c>
      <c r="H786" s="20">
        <f ca="1">IFERROR(__xludf.DUMMYFUNCTION("""COMPUTED_VALUE"""),1)</f>
        <v>1</v>
      </c>
      <c r="I786" s="20">
        <f ca="1">IFERROR(__xludf.DUMMYFUNCTION("""COMPUTED_VALUE"""),1)</f>
        <v>1</v>
      </c>
      <c r="J786" s="20" t="str">
        <f ca="1">IFERROR(__xludf.DUMMYFUNCTION("""COMPUTED_VALUE"""),"NA")</f>
        <v>NA</v>
      </c>
      <c r="K786" s="20" t="str">
        <f ca="1">IFERROR(__xludf.DUMMYFUNCTION("""COMPUTED_VALUE"""),"NA")</f>
        <v>NA</v>
      </c>
      <c r="L786" s="20" t="str">
        <f ca="1">IFERROR(__xludf.DUMMYFUNCTION("""COMPUTED_VALUE"""),"NA")</f>
        <v>NA</v>
      </c>
      <c r="M786" s="20" t="str">
        <f ca="1">IFERROR(__xludf.DUMMYFUNCTION("""COMPUTED_VALUE"""),"Vulneración de derechos en Niños, Niñas y ADolescentes. abordaje con perspectiva en niñez, proyectos e Iniciativas")</f>
        <v>Vulneración de derechos en Niños, Niñas y ADolescentes. abordaje con perspectiva en niñez, proyectos e Iniciativas</v>
      </c>
      <c r="N786" s="20" t="str">
        <f ca="1">IFERROR(__xludf.DUMMYFUNCTION("""COMPUTED_VALUE"""),"NA")</f>
        <v>NA</v>
      </c>
      <c r="O786" s="20" t="str">
        <f ca="1">IFERROR(__xludf.DUMMYFUNCTION("""COMPUTED_VALUE"""),"SI")</f>
        <v>SI</v>
      </c>
      <c r="P786" s="20">
        <f ca="1">IFERROR(__xludf.DUMMYFUNCTION("""COMPUTED_VALUE"""),3)</f>
        <v>3</v>
      </c>
      <c r="Q786" s="20" t="str">
        <f ca="1">IFERROR(__xludf.DUMMYFUNCTION("""COMPUTED_VALUE"""),"COMPLETAR")</f>
        <v>COMPLETAR</v>
      </c>
      <c r="R786" s="113" t="str">
        <f ca="1">IFERROR(__xludf.DUMMYFUNCTION("""COMPUTED_VALUE"""),"https://www.youtube.com/watch?v=gAqsZ8pDNrE")</f>
        <v>https://www.youtube.com/watch?v=gAqsZ8pDNrE</v>
      </c>
      <c r="S786" s="20" t="str">
        <f ca="1">IFERROR(__xludf.DUMMYFUNCTION("""COMPUTED_VALUE"""),"NA")</f>
        <v>NA</v>
      </c>
      <c r="T786" s="99">
        <f t="shared" ca="1" si="0"/>
        <v>1</v>
      </c>
    </row>
    <row r="787" spans="1:20">
      <c r="A787" s="20">
        <f ca="1">IFERROR(__xludf.DUMMYFUNCTION("""COMPUTED_VALUE"""),81)</f>
        <v>81</v>
      </c>
      <c r="B787" s="20">
        <f ca="1">IFERROR(__xludf.DUMMYFUNCTION("""COMPUTED_VALUE"""),2023)</f>
        <v>2023</v>
      </c>
      <c r="C787" s="20" t="str">
        <f ca="1">IFERROR(__xludf.DUMMYFUNCTION("""COMPUTED_VALUE"""),"VIRTUAL")</f>
        <v>VIRTUAL</v>
      </c>
      <c r="D787" s="106">
        <f ca="1">IFERROR(__xludf.DUMMYFUNCTION("""COMPUTED_VALUE"""),45141)</f>
        <v>45141</v>
      </c>
      <c r="E787" s="20" t="str">
        <f ca="1">IFERROR(__xludf.DUMMYFUNCTION("""COMPUTED_VALUE"""),"NO")</f>
        <v>NO</v>
      </c>
      <c r="F787" s="20" t="str">
        <f ca="1">IFERROR(__xludf.DUMMYFUNCTION("""COMPUTED_VALUE"""),"ECONOMÍA, PRESUPUESTO, GESTIÓN PÚBLICA E INNOVACIÓN")</f>
        <v>ECONOMÍA, PRESUPUESTO, GESTIÓN PÚBLICA E INNOVACIÓN</v>
      </c>
      <c r="G787" s="20">
        <f ca="1">IFERROR(__xludf.DUMMYFUNCTION("""COMPUTED_VALUE"""),1)</f>
        <v>1</v>
      </c>
      <c r="H787" s="20">
        <f ca="1">IFERROR(__xludf.DUMMYFUNCTION("""COMPUTED_VALUE"""),1)</f>
        <v>1</v>
      </c>
      <c r="I787" s="20">
        <f ca="1">IFERROR(__xludf.DUMMYFUNCTION("""COMPUTED_VALUE"""),1)</f>
        <v>1</v>
      </c>
      <c r="J787" s="20" t="str">
        <f ca="1">IFERROR(__xludf.DUMMYFUNCTION("""COMPUTED_VALUE"""),"Nota")</f>
        <v>Nota</v>
      </c>
      <c r="K787" s="20">
        <f ca="1">IFERROR(__xludf.DUMMYFUNCTION("""COMPUTED_VALUE"""),37127)</f>
        <v>37127</v>
      </c>
      <c r="L787" s="20" t="str">
        <f ca="1">IFERROR(__xludf.DUMMYFUNCTION("""COMPUTED_VALUE"""),"Poder Legislativo Provincial")</f>
        <v>Poder Legislativo Provincial</v>
      </c>
      <c r="M787" s="20" t="str">
        <f ca="1">IFERROR(__xludf.DUMMYFUNCTION("""COMPUTED_VALUE"""),"Remitiendo la cuenta de Inversión del ejercicio financiero 2022")</f>
        <v>Remitiendo la cuenta de Inversión del ejercicio financiero 2022</v>
      </c>
      <c r="N787" s="20" t="str">
        <f ca="1">IFERROR(__xludf.DUMMYFUNCTION("""COMPUTED_VALUE"""),"NO")</f>
        <v>NO</v>
      </c>
      <c r="O787" s="20" t="str">
        <f ca="1">IFERROR(__xludf.DUMMYFUNCTION("""COMPUTED_VALUE"""),"NO")</f>
        <v>NO</v>
      </c>
      <c r="P787" s="20">
        <f ca="1">IFERROR(__xludf.DUMMYFUNCTION("""COMPUTED_VALUE"""),0)</f>
        <v>0</v>
      </c>
      <c r="Q787" s="20" t="str">
        <f ca="1">IFERROR(__xludf.DUMMYFUNCTION("""COMPUTED_VALUE"""),"COMPLETAR")</f>
        <v>COMPLETAR</v>
      </c>
      <c r="R787" s="113" t="str">
        <f ca="1">IFERROR(__xludf.DUMMYFUNCTION("""COMPUTED_VALUE"""),"https://www.youtube.com/watch?v=mxzmjGCbTCo")</f>
        <v>https://www.youtube.com/watch?v=mxzmjGCbTCo</v>
      </c>
      <c r="S787" s="20" t="str">
        <f ca="1">IFERROR(__xludf.DUMMYFUNCTION("""COMPUTED_VALUE"""),"NA")</f>
        <v>NA</v>
      </c>
      <c r="T787" s="99">
        <f t="shared" ca="1" si="0"/>
        <v>1</v>
      </c>
    </row>
    <row r="788" spans="1:20">
      <c r="A788" s="20">
        <f ca="1">IFERROR(__xludf.DUMMYFUNCTION("""COMPUTED_VALUE"""),82)</f>
        <v>82</v>
      </c>
      <c r="B788" s="20">
        <f ca="1">IFERROR(__xludf.DUMMYFUNCTION("""COMPUTED_VALUE"""),2023)</f>
        <v>2023</v>
      </c>
      <c r="C788" s="20" t="str">
        <f ca="1">IFERROR(__xludf.DUMMYFUNCTION("""COMPUTED_VALUE"""),"SEMIPRESENCIAL")</f>
        <v>SEMIPRESENCIAL</v>
      </c>
      <c r="D788" s="106">
        <f ca="1">IFERROR(__xludf.DUMMYFUNCTION("""COMPUTED_VALUE"""),45153)</f>
        <v>45153</v>
      </c>
      <c r="E788" s="20" t="str">
        <f ca="1">IFERROR(__xludf.DUMMYFUNCTION("""COMPUTED_VALUE"""),"SI")</f>
        <v>SI</v>
      </c>
      <c r="F788" s="20" t="str">
        <f ca="1">IFERROR(__xludf.DUMMYFUNCTION("""COMPUTED_VALUE"""),"LEGISLACIÓN GENERAL;ASUNTOS CONSTITUCIONALES, JUSTICIA Y ACUERDOS")</f>
        <v>LEGISLACIÓN GENERAL;ASUNTOS CONSTITUCIONALES, JUSTICIA Y ACUERDOS</v>
      </c>
      <c r="G788" s="20">
        <f ca="1">IFERROR(__xludf.DUMMYFUNCTION("""COMPUTED_VALUE"""),2)</f>
        <v>2</v>
      </c>
      <c r="H788" s="20">
        <f ca="1">IFERROR(__xludf.DUMMYFUNCTION("""COMPUTED_VALUE"""),3)</f>
        <v>3</v>
      </c>
      <c r="I788" s="20">
        <f ca="1">IFERROR(__xludf.DUMMYFUNCTION("""COMPUTED_VALUE"""),1)</f>
        <v>1</v>
      </c>
      <c r="J788" s="20" t="str">
        <f ca="1">IFERROR(__xludf.DUMMYFUNCTION("""COMPUTED_VALUE"""),"Ley")</f>
        <v>Ley</v>
      </c>
      <c r="K788" s="20">
        <f ca="1">IFERROR(__xludf.DUMMYFUNCTION("""COMPUTED_VALUE"""),36647)</f>
        <v>36647</v>
      </c>
      <c r="L788" s="20" t="str">
        <f ca="1">IFERROR(__xludf.DUMMYFUNCTION("""COMPUTED_VALUE"""),"Poder Legislativo Provincial")</f>
        <v>Poder Legislativo Provincial</v>
      </c>
      <c r="M788" s="20" t="str">
        <f ca="1">IFERROR(__xludf.DUMMYFUNCTION("""COMPUTED_VALUE"""),"Creando un Juzgado de Primera Instancia con competencia Múltiple en lo Civil y Comercial, Conciliación, Familia Y Quiebras en la Segunda Circunscripción Judicial, con asiento en el Centro Judicial Capital ")</f>
        <v xml:space="preserve">Creando un Juzgado de Primera Instancia con competencia Múltiple en lo Civil y Comercial, Conciliación, Familia Y Quiebras en la Segunda Circunscripción Judicial, con asiento en el Centro Judicial Capital </v>
      </c>
      <c r="N788" s="20" t="str">
        <f ca="1">IFERROR(__xludf.DUMMYFUNCTION("""COMPUTED_VALUE"""),"SI")</f>
        <v>SI</v>
      </c>
      <c r="O788" s="20" t="str">
        <f ca="1">IFERROR(__xludf.DUMMYFUNCTION("""COMPUTED_VALUE"""),"SI")</f>
        <v>SI</v>
      </c>
      <c r="P788" s="20">
        <f ca="1">IFERROR(__xludf.DUMMYFUNCTION("""COMPUTED_VALUE"""),2)</f>
        <v>2</v>
      </c>
      <c r="Q788" s="113" t="str">
        <f ca="1">IFERROR(__xludf.DUMMYFUNCTION("""COMPUTED_VALUE"""),"https://gld.legislaturacba.gob.ar/_cdd/api/Documento/descargar?guid=6e13098a-a76d-4e97-a44c-d16bf2a2ec3c&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v>
      </c>
      <c r="R788" s="113" t="str">
        <f ca="1">IFERROR(__xludf.DUMMYFUNCTION("""COMPUTED_VALUE"""),"https://www.youtube.com/watch?v=My8XfhDvm-8")</f>
        <v>https://www.youtube.com/watch?v=My8XfhDvm-8</v>
      </c>
      <c r="S788" s="20" t="str">
        <f ca="1">IFERROR(__xludf.DUMMYFUNCTION("""COMPUTED_VALUE"""),"NA;https://gld.legislaturacba.gob.ar/Publics/Actas.aspx?id=jLKhDGdsAlw=")</f>
        <v>NA;https://gld.legislaturacba.gob.ar/Publics/Actas.aspx?id=jLKhDGdsAlw=</v>
      </c>
      <c r="T788" s="99">
        <f t="shared" ca="1" si="0"/>
        <v>1</v>
      </c>
    </row>
    <row r="789" spans="1:20">
      <c r="A789" s="20">
        <f ca="1">IFERROR(__xludf.DUMMYFUNCTION("""COMPUTED_VALUE"""),83)</f>
        <v>83</v>
      </c>
      <c r="B789" s="20">
        <f ca="1">IFERROR(__xludf.DUMMYFUNCTION("""COMPUTED_VALUE"""),2023)</f>
        <v>2023</v>
      </c>
      <c r="C789" s="20" t="str">
        <f ca="1">IFERROR(__xludf.DUMMYFUNCTION("""COMPUTED_VALUE"""),"VIRTUAL")</f>
        <v>VIRTUAL</v>
      </c>
      <c r="D789" s="106">
        <f ca="1">IFERROR(__xludf.DUMMYFUNCTION("""COMPUTED_VALUE"""),45153)</f>
        <v>45153</v>
      </c>
      <c r="E789" s="20" t="str">
        <f ca="1">IFERROR(__xludf.DUMMYFUNCTION("""COMPUTED_VALUE"""),"SI")</f>
        <v>SI</v>
      </c>
      <c r="F789" s="20" t="str">
        <f ca="1">IFERROR(__xludf.DUMMYFUNCTION("""COMPUTED_VALUE"""),"EDUCACIÓN, CULTURA, CIENCIA, TECNOLOGÍA E INFORMÁTICA;ECONOMÍA, PRESUPUESTO, GESTIÓN PÚBLICA E INNOVACIÓN")</f>
        <v>EDUCACIÓN, CULTURA, CIENCIA, TECNOLOGÍA E INFORMÁTICA;ECONOMÍA, PRESUPUESTO, GESTIÓN PÚBLICA E INNOVACIÓN</v>
      </c>
      <c r="G789" s="20">
        <f ca="1">IFERROR(__xludf.DUMMYFUNCTION("""COMPUTED_VALUE"""),2)</f>
        <v>2</v>
      </c>
      <c r="H789" s="20">
        <f ca="1">IFERROR(__xludf.DUMMYFUNCTION("""COMPUTED_VALUE"""),1)</f>
        <v>1</v>
      </c>
      <c r="I789" s="20">
        <f ca="1">IFERROR(__xludf.DUMMYFUNCTION("""COMPUTED_VALUE"""),1)</f>
        <v>1</v>
      </c>
      <c r="J789" s="20" t="str">
        <f ca="1">IFERROR(__xludf.DUMMYFUNCTION("""COMPUTED_VALUE"""),"Ley")</f>
        <v>Ley</v>
      </c>
      <c r="K789" s="20">
        <f ca="1">IFERROR(__xludf.DUMMYFUNCTION("""COMPUTED_VALUE"""),37674)</f>
        <v>37674</v>
      </c>
      <c r="L789" s="20" t="str">
        <f ca="1">IFERROR(__xludf.DUMMYFUNCTION("""COMPUTED_VALUE"""),"Poder Ejecutivo Provincial")</f>
        <v>Poder Ejecutivo Provincial</v>
      </c>
      <c r="M789" s="20" t="str">
        <f ca="1">IFERROR(__xludf.DUMMYFUNCTION("""COMPUTED_VALUE"""),"Ratificando el Decreto N° 1589 de fecha 15 de diciembre de 2022, mediante el cual se aprueba el modelo de “Memorándum de Acuerdo entre el Gobierno de la República Argentina, el Ministerio de Coordinación del Gobierno de la Pro-vincia de Córdoba y la Ofici"&amp;"na de las Naciones Unidas de Servicios para Pro-yectos (UNOPS)”.")</f>
        <v>Ratificando el Decreto N° 1589 de fecha 15 de diciembre de 2022, mediante el cual se aprueba el modelo de “Memorándum de Acuerdo entre el Gobierno de la República Argentina, el Ministerio de Coordinación del Gobierno de la Pro-vincia de Córdoba y la Oficina de las Naciones Unidas de Servicios para Pro-yectos (UNOPS)”.</v>
      </c>
      <c r="N789" s="20" t="str">
        <f ca="1">IFERROR(__xludf.DUMMYFUNCTION("""COMPUTED_VALUE"""),"NO")</f>
        <v>NO</v>
      </c>
      <c r="O789" s="20" t="str">
        <f ca="1">IFERROR(__xludf.DUMMYFUNCTION("""COMPUTED_VALUE"""),"NO")</f>
        <v>NO</v>
      </c>
      <c r="P789" s="20">
        <f ca="1">IFERROR(__xludf.DUMMYFUNCTION("""COMPUTED_VALUE"""),0)</f>
        <v>0</v>
      </c>
      <c r="Q789" s="20" t="str">
        <f ca="1">IFERROR(__xludf.DUMMYFUNCTION("""COMPUTED_VALUE"""),"COMPLETAR")</f>
        <v>COMPLETAR</v>
      </c>
      <c r="R789" s="113" t="str">
        <f ca="1">IFERROR(__xludf.DUMMYFUNCTION("""COMPUTED_VALUE"""),"https://www.youtube.com/watch?v=opO--2cSNUo")</f>
        <v>https://www.youtube.com/watch?v=opO--2cSNUo</v>
      </c>
      <c r="S789" s="20" t="str">
        <f ca="1">IFERROR(__xludf.DUMMYFUNCTION("""COMPUTED_VALUE"""),"NA;NA")</f>
        <v>NA;NA</v>
      </c>
      <c r="T789" s="99">
        <f t="shared" ca="1" si="0"/>
        <v>2</v>
      </c>
    </row>
    <row r="790" spans="1:20">
      <c r="A790" s="20">
        <f ca="1">IFERROR(__xludf.DUMMYFUNCTION("""COMPUTED_VALUE"""),84)</f>
        <v>84</v>
      </c>
      <c r="B790" s="20">
        <f ca="1">IFERROR(__xludf.DUMMYFUNCTION("""COMPUTED_VALUE"""),2023)</f>
        <v>2023</v>
      </c>
      <c r="C790" s="20" t="str">
        <f ca="1">IFERROR(__xludf.DUMMYFUNCTION("""COMPUTED_VALUE"""),"VIRTUAL")</f>
        <v>VIRTUAL</v>
      </c>
      <c r="D790" s="106">
        <f ca="1">IFERROR(__xludf.DUMMYFUNCTION("""COMPUTED_VALUE"""),45154)</f>
        <v>45154</v>
      </c>
      <c r="E790" s="20" t="str">
        <f ca="1">IFERROR(__xludf.DUMMYFUNCTION("""COMPUTED_VALUE"""),"SI")</f>
        <v>SI</v>
      </c>
      <c r="F790" s="20" t="str">
        <f ca="1">IFERROR(__xludf.DUMMYFUNCTION("""COMPUTED_VALUE"""),"LEGISLACIÓN GENERAL;ASUNTOS CONSTITUCIONALES, JUSTICIA Y ACUERDOS")</f>
        <v>LEGISLACIÓN GENERAL;ASUNTOS CONSTITUCIONALES, JUSTICIA Y ACUERDOS</v>
      </c>
      <c r="G790" s="20">
        <f ca="1">IFERROR(__xludf.DUMMYFUNCTION("""COMPUTED_VALUE"""),2)</f>
        <v>2</v>
      </c>
      <c r="H790" s="20">
        <f ca="1">IFERROR(__xludf.DUMMYFUNCTION("""COMPUTED_VALUE"""),1)</f>
        <v>1</v>
      </c>
      <c r="I790" s="20">
        <f ca="1">IFERROR(__xludf.DUMMYFUNCTION("""COMPUTED_VALUE"""),1)</f>
        <v>1</v>
      </c>
      <c r="J790" s="20" t="str">
        <f ca="1">IFERROR(__xludf.DUMMYFUNCTION("""COMPUTED_VALUE"""),"Ley")</f>
        <v>Ley</v>
      </c>
      <c r="K790" s="20">
        <f ca="1">IFERROR(__xludf.DUMMYFUNCTION("""COMPUTED_VALUE"""),37552)</f>
        <v>37552</v>
      </c>
      <c r="L790" s="20" t="str">
        <f ca="1">IFERROR(__xludf.DUMMYFUNCTION("""COMPUTED_VALUE"""),"Poder Ejecutivo Provincial")</f>
        <v>Poder Ejecutivo Provincial</v>
      </c>
      <c r="M790" s="20" t="str">
        <f ca="1">IFERROR(__xludf.DUMMYFUNCTION("""COMPUTED_VALUE"""),"Sustituyendo la Sección 2° del Capítulo II -Beneficio de Litigar sin Gastos- y el artículo 140 de la Ley N° 8465, Código Procesal Civil y Comercial de la provincia, modificando el artículo 25 de la Ley N° 10543 y derogando las dis-posiciones que resulten "&amp;"incompatibles con las de la presente Ley, procurando simplificar las formas y garantizar una mayor economía procesal.")</f>
        <v>Sustituyendo la Sección 2° del Capítulo II -Beneficio de Litigar sin Gastos- y el artículo 140 de la Ley N° 8465, Código Procesal Civil y Comercial de la provincia, modificando el artículo 25 de la Ley N° 10543 y derogando las dis-posiciones que resulten incompatibles con las de la presente Ley, procurando simplificar las formas y garantizar una mayor economía procesal.</v>
      </c>
      <c r="N790" s="20" t="str">
        <f ca="1">IFERROR(__xludf.DUMMYFUNCTION("""COMPUTED_VALUE"""),"SI")</f>
        <v>SI</v>
      </c>
      <c r="O790" s="20" t="str">
        <f ca="1">IFERROR(__xludf.DUMMYFUNCTION("""COMPUTED_VALUE"""),"NO")</f>
        <v>NO</v>
      </c>
      <c r="P790" s="20">
        <f ca="1">IFERROR(__xludf.DUMMYFUNCTION("""COMPUTED_VALUE"""),0)</f>
        <v>0</v>
      </c>
      <c r="Q790" s="113" t="str">
        <f ca="1">IFERROR(__xludf.DUMMYFUNCTION("""COMPUTED_VALUE"""),"https://gld.legislaturacba.gob.ar/_cdd/api/Documento/descargar?guid=d428156a-33ba-4705-9a81-45cb9e08664e&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v>
      </c>
      <c r="R790" s="113" t="str">
        <f ca="1">IFERROR(__xludf.DUMMYFUNCTION("""COMPUTED_VALUE"""),"https://www.youtube.com/watch?v=eBGUoXIUGYU")</f>
        <v>https://www.youtube.com/watch?v=eBGUoXIUGYU</v>
      </c>
      <c r="S790" s="20" t="str">
        <f ca="1">IFERROR(__xludf.DUMMYFUNCTION("""COMPUTED_VALUE"""),"NA;https://gld.legislaturacba.gob.ar/Publics/Actas.aspx?id=SSJIUr0cpbw=")</f>
        <v>NA;https://gld.legislaturacba.gob.ar/Publics/Actas.aspx?id=SSJIUr0cpbw=</v>
      </c>
      <c r="T790" s="99">
        <f t="shared" ca="1" si="0"/>
        <v>1</v>
      </c>
    </row>
    <row r="791" spans="1:20">
      <c r="A791" s="20">
        <f ca="1">IFERROR(__xludf.DUMMYFUNCTION("""COMPUTED_VALUE"""),85)</f>
        <v>85</v>
      </c>
      <c r="B791" s="20">
        <f ca="1">IFERROR(__xludf.DUMMYFUNCTION("""COMPUTED_VALUE"""),2023)</f>
        <v>2023</v>
      </c>
      <c r="C791" s="20" t="str">
        <f ca="1">IFERROR(__xludf.DUMMYFUNCTION("""COMPUTED_VALUE"""),"VIRTUAL")</f>
        <v>VIRTUAL</v>
      </c>
      <c r="D791" s="106">
        <f ca="1">IFERROR(__xludf.DUMMYFUNCTION("""COMPUTED_VALUE"""),45155)</f>
        <v>45155</v>
      </c>
      <c r="E791" s="20" t="str">
        <f ca="1">IFERROR(__xludf.DUMMYFUNCTION("""COMPUTED_VALUE"""),"NO")</f>
        <v>NO</v>
      </c>
      <c r="F791" s="20" t="str">
        <f ca="1">IFERROR(__xludf.DUMMYFUNCTION("""COMPUTED_VALUE"""),"ASUNTOS INSTITUCIONALES, MUNICIPALES Y COMUNALES")</f>
        <v>ASUNTOS INSTITUCIONALES, MUNICIPALES Y COMUNALES</v>
      </c>
      <c r="G791" s="20">
        <f ca="1">IFERROR(__xludf.DUMMYFUNCTION("""COMPUTED_VALUE"""),1)</f>
        <v>1</v>
      </c>
      <c r="H791" s="20">
        <f ca="1">IFERROR(__xludf.DUMMYFUNCTION("""COMPUTED_VALUE"""),2)</f>
        <v>2</v>
      </c>
      <c r="I791" s="20">
        <f ca="1">IFERROR(__xludf.DUMMYFUNCTION("""COMPUTED_VALUE"""),1)</f>
        <v>1</v>
      </c>
      <c r="J791" s="20" t="str">
        <f ca="1">IFERROR(__xludf.DUMMYFUNCTION("""COMPUTED_VALUE"""),"Ley")</f>
        <v>Ley</v>
      </c>
      <c r="K791" s="20">
        <f ca="1">IFERROR(__xludf.DUMMYFUNCTION("""COMPUTED_VALUE"""),37567)</f>
        <v>37567</v>
      </c>
      <c r="L791" s="20" t="str">
        <f ca="1">IFERROR(__xludf.DUMMYFUNCTION("""COMPUTED_VALUE"""),"Poder Ejecutivo Provincial")</f>
        <v>Poder Ejecutivo Provincial</v>
      </c>
      <c r="M791" s="20" t="str">
        <f ca="1">IFERROR(__xludf.DUMMYFUNCTION("""COMPUTED_VALUE"""),"Modificando el radio municipal de la localidad de Colonia San Bartolomé, Dpto. San Justo")</f>
        <v>Modificando el radio municipal de la localidad de Colonia San Bartolomé, Dpto. San Justo</v>
      </c>
      <c r="N791" s="20" t="str">
        <f ca="1">IFERROR(__xludf.DUMMYFUNCTION("""COMPUTED_VALUE"""),"SI")</f>
        <v>SI</v>
      </c>
      <c r="O791" s="20" t="str">
        <f ca="1">IFERROR(__xludf.DUMMYFUNCTION("""COMPUTED_VALUE"""),"SI")</f>
        <v>SI</v>
      </c>
      <c r="P791" s="20">
        <f ca="1">IFERROR(__xludf.DUMMYFUNCTION("""COMPUTED_VALUE"""),2)</f>
        <v>2</v>
      </c>
      <c r="Q791" s="113" t="str">
        <f ca="1">IFERROR(__xludf.DUMMYFUNCTION("""COMPUTED_VALUE"""),"https://gld.legislaturacba.gob.ar/_cdd/api/Documento/descargar?guid=1551b1ef-6818-431f-a312-4657d024172f&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v>
      </c>
      <c r="R791" s="113" t="str">
        <f ca="1">IFERROR(__xludf.DUMMYFUNCTION("""COMPUTED_VALUE"""),"https://www.youtube.com/watch?v=QTcbsOFN3z0")</f>
        <v>https://www.youtube.com/watch?v=QTcbsOFN3z0</v>
      </c>
      <c r="S791" s="113" t="str">
        <f ca="1">IFERROR(__xludf.DUMMYFUNCTION("""COMPUTED_VALUE"""),"https://gld.legislaturacba.gob.ar/Publics/Actas.aspx?id=lIUfKXi9S1E=")</f>
        <v>https://gld.legislaturacba.gob.ar/Publics/Actas.aspx?id=lIUfKXi9S1E=</v>
      </c>
      <c r="T791" s="99">
        <f t="shared" ca="1" si="0"/>
        <v>0</v>
      </c>
    </row>
    <row r="792" spans="1:20">
      <c r="A792" s="20">
        <f ca="1">IFERROR(__xludf.DUMMYFUNCTION("""COMPUTED_VALUE"""),86)</f>
        <v>86</v>
      </c>
      <c r="B792" s="20">
        <f ca="1">IFERROR(__xludf.DUMMYFUNCTION("""COMPUTED_VALUE"""),2023)</f>
        <v>2023</v>
      </c>
      <c r="C792" s="20" t="str">
        <f ca="1">IFERROR(__xludf.DUMMYFUNCTION("""COMPUTED_VALUE"""),"VIRTUAL")</f>
        <v>VIRTUAL</v>
      </c>
      <c r="D792" s="106">
        <f ca="1">IFERROR(__xludf.DUMMYFUNCTION("""COMPUTED_VALUE"""),45155)</f>
        <v>45155</v>
      </c>
      <c r="E792" s="20" t="str">
        <f ca="1">IFERROR(__xludf.DUMMYFUNCTION("""COMPUTED_VALUE"""),"NO")</f>
        <v>NO</v>
      </c>
      <c r="F792" s="20" t="str">
        <f ca="1">IFERROR(__xludf.DUMMYFUNCTION("""COMPUTED_VALUE"""),"AGRICULTURA, GANADERÍA Y RECURSOS RENOVABLES")</f>
        <v>AGRICULTURA, GANADERÍA Y RECURSOS RENOVABLES</v>
      </c>
      <c r="G792" s="20">
        <f ca="1">IFERROR(__xludf.DUMMYFUNCTION("""COMPUTED_VALUE"""),1)</f>
        <v>1</v>
      </c>
      <c r="H792" s="20">
        <f ca="1">IFERROR(__xludf.DUMMYFUNCTION("""COMPUTED_VALUE"""),1)</f>
        <v>1</v>
      </c>
      <c r="I792" s="20">
        <f ca="1">IFERROR(__xludf.DUMMYFUNCTION("""COMPUTED_VALUE"""),1)</f>
        <v>1</v>
      </c>
      <c r="J792" s="20" t="str">
        <f ca="1">IFERROR(__xludf.DUMMYFUNCTION("""COMPUTED_VALUE"""),"Resolución")</f>
        <v>Resolución</v>
      </c>
      <c r="K792" s="20">
        <f ca="1">IFERROR(__xludf.DUMMYFUNCTION("""COMPUTED_VALUE"""),37120)</f>
        <v>37120</v>
      </c>
      <c r="L792" s="20" t="str">
        <f ca="1">IFERROR(__xludf.DUMMYFUNCTION("""COMPUTED_VALUE"""),"Poder Legislativo Provincial")</f>
        <v>Poder Legislativo Provincial</v>
      </c>
      <c r="M792" s="20" t="str">
        <f ca="1">IFERROR(__xludf.DUMMYFUNCTION("""COMPUTED_VALUE"""),"Solicitando al Poder Ejecutivo informe (Art. 102 C.P.) sobre diversos aspectos referidos a los casos de triquinosis en la provincia.")</f>
        <v>Solicitando al Poder Ejecutivo informe (Art. 102 C.P.) sobre diversos aspectos referidos a los casos de triquinosis en la provincia.</v>
      </c>
      <c r="N792" s="20" t="str">
        <f ca="1">IFERROR(__xludf.DUMMYFUNCTION("""COMPUTED_VALUE"""),"NO")</f>
        <v>NO</v>
      </c>
      <c r="O792" s="20" t="str">
        <f ca="1">IFERROR(__xludf.DUMMYFUNCTION("""COMPUTED_VALUE"""),"SI")</f>
        <v>SI</v>
      </c>
      <c r="P792" s="20">
        <f ca="1">IFERROR(__xludf.DUMMYFUNCTION("""COMPUTED_VALUE"""),5)</f>
        <v>5</v>
      </c>
      <c r="Q792" s="113" t="str">
        <f ca="1">IFERROR(__xludf.DUMMYFUNCTION("""COMPUTED_VALUE"""),"https://gld.legislaturacba.gob.ar/_cdd/api/Documento/descargar?guid=773ef972-7441-4b5c-ba96-5d0752c49372&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v>
      </c>
      <c r="R792" s="113" t="str">
        <f ca="1">IFERROR(__xludf.DUMMYFUNCTION("""COMPUTED_VALUE"""),"https://www.youtube.com/watch?v=nTDdKyrIU34")</f>
        <v>https://www.youtube.com/watch?v=nTDdKyrIU34</v>
      </c>
      <c r="S792" s="113" t="str">
        <f ca="1">IFERROR(__xludf.DUMMYFUNCTION("""COMPUTED_VALUE"""),"https://gld.legislaturacba.gob.ar/Publics/Actas.aspx?id=XrjdqrDNRLk=")</f>
        <v>https://gld.legislaturacba.gob.ar/Publics/Actas.aspx?id=XrjdqrDNRLk=</v>
      </c>
      <c r="T792" s="99">
        <f t="shared" ca="1" si="0"/>
        <v>0</v>
      </c>
    </row>
    <row r="793" spans="1:20">
      <c r="A793" s="20">
        <f ca="1">IFERROR(__xludf.DUMMYFUNCTION("""COMPUTED_VALUE"""),87)</f>
        <v>87</v>
      </c>
      <c r="B793" s="20">
        <f ca="1">IFERROR(__xludf.DUMMYFUNCTION("""COMPUTED_VALUE"""),2023)</f>
        <v>2023</v>
      </c>
      <c r="C793" s="20" t="str">
        <f ca="1">IFERROR(__xludf.DUMMYFUNCTION("""COMPUTED_VALUE"""),"SEMIPRESENCIAL")</f>
        <v>SEMIPRESENCIAL</v>
      </c>
      <c r="D793" s="106">
        <f ca="1">IFERROR(__xludf.DUMMYFUNCTION("""COMPUTED_VALUE"""),45160)</f>
        <v>45160</v>
      </c>
      <c r="E793" s="20" t="str">
        <f ca="1">IFERROR(__xludf.DUMMYFUNCTION("""COMPUTED_VALUE"""),"SI")</f>
        <v>SI</v>
      </c>
      <c r="F793" s="20" t="str">
        <f ca="1">IFERROR(__xludf.DUMMYFUNCTION("""COMPUTED_VALUE"""),"LEGISLACIÓN DEL TRABAJO, PREVISIÓN Y SEGURIDAD SOCIAL;SALUD HUMANA")</f>
        <v>LEGISLACIÓN DEL TRABAJO, PREVISIÓN Y SEGURIDAD SOCIAL;SALUD HUMANA</v>
      </c>
      <c r="G793" s="20">
        <f ca="1">IFERROR(__xludf.DUMMYFUNCTION("""COMPUTED_VALUE"""),2)</f>
        <v>2</v>
      </c>
      <c r="H793" s="20">
        <f ca="1">IFERROR(__xludf.DUMMYFUNCTION("""COMPUTED_VALUE"""),2)</f>
        <v>2</v>
      </c>
      <c r="I793" s="20">
        <f ca="1">IFERROR(__xludf.DUMMYFUNCTION("""COMPUTED_VALUE"""),1)</f>
        <v>1</v>
      </c>
      <c r="J793" s="20" t="str">
        <f ca="1">IFERROR(__xludf.DUMMYFUNCTION("""COMPUTED_VALUE"""),"Ley")</f>
        <v>Ley</v>
      </c>
      <c r="K793" s="20">
        <f ca="1">IFERROR(__xludf.DUMMYFUNCTION("""COMPUTED_VALUE"""),35552)</f>
        <v>35552</v>
      </c>
      <c r="L793" s="20" t="str">
        <f ca="1">IFERROR(__xludf.DUMMYFUNCTION("""COMPUTED_VALUE"""),"Poder Legislativo Provincial")</f>
        <v>Poder Legislativo Provincial</v>
      </c>
      <c r="M793" s="20" t="str">
        <f ca="1">IFERROR(__xludf.DUMMYFUNCTION("""COMPUTED_VALUE"""),"Regulando el ejercicio profesional de Terapeutas y Terapistas Ocupacionales y Licenciados/as en Terapia Ocupacional, en la jurisdicción de la provincia.")</f>
        <v>Regulando el ejercicio profesional de Terapeutas y Terapistas Ocupacionales y Licenciados/as en Terapia Ocupacional, en la jurisdicción de la provincia.</v>
      </c>
      <c r="N793" s="20" t="str">
        <f ca="1">IFERROR(__xludf.DUMMYFUNCTION("""COMPUTED_VALUE"""),"NO")</f>
        <v>NO</v>
      </c>
      <c r="O793" s="20" t="str">
        <f ca="1">IFERROR(__xludf.DUMMYFUNCTION("""COMPUTED_VALUE"""),"SI")</f>
        <v>SI</v>
      </c>
      <c r="P793" s="20">
        <f ca="1">IFERROR(__xludf.DUMMYFUNCTION("""COMPUTED_VALUE"""),4)</f>
        <v>4</v>
      </c>
      <c r="Q793" s="20" t="str">
        <f ca="1">IFERROR(__xludf.DUMMYFUNCTION("""COMPUTED_VALUE"""),"COMPLETAR")</f>
        <v>COMPLETAR</v>
      </c>
      <c r="R793" s="113" t="str">
        <f ca="1">IFERROR(__xludf.DUMMYFUNCTION("""COMPUTED_VALUE"""),"https://www.youtube.com/watch?v=_YtrhgTGiSU")</f>
        <v>https://www.youtube.com/watch?v=_YtrhgTGiSU</v>
      </c>
      <c r="S793" s="20" t="str">
        <f ca="1">IFERROR(__xludf.DUMMYFUNCTION("""COMPUTED_VALUE"""),"NA;NA")</f>
        <v>NA;NA</v>
      </c>
      <c r="T793" s="99">
        <f t="shared" ca="1" si="0"/>
        <v>2</v>
      </c>
    </row>
    <row r="794" spans="1:20">
      <c r="A794" s="20">
        <f ca="1">IFERROR(__xludf.DUMMYFUNCTION("""COMPUTED_VALUE"""),88)</f>
        <v>88</v>
      </c>
      <c r="B794" s="20">
        <f ca="1">IFERROR(__xludf.DUMMYFUNCTION("""COMPUTED_VALUE"""),2023)</f>
        <v>2023</v>
      </c>
      <c r="C794" s="20" t="str">
        <f ca="1">IFERROR(__xludf.DUMMYFUNCTION("""COMPUTED_VALUE"""),"VIRTUAL")</f>
        <v>VIRTUAL</v>
      </c>
      <c r="D794" s="106">
        <f ca="1">IFERROR(__xludf.DUMMYFUNCTION("""COMPUTED_VALUE"""),45160)</f>
        <v>45160</v>
      </c>
      <c r="E794" s="20" t="str">
        <f ca="1">IFERROR(__xludf.DUMMYFUNCTION("""COMPUTED_VALUE"""),"NO")</f>
        <v>NO</v>
      </c>
      <c r="F794" s="20" t="str">
        <f ca="1">IFERROR(__xludf.DUMMYFUNCTION("""COMPUTED_VALUE"""),"ASUNTOS CONSTITUCIONALES, JUSTICIA Y ACUERDOS")</f>
        <v>ASUNTOS CONSTITUCIONALES, JUSTICIA Y ACUERDOS</v>
      </c>
      <c r="G794" s="20">
        <f ca="1">IFERROR(__xludf.DUMMYFUNCTION("""COMPUTED_VALUE"""),1)</f>
        <v>1</v>
      </c>
      <c r="H794" s="20">
        <f ca="1">IFERROR(__xludf.DUMMYFUNCTION("""COMPUTED_VALUE"""),1)</f>
        <v>1</v>
      </c>
      <c r="I794" s="20">
        <f ca="1">IFERROR(__xludf.DUMMYFUNCTION("""COMPUTED_VALUE"""),1)</f>
        <v>1</v>
      </c>
      <c r="J794" s="20" t="str">
        <f ca="1">IFERROR(__xludf.DUMMYFUNCTION("""COMPUTED_VALUE"""),"Pliego")</f>
        <v>Pliego</v>
      </c>
      <c r="K794" s="20">
        <f ca="1">IFERROR(__xludf.DUMMYFUNCTION("""COMPUTED_VALUE"""),37685)</f>
        <v>37685</v>
      </c>
      <c r="L794" s="20" t="str">
        <f ca="1">IFERROR(__xludf.DUMMYFUNCTION("""COMPUTED_VALUE"""),"Poder Ejecutivo Provincial")</f>
        <v>Poder Ejecutivo Provincial</v>
      </c>
      <c r="M794" s="20" t="str">
        <f ca="1">IFERROR(__xludf.DUMMYFUNCTION("""COMPUTED_VALUE"""),"Solicitando acuerdo para el traslado del abogado Leonardo González Zamar, como Vocal a la Cámara Civil y Comercial de 5º nominación, perteneciente a la Primera Circunscripción Judicial con asiento en la ciudad de Córdoba.")</f>
        <v>Solicitando acuerdo para el traslado del abogado Leonardo González Zamar, como Vocal a la Cámara Civil y Comercial de 5º nominación, perteneciente a la Primera Circunscripción Judicial con asiento en la ciudad de Córdoba.</v>
      </c>
      <c r="N794" s="20" t="str">
        <f ca="1">IFERROR(__xludf.DUMMYFUNCTION("""COMPUTED_VALUE"""),"SI")</f>
        <v>SI</v>
      </c>
      <c r="O794" s="20" t="str">
        <f ca="1">IFERROR(__xludf.DUMMYFUNCTION("""COMPUTED_VALUE"""),"NO")</f>
        <v>NO</v>
      </c>
      <c r="P794" s="20">
        <f ca="1">IFERROR(__xludf.DUMMYFUNCTION("""COMPUTED_VALUE"""),0)</f>
        <v>0</v>
      </c>
      <c r="Q794" s="113" t="str">
        <f ca="1">IFERROR(__xludf.DUMMYFUNCTION("""COMPUTED_VALUE"""),"https://gld.legislaturacba.gob.ar/_cdd/api/Documento/descargar?guid=3a68b32a-8f57-4415-b3c0-a77892283e40&amp;token=SlgPxFH4sC9E1SuVeHIiYuicGzR9yP_FWqEblZOU2AFk2IhZb68PR7poYgYAFoTR3CoxRunsfND0nKMq4PQrCZAcnIsbmPe7582qFe3uhxgcSfJyFLq4jradEo5qDWBmt4eh2RggEVb3GGi3"&amp;"Q6wWs7at87QHyRSwubBoMpVocAY_2W2IaTbCmS-GFnsRSQWuTkYPoNNaXl26ESgu78Zc9gQ4I4FqsVOXGQyGlvQFFZ-OubDVwXIG2Y9ETeuOVUuw")</f>
        <v>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v>
      </c>
      <c r="R794" s="113" t="str">
        <f ca="1">IFERROR(__xludf.DUMMYFUNCTION("""COMPUTED_VALUE"""),"https://www.youtube.com/watch?v=5nkOG7vy1sI")</f>
        <v>https://www.youtube.com/watch?v=5nkOG7vy1sI</v>
      </c>
      <c r="S794" s="113" t="str">
        <f ca="1">IFERROR(__xludf.DUMMYFUNCTION("""COMPUTED_VALUE"""),"https://gld.legislaturacba.gob.ar/Publics/Actas.aspx?id=K8aIKiJ0wZw=")</f>
        <v>https://gld.legislaturacba.gob.ar/Publics/Actas.aspx?id=K8aIKiJ0wZw=</v>
      </c>
      <c r="T794" s="99">
        <f t="shared" ca="1" si="0"/>
        <v>0</v>
      </c>
    </row>
    <row r="795" spans="1:20">
      <c r="A795" s="20">
        <f ca="1">IFERROR(__xludf.DUMMYFUNCTION("""COMPUTED_VALUE"""),89)</f>
        <v>89</v>
      </c>
      <c r="B795" s="20">
        <f ca="1">IFERROR(__xludf.DUMMYFUNCTION("""COMPUTED_VALUE"""),2023)</f>
        <v>2023</v>
      </c>
      <c r="C795" s="20" t="str">
        <f ca="1">IFERROR(__xludf.DUMMYFUNCTION("""COMPUTED_VALUE"""),"VIRTUAL")</f>
        <v>VIRTUAL</v>
      </c>
      <c r="D795" s="106">
        <f ca="1">IFERROR(__xludf.DUMMYFUNCTION("""COMPUTED_VALUE"""),45160)</f>
        <v>45160</v>
      </c>
      <c r="E795" s="20" t="str">
        <f ca="1">IFERROR(__xludf.DUMMYFUNCTION("""COMPUTED_VALUE"""),"NO")</f>
        <v>NO</v>
      </c>
      <c r="F795" s="20" t="str">
        <f ca="1">IFERROR(__xludf.DUMMYFUNCTION("""COMPUTED_VALUE"""),"EQUIDAD Y LUCHA CONTRA LA VIOLENCIA DE GÉNERO")</f>
        <v>EQUIDAD Y LUCHA CONTRA LA VIOLENCIA DE GÉNERO</v>
      </c>
      <c r="G795" s="20">
        <f ca="1">IFERROR(__xludf.DUMMYFUNCTION("""COMPUTED_VALUE"""),1)</f>
        <v>1</v>
      </c>
      <c r="H795" s="20">
        <f ca="1">IFERROR(__xludf.DUMMYFUNCTION("""COMPUTED_VALUE"""),1)</f>
        <v>1</v>
      </c>
      <c r="I795" s="20">
        <f ca="1">IFERROR(__xludf.DUMMYFUNCTION("""COMPUTED_VALUE"""),1)</f>
        <v>1</v>
      </c>
      <c r="J795" s="20" t="str">
        <f ca="1">IFERROR(__xludf.DUMMYFUNCTION("""COMPUTED_VALUE"""),"Ley")</f>
        <v>Ley</v>
      </c>
      <c r="K795" s="20">
        <f ca="1">IFERROR(__xludf.DUMMYFUNCTION("""COMPUTED_VALUE"""),37541)</f>
        <v>37541</v>
      </c>
      <c r="L795" s="20" t="str">
        <f ca="1">IFERROR(__xludf.DUMMYFUNCTION("""COMPUTED_VALUE"""),"Poder Ejecutivo Provincial")</f>
        <v>Poder Ejecutivo Provincial</v>
      </c>
      <c r="M795" s="20" t="str">
        <f ca="1">IFERROR(__xludf.DUMMYFUNCTION("""COMPUTED_VALUE"""),"Instituyendo el Programa Provincial Lideresas, con el objeto de promover y fortalecer la participación de las mujeres en condiciones de igualdad, en to-dos los ámbitos de la vida política. ")</f>
        <v xml:space="preserve">Instituyendo el Programa Provincial Lideresas, con el objeto de promover y fortalecer la participación de las mujeres en condiciones de igualdad, en to-dos los ámbitos de la vida política. </v>
      </c>
      <c r="N795" s="20" t="str">
        <f ca="1">IFERROR(__xludf.DUMMYFUNCTION("""COMPUTED_VALUE"""),"NO")</f>
        <v>NO</v>
      </c>
      <c r="O795" s="20" t="str">
        <f ca="1">IFERROR(__xludf.DUMMYFUNCTION("""COMPUTED_VALUE"""),"NO")</f>
        <v>NO</v>
      </c>
      <c r="P795" s="20">
        <f ca="1">IFERROR(__xludf.DUMMYFUNCTION("""COMPUTED_VALUE"""),0)</f>
        <v>0</v>
      </c>
      <c r="Q795" s="20" t="str">
        <f ca="1">IFERROR(__xludf.DUMMYFUNCTION("""COMPUTED_VALUE"""),"COMPLETAR")</f>
        <v>COMPLETAR</v>
      </c>
      <c r="R795" s="113" t="str">
        <f ca="1">IFERROR(__xludf.DUMMYFUNCTION("""COMPUTED_VALUE"""),"https://www.youtube.com/watch?v=aMhIlX3dwVU")</f>
        <v>https://www.youtube.com/watch?v=aMhIlX3dwVU</v>
      </c>
      <c r="S795" s="20" t="str">
        <f ca="1">IFERROR(__xludf.DUMMYFUNCTION("""COMPUTED_VALUE"""),"NA")</f>
        <v>NA</v>
      </c>
      <c r="T795" s="99">
        <f t="shared" ca="1" si="0"/>
        <v>1</v>
      </c>
    </row>
    <row r="796" spans="1:20">
      <c r="A796" s="20">
        <f ca="1">IFERROR(__xludf.DUMMYFUNCTION("""COMPUTED_VALUE"""),90)</f>
        <v>90</v>
      </c>
      <c r="B796" s="20">
        <f ca="1">IFERROR(__xludf.DUMMYFUNCTION("""COMPUTED_VALUE"""),2023)</f>
        <v>2023</v>
      </c>
      <c r="C796" s="20" t="str">
        <f ca="1">IFERROR(__xludf.DUMMYFUNCTION("""COMPUTED_VALUE"""),"VIRTUAL")</f>
        <v>VIRTUAL</v>
      </c>
      <c r="D796" s="106">
        <f ca="1">IFERROR(__xludf.DUMMYFUNCTION("""COMPUTED_VALUE"""),45161)</f>
        <v>45161</v>
      </c>
      <c r="E796" s="20" t="str">
        <f ca="1">IFERROR(__xludf.DUMMYFUNCTION("""COMPUTED_VALUE"""),"NO")</f>
        <v>NO</v>
      </c>
      <c r="F796" s="20" t="str">
        <f ca="1">IFERROR(__xludf.DUMMYFUNCTION("""COMPUTED_VALUE"""),"LEGISLACIÓN GENERAL")</f>
        <v>LEGISLACIÓN GENERAL</v>
      </c>
      <c r="G796" s="20">
        <f ca="1">IFERROR(__xludf.DUMMYFUNCTION("""COMPUTED_VALUE"""),1)</f>
        <v>1</v>
      </c>
      <c r="H796" s="20">
        <f ca="1">IFERROR(__xludf.DUMMYFUNCTION("""COMPUTED_VALUE"""),6)</f>
        <v>6</v>
      </c>
      <c r="I796" s="20">
        <f ca="1">IFERROR(__xludf.DUMMYFUNCTION("""COMPUTED_VALUE"""),1)</f>
        <v>1</v>
      </c>
      <c r="J796" s="20" t="str">
        <f ca="1">IFERROR(__xludf.DUMMYFUNCTION("""COMPUTED_VALUE"""),"Ley")</f>
        <v>Ley</v>
      </c>
      <c r="K796" s="20">
        <f ca="1">IFERROR(__xludf.DUMMYFUNCTION("""COMPUTED_VALUE"""),37515)</f>
        <v>37515</v>
      </c>
      <c r="L796" s="20" t="str">
        <f ca="1">IFERROR(__xludf.DUMMYFUNCTION("""COMPUTED_VALUE"""),"Poder Ejecutivo Provincial")</f>
        <v>Poder Ejecutivo Provincial</v>
      </c>
      <c r="M796" s="20" t="str">
        <f ca="1">IFERROR(__xludf.DUMMYFUNCTION("""COMPUTED_VALUE"""),"Modificando el radio municipal de la  localidad de Sebastian Elcano, Dpto. Rio Seco")</f>
        <v>Modificando el radio municipal de la  localidad de Sebastian Elcano, Dpto. Rio Seco</v>
      </c>
      <c r="N796" s="20" t="str">
        <f ca="1">IFERROR(__xludf.DUMMYFUNCTION("""COMPUTED_VALUE"""),"NO")</f>
        <v>NO</v>
      </c>
      <c r="O796" s="20" t="str">
        <f ca="1">IFERROR(__xludf.DUMMYFUNCTION("""COMPUTED_VALUE"""),"NO")</f>
        <v>NO</v>
      </c>
      <c r="P796" s="20">
        <f ca="1">IFERROR(__xludf.DUMMYFUNCTION("""COMPUTED_VALUE"""),0)</f>
        <v>0</v>
      </c>
      <c r="Q796" s="20" t="str">
        <f ca="1">IFERROR(__xludf.DUMMYFUNCTION("""COMPUTED_VALUE"""),"COMPLETAR")</f>
        <v>COMPLETAR</v>
      </c>
      <c r="R796" s="113" t="str">
        <f ca="1">IFERROR(__xludf.DUMMYFUNCTION("""COMPUTED_VALUE"""),"https://www.youtube.com/watch?v=uW5UAHZps6A")</f>
        <v>https://www.youtube.com/watch?v=uW5UAHZps6A</v>
      </c>
      <c r="S796" s="20" t="str">
        <f ca="1">IFERROR(__xludf.DUMMYFUNCTION("""COMPUTED_VALUE"""),"NA")</f>
        <v>NA</v>
      </c>
      <c r="T796" s="99">
        <f t="shared" ca="1" si="0"/>
        <v>1</v>
      </c>
    </row>
    <row r="797" spans="1:20">
      <c r="A797" s="20">
        <f ca="1">IFERROR(__xludf.DUMMYFUNCTION("""COMPUTED_VALUE"""),91)</f>
        <v>91</v>
      </c>
      <c r="B797" s="20">
        <f ca="1">IFERROR(__xludf.DUMMYFUNCTION("""COMPUTED_VALUE"""),2023)</f>
        <v>2023</v>
      </c>
      <c r="C797" s="20" t="str">
        <f ca="1">IFERROR(__xludf.DUMMYFUNCTION("""COMPUTED_VALUE"""),"VIRTUAL")</f>
        <v>VIRTUAL</v>
      </c>
      <c r="D797" s="106">
        <f ca="1">IFERROR(__xludf.DUMMYFUNCTION("""COMPUTED_VALUE"""),45162)</f>
        <v>45162</v>
      </c>
      <c r="E797" s="20" t="str">
        <f ca="1">IFERROR(__xludf.DUMMYFUNCTION("""COMPUTED_VALUE"""),"NO")</f>
        <v>NO</v>
      </c>
      <c r="F797" s="20" t="str">
        <f ca="1">IFERROR(__xludf.DUMMYFUNCTION("""COMPUTED_VALUE"""),"OBRAS PÚBLICAS, VIVIENDA Y COMUNICACIONES")</f>
        <v>OBRAS PÚBLICAS, VIVIENDA Y COMUNICACIONES</v>
      </c>
      <c r="G797" s="20">
        <f ca="1">IFERROR(__xludf.DUMMYFUNCTION("""COMPUTED_VALUE"""),1)</f>
        <v>1</v>
      </c>
      <c r="H797" s="20">
        <f ca="1">IFERROR(__xludf.DUMMYFUNCTION("""COMPUTED_VALUE"""),1)</f>
        <v>1</v>
      </c>
      <c r="I797" s="20">
        <f ca="1">IFERROR(__xludf.DUMMYFUNCTION("""COMPUTED_VALUE"""),1)</f>
        <v>1</v>
      </c>
      <c r="J797" s="20" t="str">
        <f ca="1">IFERROR(__xludf.DUMMYFUNCTION("""COMPUTED_VALUE"""),"Ley")</f>
        <v>Ley</v>
      </c>
      <c r="K797" s="20">
        <f ca="1">IFERROR(__xludf.DUMMYFUNCTION("""COMPUTED_VALUE"""),35728)</f>
        <v>35728</v>
      </c>
      <c r="L797" s="20" t="str">
        <f ca="1">IFERROR(__xludf.DUMMYFUNCTION("""COMPUTED_VALUE"""),"Poder Legislativo Provincial")</f>
        <v>Poder Legislativo Provincial</v>
      </c>
      <c r="M797" s="20" t="str">
        <f ca="1">IFERROR(__xludf.DUMMYFUNCTION("""COMPUTED_VALUE"""),"Declarando de utilidad pública y sujetos a expropiación los inmuebles ubica-dos en la localidad de Miramar de Ansenuza, Dpto. San Justo, destinados a la realización de obras para contener las variantes de nivel de la Laguna Mar Chiquita, espacios públicos"&amp;", la sistematización de las lagunas de retardo y regularización de viviendas particulares bajo el agua.")</f>
        <v>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v>
      </c>
      <c r="N797" s="20" t="str">
        <f ca="1">IFERROR(__xludf.DUMMYFUNCTION("""COMPUTED_VALUE"""),"NA")</f>
        <v>NA</v>
      </c>
      <c r="O797" s="20" t="str">
        <f ca="1">IFERROR(__xludf.DUMMYFUNCTION("""COMPUTED_VALUE"""),"SI")</f>
        <v>SI</v>
      </c>
      <c r="P797" s="20">
        <f ca="1">IFERROR(__xludf.DUMMYFUNCTION("""COMPUTED_VALUE"""),1)</f>
        <v>1</v>
      </c>
      <c r="Q797" s="20" t="str">
        <f ca="1">IFERROR(__xludf.DUMMYFUNCTION("""COMPUTED_VALUE"""),"COMPLETAR")</f>
        <v>COMPLETAR</v>
      </c>
      <c r="R797" s="113" t="str">
        <f ca="1">IFERROR(__xludf.DUMMYFUNCTION("""COMPUTED_VALUE"""),"https://www.youtube.com/watch?v=6jC6n3GJlf8")</f>
        <v>https://www.youtube.com/watch?v=6jC6n3GJlf8</v>
      </c>
      <c r="S797" s="20" t="str">
        <f ca="1">IFERROR(__xludf.DUMMYFUNCTION("""COMPUTED_VALUE"""),"NA")</f>
        <v>NA</v>
      </c>
      <c r="T797" s="99">
        <f t="shared" ca="1" si="0"/>
        <v>1</v>
      </c>
    </row>
    <row r="798" spans="1:20">
      <c r="T798" s="99">
        <f t="shared" si="0"/>
        <v>0</v>
      </c>
    </row>
    <row r="799" spans="1:20">
      <c r="T799" s="99">
        <f t="shared" si="0"/>
        <v>0</v>
      </c>
    </row>
    <row r="800" spans="1:20">
      <c r="T800" s="99">
        <f t="shared" si="0"/>
        <v>0</v>
      </c>
    </row>
    <row r="801" spans="20:20">
      <c r="T801" s="99">
        <f t="shared" si="0"/>
        <v>0</v>
      </c>
    </row>
    <row r="802" spans="20:20">
      <c r="T802" s="99">
        <f t="shared" si="0"/>
        <v>0</v>
      </c>
    </row>
    <row r="803" spans="20:20">
      <c r="T803" s="99">
        <f t="shared" si="0"/>
        <v>0</v>
      </c>
    </row>
    <row r="804" spans="20:20">
      <c r="T804" s="99">
        <f t="shared" si="0"/>
        <v>0</v>
      </c>
    </row>
    <row r="805" spans="20:20">
      <c r="T805" s="99">
        <f t="shared" si="0"/>
        <v>0</v>
      </c>
    </row>
    <row r="806" spans="20:20">
      <c r="T806" s="99">
        <f t="shared" si="0"/>
        <v>0</v>
      </c>
    </row>
    <row r="807" spans="20:20">
      <c r="T807" s="99">
        <f t="shared" si="0"/>
        <v>0</v>
      </c>
    </row>
    <row r="808" spans="20:20">
      <c r="T808" s="99">
        <f t="shared" si="0"/>
        <v>0</v>
      </c>
    </row>
    <row r="809" spans="20:20">
      <c r="T809" s="99">
        <f t="shared" si="0"/>
        <v>0</v>
      </c>
    </row>
    <row r="810" spans="20:20">
      <c r="T810" s="99">
        <f t="shared" si="0"/>
        <v>0</v>
      </c>
    </row>
    <row r="811" spans="20:20">
      <c r="T811" s="99">
        <f t="shared" si="0"/>
        <v>0</v>
      </c>
    </row>
    <row r="812" spans="20:20">
      <c r="T812" s="99">
        <f t="shared" si="0"/>
        <v>0</v>
      </c>
    </row>
    <row r="813" spans="20:20">
      <c r="T813" s="99">
        <f t="shared" si="0"/>
        <v>0</v>
      </c>
    </row>
    <row r="814" spans="20:20">
      <c r="T814" s="99">
        <f t="shared" si="0"/>
        <v>0</v>
      </c>
    </row>
    <row r="815" spans="20:20">
      <c r="T815" s="99">
        <f t="shared" si="0"/>
        <v>0</v>
      </c>
    </row>
    <row r="816" spans="20:20">
      <c r="T816" s="99">
        <f t="shared" si="0"/>
        <v>0</v>
      </c>
    </row>
    <row r="817" spans="20:20">
      <c r="T817" s="99">
        <f t="shared" si="0"/>
        <v>0</v>
      </c>
    </row>
    <row r="818" spans="20:20">
      <c r="T818" s="99">
        <f t="shared" si="0"/>
        <v>0</v>
      </c>
    </row>
    <row r="819" spans="20:20">
      <c r="T819" s="99">
        <f t="shared" si="0"/>
        <v>0</v>
      </c>
    </row>
    <row r="820" spans="20:20">
      <c r="T820" s="99">
        <f t="shared" si="0"/>
        <v>0</v>
      </c>
    </row>
    <row r="821" spans="20:20">
      <c r="T821" s="99">
        <f t="shared" si="0"/>
        <v>0</v>
      </c>
    </row>
    <row r="822" spans="20:20">
      <c r="T822" s="99">
        <f t="shared" si="0"/>
        <v>0</v>
      </c>
    </row>
    <row r="823" spans="20:20">
      <c r="T823" s="99">
        <f t="shared" si="0"/>
        <v>0</v>
      </c>
    </row>
    <row r="824" spans="20:20">
      <c r="T824" s="99">
        <f t="shared" si="0"/>
        <v>0</v>
      </c>
    </row>
    <row r="825" spans="20:20">
      <c r="T825" s="99">
        <f t="shared" si="0"/>
        <v>0</v>
      </c>
    </row>
    <row r="826" spans="20:20">
      <c r="T826" s="99">
        <f t="shared" si="0"/>
        <v>0</v>
      </c>
    </row>
    <row r="827" spans="20:20">
      <c r="T827" s="99">
        <f t="shared" si="0"/>
        <v>0</v>
      </c>
    </row>
    <row r="828" spans="20:20">
      <c r="T828" s="99">
        <f t="shared" si="0"/>
        <v>0</v>
      </c>
    </row>
    <row r="829" spans="20:20">
      <c r="T829" s="99">
        <f t="shared" si="0"/>
        <v>0</v>
      </c>
    </row>
    <row r="830" spans="20:20">
      <c r="T830" s="99">
        <f t="shared" si="0"/>
        <v>0</v>
      </c>
    </row>
    <row r="831" spans="20:20">
      <c r="T831" s="99">
        <f t="shared" si="0"/>
        <v>0</v>
      </c>
    </row>
    <row r="832" spans="20:20">
      <c r="T832" s="99">
        <f t="shared" si="0"/>
        <v>0</v>
      </c>
    </row>
    <row r="833" spans="20:20">
      <c r="T833" s="99">
        <f t="shared" si="0"/>
        <v>0</v>
      </c>
    </row>
    <row r="834" spans="20:20">
      <c r="T834" s="99">
        <f t="shared" si="0"/>
        <v>0</v>
      </c>
    </row>
    <row r="835" spans="20:20">
      <c r="T835" s="99">
        <f t="shared" si="0"/>
        <v>0</v>
      </c>
    </row>
    <row r="836" spans="20:20">
      <c r="T836" s="99">
        <f t="shared" si="0"/>
        <v>0</v>
      </c>
    </row>
    <row r="837" spans="20:20">
      <c r="T837" s="99">
        <f t="shared" si="0"/>
        <v>0</v>
      </c>
    </row>
    <row r="838" spans="20:20">
      <c r="T838" s="99">
        <f t="shared" si="0"/>
        <v>0</v>
      </c>
    </row>
    <row r="839" spans="20:20">
      <c r="T839" s="99">
        <f t="shared" si="0"/>
        <v>0</v>
      </c>
    </row>
    <row r="840" spans="20:20">
      <c r="T840" s="99">
        <f t="shared" si="0"/>
        <v>0</v>
      </c>
    </row>
    <row r="841" spans="20:20">
      <c r="T841" s="99">
        <f t="shared" si="0"/>
        <v>0</v>
      </c>
    </row>
    <row r="842" spans="20:20">
      <c r="T842" s="99">
        <f t="shared" si="0"/>
        <v>0</v>
      </c>
    </row>
    <row r="843" spans="20:20">
      <c r="T843" s="99">
        <f t="shared" si="0"/>
        <v>0</v>
      </c>
    </row>
    <row r="844" spans="20:20">
      <c r="T844" s="99">
        <f t="shared" si="0"/>
        <v>0</v>
      </c>
    </row>
    <row r="845" spans="20:20">
      <c r="T845" s="99">
        <f t="shared" si="0"/>
        <v>0</v>
      </c>
    </row>
    <row r="846" spans="20:20">
      <c r="T846" s="99">
        <f t="shared" si="0"/>
        <v>0</v>
      </c>
    </row>
    <row r="847" spans="20:20">
      <c r="T847" s="99">
        <f t="shared" si="0"/>
        <v>0</v>
      </c>
    </row>
    <row r="848" spans="20:20">
      <c r="T848" s="99">
        <f t="shared" si="0"/>
        <v>0</v>
      </c>
    </row>
    <row r="849" spans="20:20">
      <c r="T849" s="99">
        <f t="shared" si="0"/>
        <v>0</v>
      </c>
    </row>
    <row r="850" spans="20:20">
      <c r="T850" s="99">
        <f t="shared" si="0"/>
        <v>0</v>
      </c>
    </row>
    <row r="851" spans="20:20">
      <c r="T851" s="99">
        <f t="shared" si="0"/>
        <v>0</v>
      </c>
    </row>
    <row r="852" spans="20:20">
      <c r="T852" s="99">
        <f t="shared" si="0"/>
        <v>0</v>
      </c>
    </row>
    <row r="853" spans="20:20">
      <c r="T853" s="99">
        <f t="shared" si="0"/>
        <v>0</v>
      </c>
    </row>
    <row r="854" spans="20:20">
      <c r="T854" s="99">
        <f t="shared" si="0"/>
        <v>0</v>
      </c>
    </row>
    <row r="855" spans="20:20">
      <c r="T855" s="99">
        <f t="shared" si="0"/>
        <v>0</v>
      </c>
    </row>
    <row r="856" spans="20:20">
      <c r="T856" s="99">
        <f t="shared" si="0"/>
        <v>0</v>
      </c>
    </row>
    <row r="857" spans="20:20">
      <c r="T857" s="99">
        <f t="shared" si="0"/>
        <v>0</v>
      </c>
    </row>
    <row r="858" spans="20:20">
      <c r="T858" s="99">
        <f t="shared" si="0"/>
        <v>0</v>
      </c>
    </row>
    <row r="859" spans="20:20">
      <c r="T859" s="99">
        <f t="shared" si="0"/>
        <v>0</v>
      </c>
    </row>
    <row r="860" spans="20:20">
      <c r="T860" s="99">
        <f t="shared" si="0"/>
        <v>0</v>
      </c>
    </row>
    <row r="861" spans="20:20">
      <c r="T861" s="99">
        <f t="shared" si="0"/>
        <v>0</v>
      </c>
    </row>
    <row r="862" spans="20:20">
      <c r="T862" s="99">
        <f t="shared" si="0"/>
        <v>0</v>
      </c>
    </row>
    <row r="863" spans="20:20">
      <c r="T863" s="99">
        <f t="shared" si="0"/>
        <v>0</v>
      </c>
    </row>
    <row r="864" spans="20:20">
      <c r="T864" s="99">
        <f t="shared" si="0"/>
        <v>0</v>
      </c>
    </row>
    <row r="865" spans="20:20">
      <c r="T865" s="99">
        <f t="shared" si="0"/>
        <v>0</v>
      </c>
    </row>
    <row r="866" spans="20:20">
      <c r="T866" s="99">
        <f t="shared" si="0"/>
        <v>0</v>
      </c>
    </row>
    <row r="867" spans="20:20">
      <c r="T867" s="99">
        <f t="shared" si="0"/>
        <v>0</v>
      </c>
    </row>
    <row r="868" spans="20:20">
      <c r="T868" s="99">
        <f t="shared" si="0"/>
        <v>0</v>
      </c>
    </row>
    <row r="869" spans="20:20">
      <c r="T869" s="99">
        <f t="shared" si="0"/>
        <v>0</v>
      </c>
    </row>
    <row r="870" spans="20:20">
      <c r="T870" s="99">
        <f t="shared" si="0"/>
        <v>0</v>
      </c>
    </row>
    <row r="871" spans="20:20">
      <c r="T871" s="99">
        <f t="shared" si="0"/>
        <v>0</v>
      </c>
    </row>
    <row r="872" spans="20:20">
      <c r="T872" s="99">
        <f t="shared" si="0"/>
        <v>0</v>
      </c>
    </row>
    <row r="873" spans="20:20">
      <c r="T873" s="99">
        <f t="shared" si="0"/>
        <v>0</v>
      </c>
    </row>
    <row r="874" spans="20:20">
      <c r="T874" s="99">
        <f t="shared" si="0"/>
        <v>0</v>
      </c>
    </row>
    <row r="875" spans="20:20">
      <c r="T875" s="99">
        <f t="shared" si="0"/>
        <v>0</v>
      </c>
    </row>
    <row r="876" spans="20:20">
      <c r="T876" s="99">
        <f t="shared" si="0"/>
        <v>0</v>
      </c>
    </row>
    <row r="877" spans="20:20">
      <c r="T877" s="99">
        <f t="shared" si="0"/>
        <v>0</v>
      </c>
    </row>
    <row r="878" spans="20:20">
      <c r="T878" s="99">
        <f t="shared" si="0"/>
        <v>0</v>
      </c>
    </row>
    <row r="879" spans="20:20">
      <c r="T879" s="99">
        <f t="shared" si="0"/>
        <v>0</v>
      </c>
    </row>
    <row r="880" spans="20:20">
      <c r="T880" s="99">
        <f t="shared" si="0"/>
        <v>0</v>
      </c>
    </row>
    <row r="881" spans="20:20">
      <c r="T881" s="99">
        <f t="shared" si="0"/>
        <v>0</v>
      </c>
    </row>
    <row r="882" spans="20:20">
      <c r="T882" s="99">
        <f t="shared" si="0"/>
        <v>0</v>
      </c>
    </row>
    <row r="883" spans="20:20">
      <c r="T883" s="99">
        <f t="shared" si="0"/>
        <v>0</v>
      </c>
    </row>
    <row r="884" spans="20:20">
      <c r="T884" s="99">
        <f t="shared" si="0"/>
        <v>0</v>
      </c>
    </row>
    <row r="885" spans="20:20">
      <c r="T885" s="99">
        <f t="shared" si="0"/>
        <v>0</v>
      </c>
    </row>
    <row r="886" spans="20:20">
      <c r="T886" s="99">
        <f t="shared" si="0"/>
        <v>0</v>
      </c>
    </row>
    <row r="887" spans="20:20">
      <c r="T887" s="99">
        <f t="shared" si="0"/>
        <v>0</v>
      </c>
    </row>
    <row r="888" spans="20:20">
      <c r="T888" s="99">
        <f t="shared" si="0"/>
        <v>0</v>
      </c>
    </row>
    <row r="889" spans="20:20">
      <c r="T889" s="99">
        <f t="shared" si="0"/>
        <v>0</v>
      </c>
    </row>
    <row r="890" spans="20:20">
      <c r="T890" s="99">
        <f t="shared" si="0"/>
        <v>0</v>
      </c>
    </row>
    <row r="891" spans="20:20">
      <c r="T891" s="99">
        <f t="shared" si="0"/>
        <v>0</v>
      </c>
    </row>
    <row r="892" spans="20:20">
      <c r="T892" s="99">
        <f t="shared" si="0"/>
        <v>0</v>
      </c>
    </row>
    <row r="893" spans="20:20">
      <c r="T893" s="99">
        <f t="shared" si="0"/>
        <v>0</v>
      </c>
    </row>
    <row r="894" spans="20:20">
      <c r="T894" s="99">
        <f t="shared" si="0"/>
        <v>0</v>
      </c>
    </row>
    <row r="895" spans="20:20">
      <c r="T895" s="99">
        <f t="shared" si="0"/>
        <v>0</v>
      </c>
    </row>
    <row r="896" spans="20:20">
      <c r="T896" s="99">
        <f t="shared" si="0"/>
        <v>0</v>
      </c>
    </row>
    <row r="897" spans="20:20">
      <c r="T897" s="99">
        <f t="shared" si="0"/>
        <v>0</v>
      </c>
    </row>
    <row r="898" spans="20:20">
      <c r="T898" s="99">
        <f t="shared" si="0"/>
        <v>0</v>
      </c>
    </row>
    <row r="899" spans="20:20">
      <c r="T899" s="99">
        <f t="shared" si="0"/>
        <v>0</v>
      </c>
    </row>
    <row r="900" spans="20:20">
      <c r="T900" s="99">
        <f t="shared" si="0"/>
        <v>0</v>
      </c>
    </row>
    <row r="901" spans="20:20">
      <c r="T901" s="99">
        <f t="shared" si="0"/>
        <v>0</v>
      </c>
    </row>
    <row r="902" spans="20:20">
      <c r="T902" s="99">
        <f t="shared" si="0"/>
        <v>0</v>
      </c>
    </row>
    <row r="903" spans="20:20">
      <c r="T903" s="99">
        <f t="shared" si="0"/>
        <v>0</v>
      </c>
    </row>
    <row r="904" spans="20:20">
      <c r="T904" s="99">
        <f t="shared" si="0"/>
        <v>0</v>
      </c>
    </row>
    <row r="905" spans="20:20">
      <c r="T905" s="99">
        <f t="shared" si="0"/>
        <v>0</v>
      </c>
    </row>
    <row r="906" spans="20:20">
      <c r="T906" s="99">
        <f t="shared" si="0"/>
        <v>0</v>
      </c>
    </row>
    <row r="907" spans="20:20">
      <c r="T907" s="99">
        <f t="shared" si="0"/>
        <v>0</v>
      </c>
    </row>
    <row r="908" spans="20:20">
      <c r="T908" s="99">
        <f t="shared" si="0"/>
        <v>0</v>
      </c>
    </row>
    <row r="909" spans="20:20">
      <c r="T909" s="99">
        <f t="shared" si="0"/>
        <v>0</v>
      </c>
    </row>
    <row r="910" spans="20:20">
      <c r="T910" s="99">
        <f t="shared" si="0"/>
        <v>0</v>
      </c>
    </row>
    <row r="911" spans="20:20">
      <c r="T911" s="99">
        <f t="shared" si="0"/>
        <v>0</v>
      </c>
    </row>
    <row r="912" spans="20:20">
      <c r="T912" s="99">
        <f t="shared" si="0"/>
        <v>0</v>
      </c>
    </row>
    <row r="913" spans="20:20">
      <c r="T913" s="99">
        <f t="shared" si="0"/>
        <v>0</v>
      </c>
    </row>
    <row r="914" spans="20:20">
      <c r="T914" s="99">
        <f t="shared" si="0"/>
        <v>0</v>
      </c>
    </row>
    <row r="915" spans="20:20">
      <c r="T915" s="99">
        <f t="shared" si="0"/>
        <v>0</v>
      </c>
    </row>
    <row r="916" spans="20:20">
      <c r="T916" s="99">
        <f t="shared" si="0"/>
        <v>0</v>
      </c>
    </row>
    <row r="917" spans="20:20">
      <c r="T917" s="99">
        <f t="shared" si="0"/>
        <v>0</v>
      </c>
    </row>
    <row r="918" spans="20:20">
      <c r="T918" s="99">
        <f t="shared" si="0"/>
        <v>0</v>
      </c>
    </row>
    <row r="919" spans="20:20">
      <c r="T919" s="99">
        <f t="shared" si="0"/>
        <v>0</v>
      </c>
    </row>
    <row r="920" spans="20:20">
      <c r="T920" s="99">
        <f t="shared" si="0"/>
        <v>0</v>
      </c>
    </row>
    <row r="921" spans="20:20">
      <c r="T921" s="99">
        <f t="shared" si="0"/>
        <v>0</v>
      </c>
    </row>
    <row r="922" spans="20:20">
      <c r="T922" s="99">
        <f t="shared" si="0"/>
        <v>0</v>
      </c>
    </row>
    <row r="923" spans="20:20">
      <c r="T923" s="99">
        <f t="shared" si="0"/>
        <v>0</v>
      </c>
    </row>
    <row r="924" spans="20:20">
      <c r="T924" s="99">
        <f t="shared" si="0"/>
        <v>0</v>
      </c>
    </row>
    <row r="925" spans="20:20">
      <c r="T925" s="99">
        <f t="shared" si="0"/>
        <v>0</v>
      </c>
    </row>
    <row r="926" spans="20:20">
      <c r="T926" s="99">
        <f t="shared" si="0"/>
        <v>0</v>
      </c>
    </row>
    <row r="927" spans="20:20">
      <c r="T927" s="99">
        <f t="shared" si="0"/>
        <v>0</v>
      </c>
    </row>
    <row r="928" spans="20:20">
      <c r="T928" s="99">
        <f t="shared" si="0"/>
        <v>0</v>
      </c>
    </row>
    <row r="929" spans="20:20">
      <c r="T929" s="99">
        <f t="shared" si="0"/>
        <v>0</v>
      </c>
    </row>
    <row r="930" spans="20:20">
      <c r="T930" s="99">
        <f t="shared" si="0"/>
        <v>0</v>
      </c>
    </row>
    <row r="931" spans="20:20">
      <c r="T931" s="99">
        <f t="shared" si="0"/>
        <v>0</v>
      </c>
    </row>
    <row r="932" spans="20:20">
      <c r="T932" s="99">
        <f t="shared" si="0"/>
        <v>0</v>
      </c>
    </row>
    <row r="933" spans="20:20">
      <c r="T933" s="99">
        <f t="shared" si="0"/>
        <v>0</v>
      </c>
    </row>
    <row r="934" spans="20:20">
      <c r="T934" s="99">
        <f t="shared" si="0"/>
        <v>0</v>
      </c>
    </row>
    <row r="935" spans="20:20">
      <c r="T935" s="99">
        <f t="shared" si="0"/>
        <v>0</v>
      </c>
    </row>
    <row r="936" spans="20:20">
      <c r="T936" s="99">
        <f t="shared" si="0"/>
        <v>0</v>
      </c>
    </row>
    <row r="937" spans="20:20">
      <c r="T937" s="99">
        <f t="shared" si="0"/>
        <v>0</v>
      </c>
    </row>
    <row r="938" spans="20:20">
      <c r="T938" s="99">
        <f t="shared" si="0"/>
        <v>0</v>
      </c>
    </row>
    <row r="939" spans="20:20">
      <c r="T939" s="99">
        <f t="shared" si="0"/>
        <v>0</v>
      </c>
    </row>
    <row r="940" spans="20:20">
      <c r="T940" s="99">
        <f t="shared" si="0"/>
        <v>0</v>
      </c>
    </row>
    <row r="941" spans="20:20">
      <c r="T941" s="99">
        <f t="shared" si="0"/>
        <v>0</v>
      </c>
    </row>
    <row r="942" spans="20:20">
      <c r="T942" s="99">
        <f t="shared" si="0"/>
        <v>0</v>
      </c>
    </row>
    <row r="943" spans="20:20">
      <c r="T943" s="99">
        <f t="shared" si="0"/>
        <v>0</v>
      </c>
    </row>
    <row r="944" spans="20:20">
      <c r="T944" s="99">
        <f t="shared" si="0"/>
        <v>0</v>
      </c>
    </row>
    <row r="945" spans="20:20">
      <c r="T945" s="99">
        <f t="shared" si="0"/>
        <v>0</v>
      </c>
    </row>
    <row r="946" spans="20:20">
      <c r="T946" s="99">
        <f t="shared" si="0"/>
        <v>0</v>
      </c>
    </row>
    <row r="947" spans="20:20">
      <c r="T947" s="99">
        <f t="shared" si="0"/>
        <v>0</v>
      </c>
    </row>
    <row r="948" spans="20:20">
      <c r="T948" s="99">
        <f t="shared" si="0"/>
        <v>0</v>
      </c>
    </row>
    <row r="949" spans="20:20">
      <c r="T949" s="99">
        <f t="shared" si="0"/>
        <v>0</v>
      </c>
    </row>
    <row r="950" spans="20:20">
      <c r="T950" s="99">
        <f t="shared" si="0"/>
        <v>0</v>
      </c>
    </row>
    <row r="951" spans="20:20">
      <c r="T951" s="99">
        <f t="shared" si="0"/>
        <v>0</v>
      </c>
    </row>
    <row r="952" spans="20:20">
      <c r="T952" s="99">
        <f t="shared" si="0"/>
        <v>0</v>
      </c>
    </row>
    <row r="953" spans="20:20">
      <c r="T953" s="99">
        <f t="shared" si="0"/>
        <v>0</v>
      </c>
    </row>
    <row r="954" spans="20:20">
      <c r="T954" s="99">
        <f t="shared" si="0"/>
        <v>0</v>
      </c>
    </row>
    <row r="955" spans="20:20">
      <c r="T955" s="99">
        <f t="shared" si="0"/>
        <v>0</v>
      </c>
    </row>
    <row r="956" spans="20:20">
      <c r="T956" s="99">
        <f t="shared" si="0"/>
        <v>0</v>
      </c>
    </row>
    <row r="957" spans="20:20">
      <c r="T957" s="99">
        <f t="shared" si="0"/>
        <v>0</v>
      </c>
    </row>
    <row r="958" spans="20:20">
      <c r="T958" s="99">
        <f t="shared" si="0"/>
        <v>0</v>
      </c>
    </row>
    <row r="959" spans="20:20">
      <c r="T959" s="99">
        <f t="shared" si="0"/>
        <v>0</v>
      </c>
    </row>
    <row r="960" spans="20:20">
      <c r="T960" s="99">
        <f t="shared" si="0"/>
        <v>0</v>
      </c>
    </row>
    <row r="961" spans="20:20">
      <c r="T961" s="99">
        <f t="shared" si="0"/>
        <v>0</v>
      </c>
    </row>
    <row r="962" spans="20:20">
      <c r="T962" s="99">
        <f t="shared" si="0"/>
        <v>0</v>
      </c>
    </row>
    <row r="963" spans="20:20">
      <c r="T963" s="99">
        <f t="shared" si="0"/>
        <v>0</v>
      </c>
    </row>
    <row r="964" spans="20:20">
      <c r="T964" s="99">
        <f t="shared" si="0"/>
        <v>0</v>
      </c>
    </row>
    <row r="965" spans="20:20">
      <c r="T965" s="99">
        <f t="shared" si="0"/>
        <v>0</v>
      </c>
    </row>
    <row r="966" spans="20:20">
      <c r="T966" s="99">
        <f t="shared" si="0"/>
        <v>0</v>
      </c>
    </row>
    <row r="967" spans="20:20">
      <c r="T967" s="99">
        <f t="shared" si="0"/>
        <v>0</v>
      </c>
    </row>
    <row r="968" spans="20:20">
      <c r="T968" s="99">
        <f t="shared" si="0"/>
        <v>0</v>
      </c>
    </row>
    <row r="969" spans="20:20">
      <c r="T969" s="99">
        <f t="shared" si="0"/>
        <v>0</v>
      </c>
    </row>
    <row r="970" spans="20:20">
      <c r="T970" s="99">
        <f t="shared" si="0"/>
        <v>0</v>
      </c>
    </row>
    <row r="971" spans="20:20">
      <c r="T971" s="99">
        <f t="shared" si="0"/>
        <v>0</v>
      </c>
    </row>
    <row r="972" spans="20:20">
      <c r="T972" s="99">
        <f t="shared" si="0"/>
        <v>0</v>
      </c>
    </row>
    <row r="973" spans="20:20">
      <c r="T973" s="99">
        <f t="shared" si="0"/>
        <v>0</v>
      </c>
    </row>
    <row r="974" spans="20:20">
      <c r="T974" s="99">
        <f t="shared" si="0"/>
        <v>0</v>
      </c>
    </row>
    <row r="975" spans="20:20">
      <c r="T975" s="99">
        <f t="shared" si="0"/>
        <v>0</v>
      </c>
    </row>
    <row r="976" spans="20:20">
      <c r="T976" s="99">
        <f t="shared" si="0"/>
        <v>0</v>
      </c>
    </row>
    <row r="977" spans="20:20">
      <c r="T977" s="99">
        <f t="shared" si="0"/>
        <v>0</v>
      </c>
    </row>
    <row r="978" spans="20:20">
      <c r="T978" s="99">
        <f t="shared" si="0"/>
        <v>0</v>
      </c>
    </row>
    <row r="979" spans="20:20">
      <c r="T979" s="99">
        <f t="shared" si="0"/>
        <v>0</v>
      </c>
    </row>
    <row r="980" spans="20:20">
      <c r="T980" s="99">
        <f t="shared" si="0"/>
        <v>0</v>
      </c>
    </row>
    <row r="981" spans="20:20">
      <c r="T981" s="99">
        <f t="shared" si="0"/>
        <v>0</v>
      </c>
    </row>
    <row r="982" spans="20:20">
      <c r="T982" s="99">
        <f t="shared" si="0"/>
        <v>0</v>
      </c>
    </row>
    <row r="983" spans="20:20">
      <c r="T983" s="99">
        <f t="shared" si="0"/>
        <v>0</v>
      </c>
    </row>
    <row r="984" spans="20:20">
      <c r="T984" s="99">
        <f t="shared" si="0"/>
        <v>0</v>
      </c>
    </row>
    <row r="985" spans="20:20">
      <c r="T985" s="99">
        <f t="shared" si="0"/>
        <v>0</v>
      </c>
    </row>
    <row r="986" spans="20:20">
      <c r="T986" s="99">
        <f t="shared" si="0"/>
        <v>0</v>
      </c>
    </row>
    <row r="987" spans="20:20">
      <c r="T987" s="99">
        <f t="shared" si="0"/>
        <v>0</v>
      </c>
    </row>
    <row r="988" spans="20:20">
      <c r="T988" s="99">
        <f t="shared" si="0"/>
        <v>0</v>
      </c>
    </row>
    <row r="989" spans="20:20">
      <c r="T989" s="99">
        <f t="shared" si="0"/>
        <v>0</v>
      </c>
    </row>
    <row r="990" spans="20:20">
      <c r="T990" s="99">
        <f t="shared" si="0"/>
        <v>0</v>
      </c>
    </row>
    <row r="991" spans="20:20">
      <c r="T991" s="99">
        <f t="shared" si="0"/>
        <v>0</v>
      </c>
    </row>
    <row r="992" spans="20:20">
      <c r="T992" s="99">
        <f t="shared" si="0"/>
        <v>0</v>
      </c>
    </row>
    <row r="993" spans="20:20">
      <c r="T993" s="99">
        <f t="shared" si="0"/>
        <v>0</v>
      </c>
    </row>
    <row r="994" spans="20:20">
      <c r="T994" s="99">
        <f t="shared" si="0"/>
        <v>0</v>
      </c>
    </row>
    <row r="995" spans="20:20">
      <c r="T995" s="99">
        <f t="shared" si="0"/>
        <v>0</v>
      </c>
    </row>
    <row r="996" spans="20:20">
      <c r="T996" s="99">
        <f t="shared" si="0"/>
        <v>0</v>
      </c>
    </row>
    <row r="997" spans="20:20">
      <c r="T997" s="99">
        <f t="shared" si="0"/>
        <v>0</v>
      </c>
    </row>
    <row r="998" spans="20:20">
      <c r="T998" s="99">
        <f t="shared" si="0"/>
        <v>0</v>
      </c>
    </row>
    <row r="999" spans="20:20">
      <c r="T999" s="99">
        <f t="shared" si="0"/>
        <v>0</v>
      </c>
    </row>
    <row r="1000" spans="20:20">
      <c r="T1000" s="99">
        <f t="shared" si="0"/>
        <v>0</v>
      </c>
    </row>
    <row r="1001" spans="20:20">
      <c r="T1001" s="99">
        <f t="shared" si="0"/>
        <v>0</v>
      </c>
    </row>
  </sheetData>
  <autoFilter ref="A1:T575"/>
  <hyperlinks>
    <hyperlink ref="S2" r:id="rId1" display="https://gld.legislaturacba.gob.ar/Publics/Actas.aspx?id=Uj-TJ3BIYig="/>
    <hyperlink ref="S3" r:id="rId2" display="https://gld.legislaturacba.gob.ar/Publics/Actas.aspx?id=ZmDfu4aOfA8="/>
    <hyperlink ref="S4" r:id="rId3" display="https://gld.legislaturacba.gob.ar/Publics/Actas.aspx?id=QcG_t7mSh2Y="/>
    <hyperlink ref="S5" r:id="rId4" display="https://gld.legislaturacba.gob.ar/Publics/Actas.aspx?id=7lxFU7OrFzw="/>
    <hyperlink ref="S6" r:id="rId5" display="https://gld.legislaturacba.gob.ar/Publics/Actas.aspx?id=_X_Hz7uI5t8="/>
    <hyperlink ref="S7" r:id="rId6" display="https://gld.legislaturacba.gob.ar/Publics/Actas.aspx?id=RVqlQS6cGV4="/>
    <hyperlink ref="S8" r:id="rId7" display="https://gld.legislaturacba.gob.ar/Publics/Actas.aspx?id=aENQzRi7rMU="/>
    <hyperlink ref="S9" r:id="rId8" display="https://gld.legislaturacba.gob.ar/Publics/Actas.aspx?id=JYF6CVKRM3A="/>
    <hyperlink ref="S10" r:id="rId9" display="https://gld.legislaturacba.gob.ar/Publics/Actas.aspx?id=Put8LgPMkRI="/>
    <hyperlink ref="S11" r:id="rId10" display="https://gld.legislaturacba.gob.ar/Publics/Actas.aspx?id=X9-Az1nuIOo="/>
    <hyperlink ref="S12" r:id="rId11" display="https://gld.legislaturacba.gob.ar/Publics/Actas.aspx?id=t3crsEi3xa8="/>
    <hyperlink ref="S13" r:id="rId12" display="https://gld.legislaturacba.gob.ar/Publics/Actas.aspx?id=8o7mfejY_uA="/>
    <hyperlink ref="S14" r:id="rId13" display="https://gld.legislaturacba.gob.ar/Publics/Actas.aspx?id=r1pdSVzNQnk="/>
    <hyperlink ref="S15" r:id="rId14" display="https://gld.legislaturacba.gob.ar/Publics/Actas.aspx?id=JNNsy1gVu-8="/>
    <hyperlink ref="S16" r:id="rId15" display="https://gld.legislaturacba.gob.ar/Publics/Actas.aspx?id=LkDsrjpMKeM=;https://gld.legislaturacba.gob.ar/Publics/Actas.aspx?id=Axm3py3JWEs="/>
    <hyperlink ref="S17" r:id="rId16" display="https://gld.legislaturacba.gob.ar/Publics/Actas.aspx?id=jqYlfP5169I=;https://gld.legislaturacba.gob.ar/Publics/Actas.aspx?id=IISzCSxObi4="/>
    <hyperlink ref="S18" r:id="rId17" display="https://gld.legislaturacba.gob.ar/Publics/Actas.aspx?id=gnSVSGHX6rc="/>
    <hyperlink ref="S19" r:id="rId18" display="https://gld.legislaturacba.gob.ar/Publics/Actas.aspx?id=gQ4-FLnc044="/>
    <hyperlink ref="S20" r:id="rId19" display="https://gld.legislaturacba.gob.ar/Publics/Actas.aspx?id=95FbuEIA1ho="/>
    <hyperlink ref="S21" r:id="rId20" display="https://gld.legislaturacba.gob.ar/Publics/Actas.aspx?id=xTxPX0xF6_k="/>
    <hyperlink ref="S22" r:id="rId21" display="https://gld.legislaturacba.gob.ar/Publics/Actas.aspx?id=htjkbebq8Dw="/>
    <hyperlink ref="S23" r:id="rId22" display="https://gld.legislaturacba.gob.ar/Publics/Actas.aspx?id=IVUZ6YuNgyA="/>
    <hyperlink ref="S24" r:id="rId23" display="https://gld.legislaturacba.gob.ar/Publics/Actas.aspx?id=j0o6ECEU6U0="/>
    <hyperlink ref="S25" r:id="rId24" display="https://gld.legislaturacba.gob.ar/Publics/Actas.aspx?id=IeeooHM1_MM="/>
    <hyperlink ref="S26" r:id="rId25" display="https://gld.legislaturacba.gob.ar/Publics/Actas.aspx?id=NfODToWNSnU=;https://gld.legislaturacba.gob.ar/Publics/Actas.aspx?id=HyzvFJfkjgw="/>
    <hyperlink ref="S27" r:id="rId26" display="https://gld.legislaturacba.gob.ar/Publics/Actas.aspx?id=yZPsM9xnYqs="/>
    <hyperlink ref="S28" r:id="rId27" display="https://gld.legislaturacba.gob.ar/Publics/Actas.aspx?id=qbLjKQgPZaA="/>
    <hyperlink ref="S29" r:id="rId28" display="https://gld.legislaturacba.gob.ar/Publics/Actas.aspx?id=zAIADgRNzXs="/>
    <hyperlink ref="S30" r:id="rId29" display="https://gld.legislaturacba.gob.ar/Publics/Actas.aspx?id=xWTBMHPcxQg="/>
    <hyperlink ref="S31" r:id="rId30" display="https://gld.legislaturacba.gob.ar/Publics/Actas.aspx?id=wyLPBNCCMac="/>
    <hyperlink ref="S32" r:id="rId31" display="https://gld.legislaturacba.gob.ar/Publics/Actas.aspx?id=niqJ5jpnycc=;https://gld.legislaturacba.gob.ar/Publics/Actas.aspx?id=fATJVaLhlog="/>
    <hyperlink ref="Q33" r:id="rId32" display="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hyperlink ref="R33" r:id="rId33" display="https://www.youtube.com/watch?v=vUB_INPxhE4"/>
    <hyperlink ref="S33" r:id="rId34" display="https://gld.legislaturacba.gob.ar/Publics/Actas.aspx?id=WnuvlgHXSNY="/>
    <hyperlink ref="Q34" r:id="rId35" display="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hyperlink ref="R34" r:id="rId36" display="https://www.youtube.com/watch?v=07Y2v4hV47s"/>
    <hyperlink ref="S34" r:id="rId37" display="https://gld.legislaturacba.gob.ar/Publics/Actas.aspx?id=05nq1TIMSso="/>
    <hyperlink ref="Q35" r:id="rId38" display="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hyperlink ref="R35" r:id="rId39" display="https://www.youtube.com/watch?v=vvIHzsKlQ08"/>
    <hyperlink ref="S35" r:id="rId40" display="https://gld.legislaturacba.gob.ar/Publics/Actas.aspx?id=m6AwGSHemLo="/>
    <hyperlink ref="Q36" r:id="rId41" display="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hyperlink ref="R36" r:id="rId42" display="https://www.youtube.com/watch?v=-DVljyOAsvY"/>
    <hyperlink ref="S36" r:id="rId43" display="https://gld.legislaturacba.gob.ar/Publics/Actas.aspx?id=FNYJSALtxmg="/>
    <hyperlink ref="Q37" r:id="rId44" display="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hyperlink ref="R37" r:id="rId45" display="https://www.youtube.com/watch?v=kyCmdAaT278"/>
    <hyperlink ref="S37" r:id="rId46" display="https://gld.legislaturacba.gob.ar/Publics/Actas.aspx?id=Ps9WXRrPjoI="/>
    <hyperlink ref="Q38" r:id="rId47" display="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hyperlink ref="R38" r:id="rId48" display="https://www.youtube.com/watch?v=u2SzA8HwB1E"/>
    <hyperlink ref="S38" r:id="rId49" display="https://gld.legislaturacba.gob.ar/Publics/Actas.aspx?id=Wn7zEuoaaXY="/>
    <hyperlink ref="Q39" r:id="rId50" display="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hyperlink ref="R39" r:id="rId51" display="https://www.youtube.com/watch?v=2l00sknI04g"/>
    <hyperlink ref="S39" r:id="rId52" display="https://gld.legislaturacba.gob.ar/Publics/Actas.aspx?id=FSbC1P5ngP8="/>
    <hyperlink ref="Q40" r:id="rId53" display="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hyperlink ref="R40" r:id="rId54" display="https://www.youtube.com/watch?v=RfZnXExkPbo"/>
    <hyperlink ref="S40" r:id="rId55" display="https://gld.legislaturacba.gob.ar/Publics/Actas.aspx?id=qR7nflaeajk="/>
    <hyperlink ref="Q41" r:id="rId56" display="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hyperlink ref="R41" r:id="rId57" display="https://www.youtube.com/watch?v=AWkJOiQ1eXY"/>
    <hyperlink ref="S41" r:id="rId58" display="https://gld.legislaturacba.gob.ar/Publics/Actas.aspx?id=DUDipVNTFbo="/>
    <hyperlink ref="Q42" r:id="rId59" display="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hyperlink ref="R42" r:id="rId60" display="https://www.youtube.com/watch?v=AhB6yRqsRLM"/>
    <hyperlink ref="S42" r:id="rId61" display="https://gld.legislaturacba.gob.ar/Publics/Actas.aspx?id=5aTpKdkZ7Vc=;https://gld.legislaturacba.gob.ar/Publics/Actas.aspx?id=6IdxXWsVigc="/>
    <hyperlink ref="Q43" r:id="rId62" display="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hyperlink ref="S43" r:id="rId63" display="https://gld.legislaturacba.gob.ar/Publics/Actas.aspx?id=AQL7pGfFENQ=;https://gld.legislaturacba.gob.ar/Publics/Actas.aspx?id=Ph0rko7w0Ks="/>
    <hyperlink ref="Q44" r:id="rId64" display="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hyperlink ref="S44" r:id="rId65" display="https://gld.legislaturacba.gob.ar/Publics/Actas.aspx?id=dVHyxoNfHEg="/>
    <hyperlink ref="S45" r:id="rId66" display="https://gld.legislaturacba.gob.ar/Publics/Actas.aspx?id=MsIhocb7vlw="/>
    <hyperlink ref="R46" r:id="rId67" display="https://www.youtube.com/watch?v=22MzWnk5Qwo"/>
    <hyperlink ref="S46" r:id="rId68" display="https://gld.legislaturacba.gob.ar/Publics/Actas.aspx?id=pH2vAN9G27Q="/>
    <hyperlink ref="R47" r:id="rId69" display="https://www.youtube.com/watch?v=XzsipIZasEc"/>
    <hyperlink ref="S47" r:id="rId70" display="https://gld.legislaturacba.gob.ar/Publics/Actas.aspx?id=EXfKU0xc7rc="/>
    <hyperlink ref="Q48" r:id="rId71" display="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hyperlink ref="S48" r:id="rId72" display="https://gld.legislaturacba.gob.ar/Publics/Actas.aspx?id=7XiWl0SmqtE="/>
    <hyperlink ref="R49" r:id="rId73" display="https://www.youtube.com/watch?v=djS9MQlIzg8"/>
    <hyperlink ref="S49" r:id="rId74" display="https://gld.legislaturacba.gob.ar/Publics/Actas.aspx?id=9drLIh305UY="/>
    <hyperlink ref="Q50" r:id="rId75" display="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hyperlink ref="R50" r:id="rId76" display="https://www.youtube.com/watch?v=aL7VO4R-0B0"/>
    <hyperlink ref="S50" r:id="rId77" display="https://gld.legislaturacba.gob.ar/Publics/Actas.aspx?id=nGfd4U-JHDo=;https://gld.legislaturacba.gob.ar/Publics/Actas.aspx?id=6pHcN_GfMzI="/>
    <hyperlink ref="Q51" r:id="rId78" display="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hyperlink ref="R51" r:id="rId79" display="https://www.youtube.com/watch?v=aL7VO4R-0B0&amp;t=782s"/>
    <hyperlink ref="S51" r:id="rId80" display="https://gld.legislaturacba.gob.ar/Publics/Actas.aspx?id=lWx-ooIJv_A="/>
    <hyperlink ref="Q52" r:id="rId81" display="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hyperlink ref="S52" r:id="rId82" display="https://gld.legislaturacba.gob.ar/Publics/Actas.aspx?id=40IZo5e99lI="/>
    <hyperlink ref="Q53" r:id="rId83" display="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hyperlink ref="R53" r:id="rId84" display="https://www.youtube.com/watch?v=XvQJYkgwKV8"/>
    <hyperlink ref="S53" r:id="rId85" display="https://gld.legislaturacba.gob.ar/Publics/Actas.aspx?id=yw6LckpotcU="/>
    <hyperlink ref="Q54" r:id="rId86" display="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hyperlink ref="Q55" r:id="rId87" display="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hyperlink ref="R55" r:id="rId88" display="https://www.youtube.com/watch?v=VP2Goa6bZWs"/>
    <hyperlink ref="S55" r:id="rId89" display="https://gld.legislaturacba.gob.ar/Publics/Actas.aspx?id=KpIydxfBSiQ="/>
    <hyperlink ref="Q56" r:id="rId90" display="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hyperlink ref="R56" r:id="rId91" display="https://www.youtube.com/watch?v=wUo-YGm8jxA"/>
    <hyperlink ref="S56" r:id="rId92" display="https://gld.legislaturacba.gob.ar/Publics/Actas.aspx?id=adSWnGOJjr0="/>
    <hyperlink ref="Q57" r:id="rId93" display="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hyperlink ref="R57" r:id="rId94" display="https://www.youtube.com/watch?v=8agLeR4ew_Q"/>
    <hyperlink ref="S57" r:id="rId95" display="https://gld.legislaturacba.gob.ar/Publics/Actas.aspx?id=7fiRyVaVZFQ="/>
    <hyperlink ref="Q58" r:id="rId96" display="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hyperlink ref="R58" r:id="rId97" display="https://www.youtube.com/watch?v=XhawY8_f6FM"/>
    <hyperlink ref="S58" r:id="rId98" display="https://gld.legislaturacba.gob.ar/Publics/Actas.aspx?id=0WwcRr7pXDQ="/>
    <hyperlink ref="Q59" r:id="rId99" display="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hyperlink ref="R59" r:id="rId100" display="https://www.youtube.com/watch?v=SkrYOJFqb18"/>
    <hyperlink ref="S59" r:id="rId101" display="https://gld.legislaturacba.gob.ar/Publics/Actas.aspx?id=REr3OAO908s="/>
    <hyperlink ref="Q60" r:id="rId102" display="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hyperlink ref="R60" r:id="rId103" display="https://www.youtube.com/watch?v=84hysprcySM"/>
    <hyperlink ref="S60" r:id="rId104" display="https://gld.legislaturacba.gob.ar/Publics/Actas.aspx?id=CWofJDIRJh0="/>
    <hyperlink ref="Q61" r:id="rId105" display="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hyperlink ref="S61" r:id="rId106" display="https://gld.legislaturacba.gob.ar/Publics/Actas.aspx?id=fkfnXSWbB_U=;https://gld.legislaturacba.gob.ar/Publics/Actas.aspx?id=8lFGCx5eMV4="/>
    <hyperlink ref="Q62" r:id="rId107" display="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hyperlink ref="R62" r:id="rId108" display="https://www.youtube.com/watch?v=Sy-Ceyf86pc"/>
    <hyperlink ref="S62" r:id="rId109" display="https://gld.legislaturacba.gob.ar/Publics/Actas.aspx?id=BU5agbT93g0="/>
    <hyperlink ref="Q63" r:id="rId110" display="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hyperlink ref="S63" r:id="rId111" display="https://gld.legislaturacba.gob.ar/Publics/Actas.aspx?id=oEuuZUfnAtw=;https://gld.legislaturacba.gob.ar/Publics/Actas.aspx?id=4RVXc8Iwp_w="/>
    <hyperlink ref="Q64" r:id="rId112" display="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hyperlink ref="S64" r:id="rId113" display="https://gld.legislaturacba.gob.ar/Publics/Actas.aspx?id=g4UxmTFTTPk="/>
    <hyperlink ref="Q65" r:id="rId114" display="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hyperlink ref="R65" r:id="rId115" display="https://www.youtube.com/watch?v=ZOlUUKojTGA"/>
    <hyperlink ref="S65" r:id="rId116" display="https://gld.legislaturacba.gob.ar/Publics/Actas.aspx?id=kKiuMZyZFnY="/>
    <hyperlink ref="Q66" r:id="rId117" display="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hyperlink ref="S66" r:id="rId118" display="https://gld.legislaturacba.gob.ar/Publics/Actas.aspx?id=EwKsGWind_M="/>
    <hyperlink ref="Q67" r:id="rId119" display="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hyperlink ref="S67" r:id="rId120" display="https://gld.legislaturacba.gob.ar/Publics/Actas.aspx?id=0a-VWLGzTlE="/>
    <hyperlink ref="S68" r:id="rId121" display="https://gld.legislaturacba.gob.ar/Publics/Actas.aspx?id=Hleew-X62sI=;https://gld.legislaturacba.gob.ar/Publics/Actas.aspx?id=ISpnyBqW7dU="/>
    <hyperlink ref="Q69" r:id="rId122" display="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hyperlink ref="S69" r:id="rId123" display="https://gld.legislaturacba.gob.ar/Publics/Actas.aspx?id=7MfUxNhD-8g="/>
    <hyperlink ref="Q70" r:id="rId124" display="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hyperlink ref="R70" r:id="rId125" display="https://www.youtube.com/watch?v=nPxpGApgkYs"/>
    <hyperlink ref="S70" r:id="rId126" display="https://gld.legislaturacba.gob.ar/Publics/Actas.aspx?id=gvWgld1E_58=;https://gld.legislaturacba.gob.ar/Publics/Actas.aspx?id=0ZRIEIuurWE=;https://gld.legislaturacba.gob.ar/Publics/Actas.aspx?id=IXdwozlhmSI="/>
    <hyperlink ref="Q71" r:id="rId127" display="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hyperlink ref="S71" r:id="rId128" display="https://gld.legislaturacba.gob.ar/Publics/Actas.aspx?id=hpVfcUhJmFk="/>
    <hyperlink ref="Q72" r:id="rId129" display="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hyperlink ref="R72" r:id="rId130" display="https://www.youtube.com/watch?v=igViBMdzCQw"/>
    <hyperlink ref="S72" r:id="rId131" display="https://gld.legislaturacba.gob.ar/Publics/Actas.aspx?id=L0n68cPZPfM=;https://gld.legislaturacba.gob.ar/Publics/Actas.aspx?id=TdYLB8CURzo=;https://gld.legislaturacba.gob.ar/Publics/Actas.aspx?id=6C397JfwzlU="/>
    <hyperlink ref="Q73" r:id="rId132" display="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hyperlink ref="R73" r:id="rId133" display="https://www.youtube.com/watch?v=kUFP9SN9sTU"/>
    <hyperlink ref="S73" r:id="rId134" display="https://gld.legislaturacba.gob.ar/Publics/Actas.aspx?id=RH5Ckn56qkI=;https://gld.legislaturacba.gob.ar/Publics/Actas.aspx?id=y7J7vEeLhpw="/>
    <hyperlink ref="Q74" r:id="rId135" display="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hyperlink ref="R74" r:id="rId136" display="https://www.youtube.com/watch?v=mZikB96oorc"/>
    <hyperlink ref="S74" r:id="rId137" display="https://gld.legislaturacba.gob.ar/Publics/Actas.aspx?id=LKjvg0y0y6M="/>
    <hyperlink ref="Q75" r:id="rId138" display="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hyperlink ref="R75" r:id="rId139" display="https://www.youtube.com/watch?v=OP7J1_I14rc"/>
    <hyperlink ref="S75" r:id="rId140" display="https://gld.legislaturacba.gob.ar/Publics/Actas.aspx?id=f0JBO8UM84U="/>
    <hyperlink ref="Q76" r:id="rId141" display="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hyperlink ref="R76" r:id="rId142" display="https://www.youtube.com/watch?v=4mMZS65PqEU"/>
    <hyperlink ref="S76" r:id="rId143" display="https://gld.legislaturacba.gob.ar/Publics/Actas.aspx?id=zLYZlyX1mBc=;https://gld.legislaturacba.gob.ar/Publics/Actas.aspx?id=49rbsWS-jsA="/>
    <hyperlink ref="Q77" r:id="rId144" display="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hyperlink ref="R77" r:id="rId145" display="https://www.youtube.com/watch?v=9NmtZ6tejtE"/>
    <hyperlink ref="S77" r:id="rId146" display="https://gld.legislaturacba.gob.ar/Publics/Actas.aspx?id=-HQqYenYtHU=;https://gld.legislaturacba.gob.ar/Publics/Actas.aspx?id=nZpmE4Fr-CY="/>
    <hyperlink ref="Q78" r:id="rId147" display="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hyperlink ref="S78" r:id="rId148" display="https://gld.legislaturacba.gob.ar/Publics/Actas.aspx?id=YUldpHklaps="/>
    <hyperlink ref="Q79" r:id="rId149" display="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hyperlink ref="S79" r:id="rId150" display="https://gld.legislaturacba.gob.ar/Publics/Actas.aspx?id=NKQdC309I2U=;https://gld.legislaturacba.gob.ar/Publics/Actas.aspx?id=TejQhDHK_6o="/>
    <hyperlink ref="Q80" r:id="rId151" display="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hyperlink ref="R80" r:id="rId152" display="https://www.youtube.com/watch?v=RpYQNBscRjU"/>
    <hyperlink ref="S80" r:id="rId153" display="https://gld.legislaturacba.gob.ar/Publics/Actas.aspx?id=B2lBCiOeenY=;https://gld.legislaturacba.gob.ar/Publics/Actas.aspx?id=14GNdM37niA="/>
    <hyperlink ref="Q81" r:id="rId154" display="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hyperlink ref="R81" r:id="rId155" display="https://www.youtube.com/watch?v=z5fsoDIIb_0"/>
    <hyperlink ref="S81" r:id="rId156" display="https://gld.legislaturacba.gob.ar/Publics/Actas.aspx?id=P8ysM8CNC2k="/>
    <hyperlink ref="Q82" r:id="rId157" display="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hyperlink ref="S82" r:id="rId158" display="https://gld.legislaturacba.gob.ar/Publics/Actas.aspx?id=ehQB6nziyfc="/>
    <hyperlink ref="Q83" r:id="rId159" display="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hyperlink ref="R83" r:id="rId160" display="https://www.youtube.com/watch?v=RO4SqDiLWFk"/>
    <hyperlink ref="S83" r:id="rId161" display="https://gld.legislaturacba.gob.ar/Publics/Actas.aspx?id=r-Vt3cIYRKs="/>
    <hyperlink ref="Q84" r:id="rId162" display="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hyperlink ref="R84" r:id="rId163" display="https://www.youtube.com/watch?v=KhyBGPJ-5rw"/>
    <hyperlink ref="S84" r:id="rId164" display="https://gld.legislaturacba.gob.ar/Publics/Actas.aspx?id=3D54FEXKeEk="/>
    <hyperlink ref="Q85" r:id="rId165" display="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hyperlink ref="R85" r:id="rId166" display="https://www.youtube.com/watch?v=hNgiqMOTMf8"/>
    <hyperlink ref="S85" r:id="rId167" display="https://gld.legislaturacba.gob.ar/Publics/Actas.aspx?id=8apxt34HXbU=;https://gld.legislaturacba.gob.ar/Publics/Actas.aspx?id=VQEFHVyx92o=;https://gld.legislaturacba.gob.ar/Publics/Actas.aspx?id=k7EAn1D5Vuo="/>
    <hyperlink ref="Q86" r:id="rId168" display="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hyperlink ref="R86" r:id="rId169" display="https://www.youtube.com/watch?v=5wLEIV3c9Zw"/>
    <hyperlink ref="S86" r:id="rId170" display="https://gld.legislaturacba.gob.ar/Publics/Actas.aspx?id=PbdH3VBZK-4="/>
    <hyperlink ref="Q87" r:id="rId171" display="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hyperlink ref="S87" r:id="rId172" display="https://gld.legislaturacba.gob.ar/Publics/Actas.aspx?id=d9DGmDMyAOU="/>
    <hyperlink ref="Q88" r:id="rId173" display="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hyperlink ref="R88" r:id="rId174" display="https://www.youtube.com/watch?v=T-kVdu39kVM"/>
    <hyperlink ref="S88" r:id="rId175" display="https://gld.legislaturacba.gob.ar/Publics/Actas.aspx?id=GQa6vMgcktE=;https://gld.legislaturacba.gob.ar/Publics/Actas.aspx?id=rhxtfSFoqEg="/>
    <hyperlink ref="Q89" r:id="rId176" display="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hyperlink ref="R89" r:id="rId177" display="https://www.youtube.com/watch?v=l3hml7StaKU"/>
    <hyperlink ref="S89" r:id="rId178" display="https://gld.legislaturacba.gob.ar/Publics/Actas.aspx?id=5dOvOWXhWSw="/>
    <hyperlink ref="Q90" r:id="rId179" display="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hyperlink ref="R90" r:id="rId180" display="https://www.youtube.com/watch?v=XiuWk0lAs_E"/>
    <hyperlink ref="S90" r:id="rId181" display="https://gld.legislaturacba.gob.ar/Publics/Actas.aspx?id=c0AQJcd4CUM=;https://gld.legislaturacba.gob.ar/Publics/Actas.aspx?id=ExNm1jSkjic="/>
    <hyperlink ref="Q91" r:id="rId182" display="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hyperlink ref="R91" r:id="rId183" display="https://www.youtube.com/watch?v=XiuWk0lAs_E&amp;t=4460s"/>
    <hyperlink ref="S91" r:id="rId184" display="https://gld.legislaturacba.gob.ar/Publics/Actas.aspx?id=ExNm1jSkjic="/>
    <hyperlink ref="Q92" r:id="rId185" display="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hyperlink ref="S92" r:id="rId186" display="https://gld.legislaturacba.gob.ar/Publics/Actas.aspx?id=GbG3M9A6i8s="/>
    <hyperlink ref="Q93" r:id="rId187" display="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hyperlink ref="R93" r:id="rId188" display="https://www.youtube.com/watch?v=7kq6Wp9RyQ0"/>
    <hyperlink ref="S93" r:id="rId189" display="https://gld.legislaturacba.gob.ar/Publics/Actas.aspx?id=5fQn2dkWBpk=;https://gld.legislaturacba.gob.ar/Publics/Actas.aspx?id=MxHm0Fyll8c="/>
    <hyperlink ref="Q94" r:id="rId190" display="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hyperlink ref="R94" r:id="rId191" display="https://www.youtube.com/watch?v=vWt3AhB8_4E"/>
    <hyperlink ref="S94" r:id="rId192" display="https://gld.legislaturacba.gob.ar/Publics/Actas.aspx?id=D4FWBWSlL5c="/>
    <hyperlink ref="Q95" r:id="rId193" display="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hyperlink ref="R95" r:id="rId194" display="https://www.youtube.com/watch?v=2H5lDERAsVw"/>
    <hyperlink ref="S95" r:id="rId195" display="https://gld.legislaturacba.gob.ar/Publics/Actas.aspx?id=O-uPG-d7AEs=;https://gld.legislaturacba.gob.ar/Publics/Actas.aspx?id=Jy6PKZOznAM="/>
    <hyperlink ref="R96" r:id="rId196" display="https://www.youtube.com/watch?v=2H5lDERAsVw&amp;t=4720s"/>
    <hyperlink ref="S96" r:id="rId197" display="https://gld.legislaturacba.gob.ar/Publics/Actas.aspx?id=gf38IAaP-1E="/>
    <hyperlink ref="Q97" r:id="rId198" display="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hyperlink ref="R97" r:id="rId199" display="https://www.youtube.com/watch?v=RjL2cgpjhY0"/>
    <hyperlink ref="S97" r:id="rId200" display="https://gld.legislaturacba.gob.ar/Publics/Actas.aspx?id=FjNTYTG40Ko="/>
    <hyperlink ref="Q98" r:id="rId201" display="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hyperlink ref="S98" r:id="rId202" display="https://gld.legislaturacba.gob.ar/Publics/Actas.aspx?id=hZXs_FwvcZ8="/>
    <hyperlink ref="Q99" r:id="rId203" display="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hyperlink ref="R99" r:id="rId204" display="https://www.youtube.com/watch?v=aSMNB5NBqeg"/>
    <hyperlink ref="S99" r:id="rId205" display="https://gld.legislaturacba.gob.ar/Publics/Actas.aspx?id=4gHPfwzYL6w="/>
    <hyperlink ref="Q100" r:id="rId206" display="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hyperlink ref="R100" r:id="rId207" display="https://www.youtube.com/watch?v=RjL2cgpjhY0"/>
    <hyperlink ref="S100" r:id="rId208" display="https://gld.legislaturacba.gob.ar/Publics/Actas.aspx?id=OxSdeH2CGs0=;https://gld.legislaturacba.gob.ar/Publics/Actas.aspx?id=X9xNBQZV8EI="/>
    <hyperlink ref="R101" r:id="rId209" display="https://www.youtube.com/watch?v=RjL2cgpjhY0"/>
    <hyperlink ref="S101" r:id="rId210" display="https://gld.legislaturacba.gob.ar/Publics/Actas.aspx?id=d1Zp2CePOsY="/>
    <hyperlink ref="Q102" r:id="rId211" display="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hyperlink ref="R102" r:id="rId212" display="https://www.youtube.com/watch?v=vWt3AhB8_4E"/>
    <hyperlink ref="S102" r:id="rId213" display="https://gld.legislaturacba.gob.ar/Publics/Actas.aspx?id=L5erObfVC28=;https://gld.legislaturacba.gob.ar/Publics/Actas.aspx?id=YS5Hk2iIbUw="/>
    <hyperlink ref="Q103" r:id="rId214" display="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hyperlink ref="R103" r:id="rId215" display="https://www.youtube.com/watch?v=w3r2sMJBkmo"/>
    <hyperlink ref="S103" r:id="rId216" display="https://gld.legislaturacba.gob.ar/Publics/Actas.aspx?id=RkUKcIaoVmk=;https://gld.legislaturacba.gob.ar/Publics/Actas.aspx?id=20REfmQAdnk="/>
    <hyperlink ref="Q104" r:id="rId217" display="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hyperlink ref="S104" r:id="rId218" display="https://gld.legislaturacba.gob.ar/Publics/Actas.aspx?id=RkUKcIaoVmk="/>
    <hyperlink ref="Q105" r:id="rId219" display="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hyperlink ref="R105" r:id="rId220" display="https://www.youtube.com/watch?v=4IRg-Flt1mQ"/>
    <hyperlink ref="S105" r:id="rId221" display="https://gld.legislaturacba.gob.ar/Publics/Actas.aspx?id=nfSz2FXyFFo="/>
    <hyperlink ref="Q106" r:id="rId222" display="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hyperlink ref="R106" r:id="rId223" display="https://www.youtube.com/watch?v=R29x-R8GsbY"/>
    <hyperlink ref="S106" r:id="rId224" display="https://gld.legislaturacba.gob.ar/Publics/Actas.aspx?id=qs9q-YlEAIU="/>
    <hyperlink ref="Q107" r:id="rId225" display="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hyperlink ref="R107" r:id="rId226" display="https://www.youtube.com/watch?v=g35kzRP_XjU"/>
    <hyperlink ref="S107" r:id="rId227" display="https://gld.legislaturacba.gob.ar/Publics/Actas.aspx?id=aCqOHq-N2JQ="/>
    <hyperlink ref="Q108" r:id="rId228" display="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hyperlink ref="R108" r:id="rId229" display="https://www.youtube.com/watch?v=061txvY0N9Q"/>
    <hyperlink ref="S108" r:id="rId230" display="https://gld.legislaturacba.gob.ar/Publics/Actas.aspx?id=8nQcwAu1nTI=;https://gld.legislaturacba.gob.ar/Publics/Actas.aspx?id=N8wLaiR_NRk="/>
    <hyperlink ref="Q109" r:id="rId231" display="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hyperlink ref="R109" r:id="rId232" display="https://www.youtube.com/watch?v=5_2ZUaK5ubU"/>
    <hyperlink ref="S109" r:id="rId233" display="https://gld.legislaturacba.gob.ar/Publics/Actas.aspx?id=n-5lZUoGHLU=;https://gld.legislaturacba.gob.ar/Publics/Actas.aspx?id=QHBmzgtMdl0=;https://gld.legislaturacba.gob.ar/Publics/Actas.aspx?id=kiP__nP_xt8="/>
    <hyperlink ref="Q110" r:id="rId234" display="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hyperlink ref="R110" r:id="rId235" display="https://www.youtube.com/watch?v=1Mw3WuCpN0c"/>
    <hyperlink ref="S110" r:id="rId236" display="https://gld.legislaturacba.gob.ar/Publics/Actas.aspx?id=QvfbQvSF3rM="/>
    <hyperlink ref="Q111" r:id="rId237" display="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hyperlink ref="R111" r:id="rId238" display="https://www.youtube.com/watch?v=ILEuuchUnMw"/>
    <hyperlink ref="S111" r:id="rId239" display="https://gld.legislaturacba.gob.ar/Publics/Actas.aspx?id=vzuSkNqgoZM=;https://gld.legislaturacba.gob.ar/Publics/Actas.aspx?id=FNJwqNWZm3Y="/>
    <hyperlink ref="Q112" r:id="rId240" display="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hyperlink ref="R112" r:id="rId241" display="https://www.youtube.com/watch?v=hsevjCFKImc"/>
    <hyperlink ref="S112" r:id="rId242" display="https://gld.legislaturacba.gob.ar/Publics/Actas.aspx?id=gsh6Qt6HFHY="/>
    <hyperlink ref="Q113" r:id="rId243" display="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hyperlink ref="S113" r:id="rId244" display="https://gld.legislaturacba.gob.ar/Publics/Actas.aspx?id=_6jqoXJBmsU="/>
    <hyperlink ref="Q114" r:id="rId245" display="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hyperlink ref="R114" r:id="rId246" display="https://www.youtube.com/watch?v=MADXHdHhY2Q"/>
    <hyperlink ref="S114" r:id="rId247" display="https://gld.legislaturacba.gob.ar/Publics/Actas.aspx?id=zzFOTHxW9eA="/>
    <hyperlink ref="Q115" r:id="rId248" display="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hyperlink ref="R115" r:id="rId249" display="https://www.youtube.com/watch?v=yg8Ug5prpk0"/>
    <hyperlink ref="S115" r:id="rId250" display="https://gld.legislaturacba.gob.ar/Publics/Actas.aspx?id=lW79jZPzvmw=;https://gld.legislaturacba.gob.ar/Publics/Actas.aspx?id=zXbeKwXB5-s="/>
    <hyperlink ref="Q116" r:id="rId251" display="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hyperlink ref="R116" r:id="rId252" display="https://www.youtube.com/watch?v=tYVO6ybdetE"/>
    <hyperlink ref="S116" r:id="rId253" display="https://gld.legislaturacba.gob.ar/Publics/Actas.aspx?id=KFHAn9vxNos="/>
    <hyperlink ref="Q117" r:id="rId254" display="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hyperlink ref="R117" r:id="rId255" display="https://www.youtube.com/watch?v=5KjpBCxpYgY"/>
    <hyperlink ref="S117" r:id="rId256" display="https://gld.legislaturacba.gob.ar/Publics/Actas.aspx?id=v77R276zMnE="/>
    <hyperlink ref="Q118" r:id="rId257" display="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hyperlink ref="R118" r:id="rId258" display="https://www.youtube.com/watch?v=x037yjzcqME"/>
    <hyperlink ref="S118" r:id="rId259" display="https://gld.legislaturacba.gob.ar/Publics/Actas.aspx?id=g5tPDVv3axc="/>
    <hyperlink ref="Q119" r:id="rId260" display="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hyperlink ref="R119" r:id="rId261" display="https://www.youtube.com/watch?v=fsdt6KPI5K0"/>
    <hyperlink ref="S119" r:id="rId262" display="https://gld.legislaturacba.gob.ar/Publics/Actas.aspx?id=qIHwtN4lEms="/>
    <hyperlink ref="Q120" r:id="rId263" display="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hyperlink ref="S120" r:id="rId264" display="https://gld.legislaturacba.gob.ar/Publics/Actas.aspx?id=W7YJs009aLY="/>
    <hyperlink ref="Q121" r:id="rId265" display="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hyperlink ref="S121" r:id="rId266" display="https://gld.legislaturacba.gob.ar/Publics/Actas.aspx?id=pKtkb6NnWRI="/>
    <hyperlink ref="Q122" r:id="rId267" display="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hyperlink ref="S122" r:id="rId268" display="https://gld.legislaturacba.gob.ar/Publics/Actas.aspx?id=jJTv-KiWCi8=;https://gld.legislaturacba.gob.ar/Publics/Actas.aspx?id=24pmfQb_IAE="/>
    <hyperlink ref="Q123" r:id="rId269" display="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hyperlink ref="S123" r:id="rId270" display="https://gld.legislaturacba.gob.ar/Publics/Actas.aspx?id=0SVKlrXzb_k=;https://gld.legislaturacba.gob.ar/Publics/Actas.aspx?id=hy8aSjQNwPE="/>
    <hyperlink ref="Q124" r:id="rId271" display="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hyperlink ref="S124" r:id="rId272" display="https://gld.legislaturacba.gob.ar/Publics/Actas.aspx?id=uEgH03TMWzo="/>
    <hyperlink ref="Q125" r:id="rId273" display="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hyperlink ref="R125" r:id="rId274" display="https://www.youtube.com/watch?v=at6uURE5PNU"/>
    <hyperlink ref="S125" r:id="rId275" display="https://gld.legislaturacba.gob.ar/Publics/Actas.aspx?id=SrgkloHQ82k="/>
    <hyperlink ref="Q126" r:id="rId276" display="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hyperlink ref="R126" r:id="rId277" display="https://www.youtube.com/watch?v=eA5paX3p0PQ"/>
    <hyperlink ref="S126" r:id="rId278" display="https://gld.legislaturacba.gob.ar/Publics/Actas.aspx?id=vH1r7IVgwrc=;https://gld.legislaturacba.gob.ar/Publics/Actas.aspx?id=ZGI1f9LVcbw="/>
    <hyperlink ref="Q127" r:id="rId279" display="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hyperlink ref="S127" r:id="rId280" display="https://gld.legislaturacba.gob.ar/Publics/Actas.aspx?id=K6CYXQ9mI7U="/>
    <hyperlink ref="Q128" r:id="rId281" display="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hyperlink ref="R128" r:id="rId282" display="https://www.youtube.com/watch?v=7Vn9mBijDiA"/>
    <hyperlink ref="S128" r:id="rId283" display="https://gld.legislaturacba.gob.ar/Publics/Actas.aspx?id=Tz6t9K5zrMo="/>
    <hyperlink ref="Q129" r:id="rId284" display="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hyperlink ref="R129" r:id="rId285" display="https://www.youtube.com/watch?v=C0GkAsSbHM0"/>
    <hyperlink ref="S129" r:id="rId286" display="https://gld.legislaturacba.gob.ar/Publics/Actas.aspx?id=MsNHQuKT_rI=;https://gld.legislaturacba.gob.ar/Publics/Actas.aspx?id=0FBdnpclJUs=;https://gld.legislaturacba.gob.ar/Publics/Actas.aspx?id=TDdQKWj1Gas="/>
    <hyperlink ref="Q130" r:id="rId287" display="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hyperlink ref="S130" r:id="rId288" display="https://gld.legislaturacba.gob.ar/Publics/Actas.aspx?id=gTl7fVOeuB8="/>
    <hyperlink ref="Q131" r:id="rId289" display="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hyperlink ref="R131" r:id="rId290" display="https://www.youtube.com/watch?v=7Vn9mBijDiA"/>
    <hyperlink ref="S131" r:id="rId291" display="https://gld.legislaturacba.gob.ar/Publics/Actas.aspx?id=SeKyNVbxBw8="/>
    <hyperlink ref="Q132" r:id="rId292" display="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hyperlink ref="R132" r:id="rId293" display="https://www.youtube.com/watch?v=qehJBhhCaIM"/>
    <hyperlink ref="S132" r:id="rId294" display="https://gld.legislaturacba.gob.ar/Publics/Actas.aspx?id=Inh6degDYrY="/>
    <hyperlink ref="Q133" r:id="rId295" display="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hyperlink ref="R133" r:id="rId296" display="https://www.youtube.com/watch?v=QB7BthKNc6M"/>
    <hyperlink ref="S133" r:id="rId297" display="https://gld.legislaturacba.gob.ar/Publics/Actas.aspx?id=rNuySbc59e4="/>
    <hyperlink ref="Q134" r:id="rId298" display="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hyperlink ref="S134" r:id="rId299" display="https://gld.legislaturacba.gob.ar/Publics/Actas.aspx?id=zPH447Z1zK0=;https://gld.legislaturacba.gob.ar/Publics/Actas.aspx?id=aAM_or9jrJI="/>
    <hyperlink ref="Q135" r:id="rId300" display="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hyperlink ref="R135" r:id="rId301" display="https://www.youtube.com/watch?v=OXJFBhtMYqo"/>
    <hyperlink ref="S135" r:id="rId302" display="https://gld.legislaturacba.gob.ar/Publics/Actas.aspx?id=C5tWEDeO3Vk=;https://gld.legislaturacba.gob.ar/Publics/Actas.aspx?id=jOC3-5UrufI="/>
    <hyperlink ref="Q136" r:id="rId303" display="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hyperlink ref="R136" r:id="rId304" display="https://www.youtube.com/watch?v=60uQjzyPatM"/>
    <hyperlink ref="S136" r:id="rId305" display="https://gld.legislaturacba.gob.ar/Publics/Actas.aspx?id=i-QcwcG44qA="/>
    <hyperlink ref="Q137" r:id="rId306" display="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hyperlink ref="S137" r:id="rId307" display="https://gld.legislaturacba.gob.ar/Publics/Actas.aspx?id=RTONUjDdWK8=;https://gld.legislaturacba.gob.ar/Publics/Actas.aspx?id=eTUR2rQYVCQ=;https://gld.legislaturacba.gob.ar/Publics/Actas.aspx?id=XpVIBT4DHG8="/>
    <hyperlink ref="Q138" r:id="rId308" display="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hyperlink ref="S138" r:id="rId309" display="https://gld.legislaturacba.gob.ar/Publics/Actas.aspx?id=oA3G08hpoKk="/>
    <hyperlink ref="Q139" r:id="rId310" display="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hyperlink ref="R139" r:id="rId311" display="https://www.youtube.com/watch?v=ACHEZpNSiC8"/>
    <hyperlink ref="S139" r:id="rId312" display="https://gld.legislaturacba.gob.ar/Publics/Actas.aspx?id=_vCTw4hZxXQ="/>
    <hyperlink ref="Q140" r:id="rId313" display="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hyperlink ref="R140" r:id="rId314" display="https://www.youtube.com/watch?v=bfCu1Bs-Y6k"/>
    <hyperlink ref="S140" r:id="rId315" display="https://gld.legislaturacba.gob.ar/Publics/Actas.aspx?id=y4WCXLMdzDQ="/>
    <hyperlink ref="Q141" r:id="rId316" display="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hyperlink ref="R141" r:id="rId317" display="https://www.youtube.com/watch?v=qjPs-qozZyc"/>
    <hyperlink ref="S141" r:id="rId318" display="https://gld.legislaturacba.gob.ar/Publics/Actas.aspx?id=YmU-n5ECg6k="/>
    <hyperlink ref="Q142" r:id="rId319" display="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hyperlink ref="R142" r:id="rId320" display="https://www.youtube.com/watch?v=90lnND66oos"/>
    <hyperlink ref="S142" r:id="rId321" display="https://gld.legislaturacba.gob.ar/Publics/Actas.aspx?id=-JAnU4ouq80="/>
    <hyperlink ref="Q143" r:id="rId322" display="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hyperlink ref="R143" r:id="rId323" display="https://www.youtube.com/watch?v=mN2SCaTz7H4"/>
    <hyperlink ref="S143" r:id="rId324" display="https://gld.legislaturacba.gob.ar/Publics/Actas.aspx?id=zewMGhUKxyM=;https://gld.legislaturacba.gob.ar/Publics/Actas.aspx?id=GMwZnJwnwgE=;https://gld.legislaturacba.gob.ar/Publics/Actas.aspx?id=0Eqm4TgambM="/>
    <hyperlink ref="Q144" r:id="rId325" display="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hyperlink ref="R144" r:id="rId326" display="https://www.youtube.com/watch?v=h3EUrMgHoKw"/>
    <hyperlink ref="S144" r:id="rId327" display="https://gld.legislaturacba.gob.ar/Publics/Actas.aspx?id=JGIGmQKoAic="/>
    <hyperlink ref="Q145" r:id="rId328" display="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hyperlink ref="R145" r:id="rId329" display="https://www.youtube.com/watch?v=mhktJQOgiIc"/>
    <hyperlink ref="S145" r:id="rId330" display="https://gld.legislaturacba.gob.ar/Publics/Actas.aspx?id=LEFsDiKYfpM=;https://gld.legislaturacba.gob.ar/Publics/Actas.aspx?id=z_lE-Cqo4ak="/>
    <hyperlink ref="Q146" r:id="rId331" display="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hyperlink ref="R146" r:id="rId332" display="https://www.youtube.com/watch?v=yurBNP5nAnY"/>
    <hyperlink ref="S146" r:id="rId333" display="https://gld.legislaturacba.gob.ar/Publics/Actas.aspx?id=JnDh9TMz0Sw="/>
    <hyperlink ref="Q147" r:id="rId334" display="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hyperlink ref="R147" r:id="rId335" display="https://www.youtube.com/watch?v=AvcfqDLIjJ0"/>
    <hyperlink ref="S147" r:id="rId336" display="https://gld.legislaturacba.gob.ar/Publics/Actas.aspx?id=GtUVpHM7gug=;https://gld.legislaturacba.gob.ar/Publics/Actas.aspx?id=RpZv2gqGEj0="/>
    <hyperlink ref="Q148" r:id="rId337" display="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hyperlink ref="R148" r:id="rId338" display="https://www.youtube.com/watch?v=SS0ONVjFLd4"/>
    <hyperlink ref="S148" r:id="rId339" display="https://gld.legislaturacba.gob.ar/Publics/Actas.aspx?id=lpwQXM4m7lE="/>
    <hyperlink ref="Q149" r:id="rId340" display="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hyperlink ref="R149" r:id="rId341" display="https://www.youtube.com/watch?v=mC1lqGMl2XU"/>
    <hyperlink ref="S149" r:id="rId342" display="https://gld.legislaturacba.gob.ar/Publics/Actas.aspx?id=5zY69mbZrZg=;https://gld.legislaturacba.gob.ar/Publics/Actas.aspx?id=PfSUe_9VIj8="/>
    <hyperlink ref="Q150" r:id="rId343" display="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hyperlink ref="S150" r:id="rId344" display="https://gld.legislaturacba.gob.ar/Publics/Actas.aspx?id=AwLStwGZO3k=;https://gld.legislaturacba.gob.ar/Publics/Actas.aspx?id=EpbEay1TisY="/>
    <hyperlink ref="Q151" r:id="rId345" display="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hyperlink ref="R151" r:id="rId346" display="https://www.youtube.com/watch?v=mC1lqGMl2XU"/>
    <hyperlink ref="S151" r:id="rId347" display="https://gld.legislaturacba.gob.ar/Publics/Actas.aspx?id=V1kKjZ1SDac="/>
    <hyperlink ref="Q152" r:id="rId348" display="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hyperlink ref="R152" r:id="rId349" display="https://www.youtube.com/watch?v=t2NCVhlsLZ4"/>
    <hyperlink ref="S152" r:id="rId350" display="https://gld.legislaturacba.gob.ar/Publics/Actas.aspx?id=5dE_aP7spDU=;https://gld.legislaturacba.gob.ar/Publics/Actas.aspx?id=5EyUjmHGKSU="/>
    <hyperlink ref="Q153" r:id="rId351" display="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hyperlink ref="S153" r:id="rId352" display="https://gld.legislaturacba.gob.ar/Publics/Actas.aspx?id=tOos42TSLrw=;https://gld.legislaturacba.gob.ar/Publics/Actas.aspx?id=zl9lhxTUOZc="/>
    <hyperlink ref="Q154" r:id="rId353" display="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hyperlink ref="R154" r:id="rId354" display="https://www.youtube.com/watch?v=bRfYXfFoIpA"/>
    <hyperlink ref="S154" r:id="rId355" display="https://gld.legislaturacba.gob.ar/Publics/Actas.aspx?id=nzbIpSSH61Y=;https://gld.legislaturacba.gob.ar/Publics/Actas.aspx?id=9teJ6yZAUm0="/>
    <hyperlink ref="Q155" r:id="rId356" display="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hyperlink ref="S155" r:id="rId357" display="https://gld.legislaturacba.gob.ar/Publics/Actas.aspx?id=_F3IkUyE1Gg="/>
    <hyperlink ref="Q156" r:id="rId358" display="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hyperlink ref="S156" r:id="rId359" display="https://gld.legislaturacba.gob.ar/Publics/Actas.aspx?id=O5np-dBc70s="/>
    <hyperlink ref="Q157" r:id="rId360" display="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hyperlink ref="R157" r:id="rId361" display="https://www.youtube.com/watch?v=yzKYesrRo6g"/>
    <hyperlink ref="S157" r:id="rId362" display="https://gld.legislaturacba.gob.ar/Publics/Actas.aspx?id=DZTzji7wweg="/>
    <hyperlink ref="Q158" r:id="rId363" display="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hyperlink ref="R158" r:id="rId364" display="https://www.youtube.com/watch?v=_bZ4GO_otlM"/>
    <hyperlink ref="S158" r:id="rId365" display="https://gld.legislaturacba.gob.ar/Publics/Actas.aspx?id=_3aZRSAlN0Y="/>
    <hyperlink ref="Q159" r:id="rId366" display="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hyperlink ref="S159" r:id="rId367" display="https://gld.legislaturacba.gob.ar/Publics/Actas.aspx?id=LTzjzvofV0s=;https://gld.legislaturacba.gob.ar/Publics/Actas.aspx?id=5Xe9DHmYIgk="/>
    <hyperlink ref="Q160" r:id="rId368" display="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hyperlink ref="R160" r:id="rId369" display="https://www.youtube.com/watch?v=TJ5qA2OA-sk"/>
    <hyperlink ref="S160" r:id="rId370" display="https://gld.legislaturacba.gob.ar/Publics/Actas.aspx?id=zSmPNu3mlTU="/>
    <hyperlink ref="Q161" r:id="rId371" display="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hyperlink ref="S161" r:id="rId372" display="https://gld.legislaturacba.gob.ar/Publics/Actas.aspx?id=0gzjcIg7j2k=;https://gld.legislaturacba.gob.ar/Publics/Actas.aspx?id=VC8x9IdpcvU="/>
    <hyperlink ref="Q162" r:id="rId373" display="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hyperlink ref="S162" r:id="rId374" display="https://gld.legislaturacba.gob.ar/Publics/Actas.aspx?id=3S6u7sUaPwE="/>
    <hyperlink ref="Q163" r:id="rId375" display="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hyperlink ref="S163" r:id="rId376" display="https://gld.legislaturacba.gob.ar/Publics/Actas.aspx?id=BjgopClBJPg="/>
    <hyperlink ref="Q164" r:id="rId377" display="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hyperlink ref="R164" r:id="rId378" display="https://www.youtube.com/watch?v=1agIyMT9ALs"/>
    <hyperlink ref="S164" r:id="rId379" display="https://gld.legislaturacba.gob.ar/Publics/Actas.aspx?id=VU0SBXKGIaM=;https://gld.legislaturacba.gob.ar/Publics/Actas.aspx?id=7M6Mt40IfIQ="/>
    <hyperlink ref="Q165" r:id="rId380" display="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hyperlink ref="R165" r:id="rId381" display="https://www.youtube.com/watch?v=UOizdNEalMo"/>
    <hyperlink ref="S165" r:id="rId382" display="https://gld.legislaturacba.gob.ar/Publics/Actas.aspx?id=EbILIce2xLU=;https://gld.legislaturacba.gob.ar/Publics/Actas.aspx?id=V0iumeaRE7Y="/>
    <hyperlink ref="Q166" r:id="rId383" display="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hyperlink ref="R166" r:id="rId384" display="https://www.youtube.com/watch?v=ptLTcEVcM84"/>
    <hyperlink ref="S166" r:id="rId385" display="https://gld.legislaturacba.gob.ar/Publics/Actas.aspx?id=8ioP74G5gVo=;https://gld.legislaturacba.gob.ar/Publics/Actas.aspx?id=7Yl2Y4D5iDs="/>
    <hyperlink ref="Q167" r:id="rId386" display="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hyperlink ref="R167" r:id="rId387" display="https://www.youtube.com/watch?v=Tc5MWKTolhg"/>
    <hyperlink ref="S167" r:id="rId388" display="https://gld.legislaturacba.gob.ar/Publics/Actas.aspx?id=ttd2VGyy4iM="/>
    <hyperlink ref="Q168" r:id="rId389" display="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hyperlink ref="S168" r:id="rId390" display="https://gld.legislaturacba.gob.ar/Publics/Actas.aspx?id=fS8oTmCdn80="/>
    <hyperlink ref="Q169" r:id="rId391" display="https://gld.legislaturacba.gob.ar/_cdd/api/Documento/descargar?guid=59206126-8d57-4c3a-a26a-0f9909e2f8f3&amp;token=_StPyoT4g3gzPFLo1yrV3dXBUcJM0GWcGfVipvgJngaHfboZd8bh1CysuzxbSa0_3ewD8f0ta86IIrwLMPVZOzmgs3Cx_VCFsN5Lu6rlo86wCCsewRjP5sO0yQQua59K9sDhi8JbEiyH0sKaWV9TIGe5QKNfea29R_L2lHCNfz6TBTlRg_TPn_898sF80qZQiu6gSk4Yr3L3OTp--ZL79ys2b-Qs35IrabDKKtJ3IxJZ4ElpoAsISrLdzlPiJQLa"/>
    <hyperlink ref="S169" r:id="rId392" display="https://gld.legislaturacba.gob.ar/Publics/Actas.aspx?id=HTb-7LpDZlU=;https://gld.legislaturacba.gob.ar/Publics/Actas.aspx?id=JrWeZYzTiG8="/>
    <hyperlink ref="Q170" r:id="rId393" display="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hyperlink ref="R170" r:id="rId394" display="https://www.youtube.com/watch?v=zFs2oKHDPsA"/>
    <hyperlink ref="S170" r:id="rId395" display="https://gld.legislaturacba.gob.ar/Publics/Actas.aspx?id=uKUrfvT-mcE="/>
    <hyperlink ref="Q171" r:id="rId396" display="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hyperlink ref="R171" r:id="rId397" display="https://www.youtube.com/watch?v=zDFr3tThd78"/>
    <hyperlink ref="S171" r:id="rId398" display="https://gld.legislaturacba.gob.ar/Publics/Actas.aspx?id=odRJfQm7rdk="/>
    <hyperlink ref="Q172" r:id="rId399" display="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hyperlink ref="R172" r:id="rId400" display="https://www.youtube.com/watch?v=Grhmua781ng"/>
    <hyperlink ref="S172" r:id="rId401" display="https://gld.legislaturacba.gob.ar/Publics/Actas.aspx?id=xLZ1_VE6FJo=;https://gld.legislaturacba.gob.ar/Publics/Actas.aspx?id=gPgF7xyrmY8="/>
    <hyperlink ref="Q173" r:id="rId402" display="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hyperlink ref="S173" r:id="rId403" display="https://gld.legislaturacba.gob.ar/Publics/Actas.aspx?id=rmWCLExN_LM="/>
    <hyperlink ref="Q174" r:id="rId404" display="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hyperlink ref="S174" r:id="rId405" display="https://gld.legislaturacba.gob.ar/Publics/Actas.aspx?id=H0RUkfSPVcA="/>
    <hyperlink ref="Q175" r:id="rId406" display="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hyperlink ref="R175" r:id="rId407" display="https://www.youtube.com/watch?v=UZN6o6zQRIU"/>
    <hyperlink ref="S175" r:id="rId408" display="https://gld.legislaturacba.gob.ar/Publics/Actas.aspx?id=cJxDuKjiino="/>
    <hyperlink ref="Q176" r:id="rId409" display="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hyperlink ref="S176" r:id="rId410" display="https://gld.legislaturacba.gob.ar/Publics/Actas.aspx?id=pz23WaaTfbI=;https://gld.legislaturacba.gob.ar/Publics/Actas.aspx?id=QldnPW4oqwg="/>
    <hyperlink ref="Q177" r:id="rId411" display="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hyperlink ref="S177" r:id="rId412" display="https://gld.legislaturacba.gob.ar/Publics/Actas.aspx?id=aZHayzf7rhc="/>
    <hyperlink ref="Q178" r:id="rId413" display="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hyperlink ref="R178" r:id="rId414" display="https://www.youtube.com/watch?v=wIgoO7ogfEc"/>
    <hyperlink ref="S178" r:id="rId415" display="https://gld.legislaturacba.gob.ar/Publics/Actas.aspx?id=2xGPeo0MNDM="/>
    <hyperlink ref="Q179" r:id="rId416" display="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hyperlink ref="S179" r:id="rId417" display="https://gld.legislaturacba.gob.ar/Publics/Actas.aspx?id=MK6iu-zNF6c="/>
    <hyperlink ref="Q180" r:id="rId418" display="https://gld.legislaturacba.gob.ar/_cdd/api/Documento/descargar?guid=52e81c13-5362-4948-9afb-89fc0dbadeeb&amp;token=4oQ5dYGgacrp_1YuZUZLTNxoSHUEN4c1Vnk9dOPd1beVpokZqIIQIOGGkwU44Tk0M6H7FddGdUvuQ4AOFlATW8CodsQActh2NlRk5_He1VjKqxRf7GbHU-a_BYHi4DZm5Ax_iVkDyHaODlMw-Y7UVgxqg29zsFC_Mk36UWM84Tf6_QlgEXk0cSIfwJr5DqsvilcGonwIVNT7WSmNgCqKInzpaeuycyT2DXRPKRUD2wc7Xnu3P39r28VV4gyjQwbO"/>
    <hyperlink ref="R180" r:id="rId419" display="https://www.youtube.com/watch?v=XcMWuIIJoSY"/>
    <hyperlink ref="S180" r:id="rId420" display="https://gld.legislaturacba.gob.ar/Publics/Actas.aspx?id=VjF6bCL4Ozc=;https://gld.legislaturacba.gob.ar/Publics/Actas.aspx?id=2uK-5ZPOm2Y=;https://gld.legislaturacba.gob.ar/Publics/Actas.aspx?id=_sQrrasnI1M="/>
    <hyperlink ref="Q181" r:id="rId421" display="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hyperlink ref="R181" r:id="rId422" display="https://www.youtube.com/watch?v=_8-BA5ti370"/>
    <hyperlink ref="S181" r:id="rId423" display="https://gld.legislaturacba.gob.ar/Publics/Actas.aspx?id=gY-mkOp6Dm0="/>
    <hyperlink ref="Q182" r:id="rId424" display="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hyperlink ref="R182" r:id="rId425" display="https://www.youtube.com/watch?v=0vdosNhELQw"/>
    <hyperlink ref="S182" r:id="rId426" display="https://gld.legislaturacba.gob.ar/Publics/Actas.aspx?id=RTtmy-HbQBc="/>
    <hyperlink ref="Q183" r:id="rId427" display="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hyperlink ref="R183" r:id="rId428" display="https://www.youtube.com/watch?v=qtR9DXq3br8"/>
    <hyperlink ref="S183" r:id="rId429" display="https://gld.legislaturacba.gob.ar/Publics/Actas.aspx?id=Tv40g56mTUY="/>
    <hyperlink ref="Q184" r:id="rId430" display="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hyperlink ref="R184" r:id="rId431" display="https://www.youtube.com/watch?v=jIoQ5lJ13D4"/>
    <hyperlink ref="S184" r:id="rId432" display="https://gld.legislaturacba.gob.ar/Publics/Actas.aspx?id=0FJ_2R8fchk="/>
    <hyperlink ref="Q185" r:id="rId433" display="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hyperlink ref="R185" r:id="rId434" display="https://www.youtube.com/watch?v=qb-Ja3a1XPg"/>
    <hyperlink ref="S185" r:id="rId435" display="https://gld.legislaturacba.gob.ar/Publics/Actas.aspx?id=ynQnJAklx64=;https://gld.legislaturacba.gob.ar/Publics/Actas.aspx?id=E3_sDBF3_ec="/>
    <hyperlink ref="Q186" r:id="rId436" display="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hyperlink ref="R186" r:id="rId437" display="https://www.youtube.com/watch?v=G23umqZ1_Ew"/>
    <hyperlink ref="S186" r:id="rId438" display="https://gld.legislaturacba.gob.ar/Publics/Actas.aspx?id=PrNgFh9d6ko="/>
    <hyperlink ref="Q187" r:id="rId439" display="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hyperlink ref="R187" r:id="rId440" display="https://www.youtube.com/watch?v=R9Lr-nhT9WU"/>
    <hyperlink ref="S187" r:id="rId441" display="https://gld.legislaturacba.gob.ar/Publics/Actas.aspx?id=3FoztXGmwSA=;https://gld.legislaturacba.gob.ar/Publics/Actas.aspx?id=bJKRM9dWPqo=;https://gld.legislaturacba.gob.ar/Publics/Actas.aspx?id=6uZS1B7fF0M="/>
    <hyperlink ref="Q188" r:id="rId442" display="https://gld.legislaturacba.gob.ar/_cdd/api/Documento/descargar?guid=c187650d-b333-468b-ba7b-42273582bcf7&amp;token=_StPyoT4g3gzPFLo1yrV3dXBUcJM0GWcGfVipvgJngaHfboZd8bh1CysuzxbSa0_3ewD8f0ta86IIrwLMPVZOzmgs3Cx_VCFsN5Lu6rlo86wCCsewRjP5sO0yQQua59K9sDhi8JbEiyH0sKaWV9TIGe5QKNfea29R_L2lHCNfz6TBTlRg_TPn_898sF80qZQiu6gSk4Yr3L3OTp--ZL79ys2b-Qs35IrabDKKtJ3IxJZ4ElpoAsISrLdzlPiJQLa"/>
    <hyperlink ref="R188" r:id="rId443" display="https://www.youtube.com/watch?v=SA2qevq-HfY"/>
    <hyperlink ref="S188" r:id="rId444" display="https://gld.legislaturacba.gob.ar/Publics/Actas.aspx?id=Vuf9O8p_mAo=;https://gld.legislaturacba.gob.ar/Publics/Actas.aspx?id=NADWaQgqOWE="/>
    <hyperlink ref="Q189" r:id="rId445" display="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hyperlink ref="S189" r:id="rId446" display="https://gld.legislaturacba.gob.ar/Publics/Actas.aspx?id=gXAvmCNWmB8=;https://gld.legislaturacba.gob.ar/Publics/Actas.aspx?id=1zwgInz6V2k="/>
    <hyperlink ref="Q190" r:id="rId447" display="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hyperlink ref="R190" r:id="rId448" display="https://www.youtube.com/watch?v=SA2qevq-HfY"/>
    <hyperlink ref="S190" r:id="rId449" display="https://gld.legislaturacba.gob.ar/Publics/Actas.aspx?id=Wfqogqz1C6E=;https://gld.legislaturacba.gob.ar/Publics/Actas.aspx?id=q_QhUUanP8A="/>
    <hyperlink ref="Q191" r:id="rId450" display="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hyperlink ref="S191" r:id="rId451" display="https://gld.legislaturacba.gob.ar/Publics/Actas.aspx?id=BP1XifldLe0=;https://gld.legislaturacba.gob.ar/Publics/Actas.aspx?id=Dn4S321keFY="/>
    <hyperlink ref="Q192" r:id="rId452" display="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hyperlink ref="R192" r:id="rId453" display="https://www.youtube.com/watch?v=IP6wcc8pYlY"/>
    <hyperlink ref="S192" r:id="rId454" display="https://gld.legislaturacba.gob.ar/Publics/Actas.aspx?id=ImbOVZ3-EZE=;https://gld.legislaturacba.gob.ar/Publics/Actas.aspx?id=pUa-FFia1ac=;https://gld.legislaturacba.gob.ar/Publics/Actas.aspx?id=tSYBJr4IslM="/>
    <hyperlink ref="Q193" r:id="rId455" display="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hyperlink ref="S193" r:id="rId456" display="https://gld.legislaturacba.gob.ar/Publics/Actas.aspx?id=ari3U-E3eSI="/>
    <hyperlink ref="Q194" r:id="rId457" display="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hyperlink ref="R194" r:id="rId458" display="https://www.youtube.com/watch?v=buDN7eF-XpQ"/>
    <hyperlink ref="S194" r:id="rId459" display="https://gld.legislaturacba.gob.ar/Publics/Actas.aspx?id=lyPfx5Dfn9k=;https://gld.legislaturacba.gob.ar/Publics/Actas.aspx?id=zQwkSahtAEc="/>
    <hyperlink ref="Q195" r:id="rId460" display="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hyperlink ref="R195" r:id="rId461" display="https://www.youtube.com/watch?v=0CcvLpc3lB0"/>
    <hyperlink ref="S195" r:id="rId462" display="https://gld.legislaturacba.gob.ar/Publics/Actas.aspx?id=8UA5pm_pIIk=;https://gld.legislaturacba.gob.ar/Publics/Actas.aspx?id=1K9FRmig12U=;https://gld.legislaturacba.gob.ar/Publics/Actas.aspx?id=-m5eS-gqc6k="/>
    <hyperlink ref="Q196" r:id="rId463" display="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hyperlink ref="R196" r:id="rId464" display="https://www.youtube.com/watch?v=YtTFdBtueP0"/>
    <hyperlink ref="S196" r:id="rId465" display="https://gld.legislaturacba.gob.ar/Publics/Actas.aspx?id=Vl3PpKPH4d4=;https://gld.legislaturacba.gob.ar/Publics/Actas.aspx?id=0yKJCMCTo7c=;https://gld.legislaturacba.gob.ar/Publics/Actas.aspx?id=n8P0BCfliUc="/>
    <hyperlink ref="Q197" r:id="rId466" display="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hyperlink ref="R197" r:id="rId467" display="https://www.youtube.com/watch?v=79hjkY3rQXY"/>
    <hyperlink ref="S197" r:id="rId468" display="https://gld.legislaturacba.gob.ar/Publics/Actas.aspx?id=jPEbZB6m_IA="/>
    <hyperlink ref="Q198" r:id="rId469" display="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hyperlink ref="R198" r:id="rId470" display="https://www.youtube.com/watch?v=NcWW3IB8fp0"/>
    <hyperlink ref="S198" r:id="rId471" display="https://gld.legislaturacba.gob.ar/Publics/Actas.aspx?id=NscmDJ01PiQ=;https://gld.legislaturacba.gob.ar/Publics/Actas.aspx?id=ETxU6i6E0VQ=;https://gld.legislaturacba.gob.ar/Publics/Actas.aspx?id=ToYWMe5mdzo="/>
    <hyperlink ref="Q199" r:id="rId472" display="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hyperlink ref="S199" r:id="rId473" display="https://gld.legislaturacba.gob.ar/Publics/Actas.aspx?id=2eNCdt31xww=;https://gld.legislaturacba.gob.ar/Publics/Actas.aspx?id=tps85x5vD3M=;https://gld.legislaturacba.gob.ar/Publics/Actas.aspx?id=uibVFnxsUYI=;https://gld.legislaturacba.gob.ar/Publics/Actas.aspx?id=3ZUMjIbuvxs="/>
    <hyperlink ref="Q200" r:id="rId474" display="https://gld.legislaturacba.gob.ar/_cdd/api/Documento/descargar?guid=99f3857b-c57e-4a60-8127-930c8fd08763&amp;token=_StPyoT4g3gzPFLo1yrV3dXBUcJM0GWcGfVipvgJngaHfboZd8bh1CysuzxbSa0_3ewD8f0ta86IIrwLMPVZOzmgs3Cx_VCFsN5Lu6rlo86wCCsewRjP5sO0yQQua59K9sDhi8JbEiyH0sKaWV9TIGe5QKNfea29R_L2lHCNfz6TBTlRg_TPn_898sF80qZQiu6gSk4Yr3L3OTp--ZL79ys2b-Qs35IrabDKKtJ3IxJZ4ElpoAsISrLdzlPiJQLa"/>
    <hyperlink ref="R200" r:id="rId475" display="https://www.youtube.com/watch?v=Ge0l9NFj9qg"/>
    <hyperlink ref="S200" r:id="rId476" display="https://gld.legislaturacba.gob.ar/Publics/Actas.aspx?id=Ow7xqyo3Eb8="/>
    <hyperlink ref="Q201" r:id="rId477" display="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hyperlink ref="R201" r:id="rId478" display="https://www.youtube.com/watch?v=RolNrf7eElY"/>
    <hyperlink ref="S201" r:id="rId479" display="https://gld.legislaturacba.gob.ar/Publics/Actas.aspx?id=jvHkn0Jc720="/>
    <hyperlink ref="Q202" r:id="rId480" display="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hyperlink ref="R202" r:id="rId481" display="https://www.youtube.com/watch?v=gg01u0jaffA"/>
    <hyperlink ref="S202" r:id="rId482" display="https://gld.legislaturacba.gob.ar/Publics/Actas.aspx?id=6ZRa_6WmIj4=;https://gld.legislaturacba.gob.ar/Publics/Actas.aspx?id=PCgUn_X273I=;https://gld.legislaturacba.gob.ar/Publics/Actas.aspx?id=r-WtQ-tqZxY="/>
    <hyperlink ref="Q203" r:id="rId483" display="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hyperlink ref="R203" r:id="rId484" display="https://www.youtube.com/watch?v=U6T2PHcXPRM"/>
    <hyperlink ref="S203" r:id="rId485" display="https://gld.legislaturacba.gob.ar/Publics/Actas.aspx?id=S13yyNqOZWk=;https://gld.legislaturacba.gob.ar/Publics/Actas.aspx?id=9zGvIkY3OUE=;https://gld.legislaturacba.gob.ar/Publics/Actas.aspx?id=6_-RHLtiq_8=;https://gld.legislaturacba.gob.ar/Publics/Actas.aspx?id=Jxl9Vjcr1Mk="/>
    <hyperlink ref="Q204" r:id="rId486" display="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hyperlink ref="R204" r:id="rId487" display="https://www.youtube.com/watch?v=-NKDvABYslM"/>
    <hyperlink ref="S204" r:id="rId488" display="https://gld.legislaturacba.gob.ar/Publics/Actas.aspx?id=NkYTWIUucoY="/>
    <hyperlink ref="Q205" r:id="rId489" display="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hyperlink ref="R205" r:id="rId490" display="https://www.youtube.com/watch?v=J298QWPeYnw"/>
    <hyperlink ref="S205" r:id="rId491" display="https://gld.legislaturacba.gob.ar/Publics/Actas.aspx?id=z-3fZDwzcAY=;https://gld.legislaturacba.gob.ar/Publics/Actas.aspx?id=IgBGmRUABcU=;https://gld.legislaturacba.gob.ar/Publics/Actas.aspx?id=r6Cjd9pDJmo="/>
    <hyperlink ref="Q206" r:id="rId492" display="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hyperlink ref="R206" r:id="rId493" display="https://www.youtube.com/watch?v=sNHwYlMvZYg"/>
    <hyperlink ref="S206" r:id="rId494" display="https://gld.legislaturacba.gob.ar/Publics/Actas.aspx?id=Ns2u8LRwkMY="/>
    <hyperlink ref="Q207" r:id="rId495" display="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hyperlink ref="R207" r:id="rId496" display="https://www.youtube.com/watch?v=pOX0tSIj1FA"/>
    <hyperlink ref="S207" r:id="rId497" display="https://gld.legislaturacba.gob.ar/Publics/Actas.aspx?id=uIZJJ1AwGRU=;https://gld.legislaturacba.gob.ar/Publics/Actas.aspx?id=Nrz2T7u9xPY=;https://gld.legislaturacba.gob.ar/Publics/Actas.aspx?id=u5gZHsRGm1g=;https://gld.legislaturacba.gob.ar/Publics/Actas.aspx?id=ndgs485_fYg="/>
    <hyperlink ref="Q208" r:id="rId498" display="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hyperlink ref="R208" r:id="rId499" display="https://www.youtube.com/watch?v=zSz0Kh-GrXk"/>
    <hyperlink ref="S208" r:id="rId500" display="https://gld.legislaturacba.gob.ar/Publics/Actas.aspx?id=u0489YzJ6b8=;https://gld.legislaturacba.gob.ar/Publics/Actas.aspx?id=NCP-AmqnWt0=;https://gld.legislaturacba.gob.ar/Publics/Actas.aspx?id=-MXc17ILd1s="/>
    <hyperlink ref="Q209" r:id="rId501" display="https://gld.legislaturacba.gob.ar/_cdd/api/Documento/descargar?guid=44ab6e20-cd25-49d3-913d-3e8098acca15&amp;token=4oQ5dYGgacrp_1YuZUZLTNxoSHUEN4c1Vnk9dOPd1beVpokZqIIQIOGGkwU44Tk0M6H7FddGdUvuQ4AOFlATW8CodsQActh2NlRk5_He1VjKqxRf7GbHU-a_BYHi4DZm5Ax_iVkDyHaODlMw-Y7UVgxqg29zsFC_Mk36UWM84Tf6_QlgEXk0cSIfwJr5DqsvilcGonwIVNT7WSmNgCqKInzpaeuycyT2DXRPKRUD2wc7Xnu3P39r28VV4gyjQwbO"/>
    <hyperlink ref="R209" r:id="rId502" display="https://www.youtube.com/watch?v=qRQy6qPrvb8"/>
    <hyperlink ref="S209" r:id="rId503" display="https://gld.legislaturacba.gob.ar/Publics/Actas.aspx?id=JnBKhwZ28WM="/>
    <hyperlink ref="Q210" r:id="rId504" display="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hyperlink ref="R210" r:id="rId505" display="https://www.youtube.com/watch?v=wylVSPTKQSE"/>
    <hyperlink ref="S210" r:id="rId506" display="https://gld.legislaturacba.gob.ar/Publics/Actas.aspx?id=nrbf9fDfWNA=;https://gld.legislaturacba.gob.ar/Publics/Actas.aspx?id=u3jIW2vDUYs=;https://gld.legislaturacba.gob.ar/Publics/Actas.aspx?id=ZkQJ2-g36ng=;https://gld.legislaturacba.gob.ar/Publics/Actas.aspx?id=sJxvGuebqdI="/>
    <hyperlink ref="Q211" r:id="rId507" display="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hyperlink ref="R211" r:id="rId508" display="https://www.youtube.com/watch?v=Am4QbKSB-4I"/>
    <hyperlink ref="S211" r:id="rId509" display="https://gld.legislaturacba.gob.ar/Publics/Actas.aspx?id=gLWDIGn5A8Y="/>
    <hyperlink ref="Q212" r:id="rId510" display="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hyperlink ref="S212" r:id="rId511" display="https://gld.legislaturacba.gob.ar/Publics/Actas.aspx?id=L88pFOJtCP4=;https://gld.legislaturacba.gob.ar/Publics/Actas.aspx?id=q3wxkQZLdL0="/>
    <hyperlink ref="Q213" r:id="rId512" display="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hyperlink ref="R213" r:id="rId513" display="https://www.youtube.com/watch?v=VROvyhUcSAM"/>
    <hyperlink ref="S213" r:id="rId514" display="https://gld.legislaturacba.gob.ar/Publics/Actas.aspx?id=8Zf1xV_deUM=;https://gld.legislaturacba.gob.ar/Publics/Actas.aspx?id=18RFV5cQ_z4="/>
    <hyperlink ref="Q214" r:id="rId515" display="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hyperlink ref="S214" r:id="rId516" display="https://gld.legislaturacba.gob.ar/Publics/Actas.aspx?id=-FZhkLPkHP0="/>
    <hyperlink ref="Q215" r:id="rId517" display="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hyperlink ref="S215" r:id="rId518" display="https://gld.legislaturacba.gob.ar/Publics/Actas.aspx?id=910K9OZ8ln0=;https://gld.legislaturacba.gob.ar/Publics/Actas.aspx?id=VmQckbkTSvw=;https://gld.legislaturacba.gob.ar/Publics/Actas.aspx?id=w55NvP-nNd4="/>
    <hyperlink ref="Q216" r:id="rId519" display="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hyperlink ref="R216" r:id="rId520" display="https://www.youtube.com/watch?v=302h4bFsFjw"/>
    <hyperlink ref="S216" r:id="rId521" display="https://gld.legislaturacba.gob.ar/Publics/Actas.aspx?id=wpMvJu52fI0=;https://gld.legislaturacba.gob.ar/Publics/Actas.aspx?id=CuGxoppufEg="/>
    <hyperlink ref="Q217" r:id="rId522" display="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hyperlink ref="R217" r:id="rId523" display="https://www.youtube.com/watch?v=1c8sBebOyxI"/>
    <hyperlink ref="S217" r:id="rId524" display="https://gld.legislaturacba.gob.ar/Publics/Actas.aspx?id=EmB_5gmx1sA="/>
    <hyperlink ref="Q218" r:id="rId525" display="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hyperlink ref="R218" r:id="rId526" display="https://www.youtube.com/watch?v=5WtiaYhhxXo"/>
    <hyperlink ref="S218" r:id="rId527" display="https://gld.legislaturacba.gob.ar/Publics/Actas.aspx?id=tlx7Doiixrk=;https://gld.legislaturacba.gob.ar/Publics/Actas.aspx?id=GCjgcJ3yoJ4="/>
    <hyperlink ref="Q219" r:id="rId528" display="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hyperlink ref="S219" r:id="rId529" display="https://gld.legislaturacba.gob.ar/Publics/Actas.aspx?id=IvjjLPLBnvE=;https://gld.legislaturacba.gob.ar/Publics/Actas.aspx?id=UhNmx57rtvg="/>
    <hyperlink ref="Q220" r:id="rId530" display="https://gld.legislaturacba.gob.ar/_cdd/api/Documento/descargar?guid=1e4e3510-7fea-4a08-b9f4-0ad64542cd72&amp;token=4oQ5dYGgacrp_1YuZUZLTNxoSHUEN4c1Vnk9dOPd1beVpokZqIIQIOGGkwU44Tk0M6H7FddGdUvuQ4AOFlATW8CodsQActh2NlRk5_He1VjKqxRf7GbHU-a_BYHi4DZm5Ax_iVkDyHaODlMw-Y7UVgxqg29zsFC_Mk36UWM84Tf6_QlgEXk0cSIfwJr5DqsvilcGonwIVNT7WSmNgCqKInzpaeuycyT2DXRPKRUD2wc7Xnu3P39r28VV4gyjQwbO"/>
    <hyperlink ref="R220" r:id="rId531" display="https://www.youtube.com/watch?v=2gTVD_Hzr3o"/>
    <hyperlink ref="S220" r:id="rId532" display="https://gld.legislaturacba.gob.ar/Publics/Actas.aspx?id=H8z8IMs9VOA="/>
    <hyperlink ref="Q221" r:id="rId533" display="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hyperlink ref="R221" r:id="rId534" display="https://www.youtube.com/watch?v=ewowi9uoS6k"/>
    <hyperlink ref="S221" r:id="rId535" display="https://gld.legislaturacba.gob.ar/Publics/Actas.aspx?id=6QzzmziEcuY=;https://gld.legislaturacba.gob.ar/Publics/Actas.aspx?id=NDLFgCeW_h8="/>
    <hyperlink ref="Q222" r:id="rId536" display="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hyperlink ref="S222" r:id="rId537" display="https://gld.legislaturacba.gob.ar/Publics/Actas.aspx?id=8YsuurtySHU="/>
    <hyperlink ref="Q223" r:id="rId538" display="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hyperlink ref="R223" r:id="rId539" display="https://www.youtube.com/watch?v=fO8U7MeK3QA"/>
    <hyperlink ref="S223" r:id="rId540" display="https://gld.legislaturacba.gob.ar/Publics/Actas.aspx?id=8PamxFMF7nk=;https://gld.legislaturacba.gob.ar/Publics/Actas.aspx?id=BS-_ilaBSwk="/>
    <hyperlink ref="Q224" r:id="rId541" display="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hyperlink ref="S224" r:id="rId542" display="https://gld.legislaturacba.gob.ar/Publics/Actas.aspx?id=fLn_jKDwbf8="/>
    <hyperlink ref="Q225" r:id="rId543" display="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hyperlink ref="R225" r:id="rId544" display="https://www.youtube.com/watch?v=8wlfcq65MiU"/>
    <hyperlink ref="S225" r:id="rId545" display="https://gld.legislaturacba.gob.ar/Publics/Actas.aspx?id=0v7PwP9-DOo="/>
    <hyperlink ref="Q226" r:id="rId546" display="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hyperlink ref="S226" r:id="rId547" display="https://gld.legislaturacba.gob.ar/Publics/Actas.aspx?id=EodNT5veUD0="/>
    <hyperlink ref="Q227" r:id="rId548" display="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hyperlink ref="S227" r:id="rId549" display="https://gld.legislaturacba.gob.ar/Publics/Actas.aspx?id=-ckAifYRhWI=;https://gld.legislaturacba.gob.ar/Publics/Actas.aspx?id=VkTCxJ5-Ru4="/>
    <hyperlink ref="S228" r:id="rId550" display="https://gld.legislaturacba.gob.ar/Publics/Actas.aspx?id=MVwTfCIXhYc="/>
    <hyperlink ref="R229" r:id="rId551" display="https://www.youtube.com/watch?v=iGIZmmwUowg"/>
    <hyperlink ref="S229" r:id="rId552" display="https://gld.legislaturacba.gob.ar/Publics/Actas.aspx?id=20d95av1oMY=;https://gld.legislaturacba.gob.ar/Publics/Actas.aspx?id=UlSC81XjTOM="/>
    <hyperlink ref="Q230" r:id="rId553" display="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hyperlink ref="R230" r:id="rId554" display="https://www.youtube.com/watch?v=iGIZmmwUowg"/>
    <hyperlink ref="S230" r:id="rId555" display="https://gld.legislaturacba.gob.ar/Publics/Actas.aspx?id=WQtgUWeFlDY=;https://gld.legislaturacba.gob.ar/Publics/Actas.aspx?id=EPrDaV81Amo=;https://gld.legislaturacba.gob.ar/Publics/Actas.aspx?id=jSQNeDmPxaY=;https://gld.legislaturacba.gob.ar/Publics/Actas.aspx?id=hcz69s82ueQ="/>
    <hyperlink ref="Q231" r:id="rId556" display="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hyperlink ref="R231" r:id="rId557" display="https://www.youtube.com/watch?v=nzFCULzmXXE"/>
    <hyperlink ref="S231" r:id="rId558" display="https://gld.legislaturacba.gob.ar/Publics/Actas.aspx?id=3T-10Ie_BlA="/>
    <hyperlink ref="Q232" r:id="rId559" display="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hyperlink ref="R232" r:id="rId560" display="https://www.youtube.com/watch?v=GJaKQmfr3LE"/>
    <hyperlink ref="S232" r:id="rId561" display="https://gld.legislaturacba.gob.ar/Publics/Actas.aspx?id=M4SK_ts8Y8o=;https://gld.legislaturacba.gob.ar/Publics/Actas.aspx?id=SuScFNyv4lM="/>
    <hyperlink ref="Q233" r:id="rId562" display="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hyperlink ref="R233" r:id="rId563" display="https://www.youtube.com/watch?v=dMJCr7zlwBc"/>
    <hyperlink ref="S233" r:id="rId564" display="https://gld.legislaturacba.gob.ar/Publics/Actas.aspx?id=t3KkWjTiIdA=;https://gld.legislaturacba.gob.ar/Publics/Actas.aspx?id=aAo1ZyUaIfw="/>
    <hyperlink ref="Q234" r:id="rId565" display="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hyperlink ref="R234" r:id="rId566" display="https://www.youtube.com/watch?v=VlvuZlmJYYU"/>
    <hyperlink ref="S234" r:id="rId567" display="https://gld.legislaturacba.gob.ar/Publics/Actas.aspx?id=R0m259BRlC8=;https://gld.legislaturacba.gob.ar/Publics/Actas.aspx?id=jBMZ0DQvBig="/>
    <hyperlink ref="Q235" r:id="rId568" display="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hyperlink ref="R235" r:id="rId569" display="https://www.youtube.com/watch?v=eJrqogUe7Us"/>
    <hyperlink ref="S235" r:id="rId570" display="https://gld.legislaturacba.gob.ar/Publics/Actas.aspx?id=paSF89WS83w=;https://gld.legislaturacba.gob.ar/Publics/Actas.aspx?id=cQdkeIwh2TA="/>
    <hyperlink ref="Q236" r:id="rId571" display="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hyperlink ref="S236" r:id="rId572" display="https://gld.legislaturacba.gob.ar/Publics/Actas.aspx?id=OFQxzPyBYGE="/>
    <hyperlink ref="Q237" r:id="rId573" display="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hyperlink ref="S237" r:id="rId574" display="https://gld.legislaturacba.gob.ar/Publics/Actas.aspx?id=repazwgpxkw=;https://gld.legislaturacba.gob.ar/Publics/Actas.aspx?id=g-hbzvZnFXc=;https://gld.legislaturacba.gob.ar/Publics/Actas.aspx?id=bAJp-jDC1Ds=;https://gld.legislaturacba.gob.ar/Publics/Actas.aspx?id=HFd-6mXDVUo="/>
    <hyperlink ref="Q238" r:id="rId575" display="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hyperlink ref="R238" r:id="rId576" display="https://www.youtube.com/watch?v=81ut3IZNHmc"/>
    <hyperlink ref="S238" r:id="rId577" display="https://gld.legislaturacba.gob.ar/Publics/Actas.aspx?id=2FcDyv_1594=;https://gld.legislaturacba.gob.ar/Publics/Actas.aspx?id=l0gF7Wqayvk="/>
    <hyperlink ref="R239" r:id="rId578" display="https://www.youtube.com/watch?v=CESEC-eZuKM"/>
    <hyperlink ref="S239" r:id="rId579" display="https://gld.legislaturacba.gob.ar/Publics/Actas.aspx?id=8yT951U-4Po="/>
    <hyperlink ref="Q240" r:id="rId580" display="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hyperlink ref="R240" r:id="rId581" display="https://www.youtube.com/watch?v=yymQxblY6rk"/>
    <hyperlink ref="S240" r:id="rId582" display="https://gld.legislaturacba.gob.ar/Publics/Actas.aspx?id=l0nIXI2-WmA="/>
    <hyperlink ref="Q241" r:id="rId583" display="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hyperlink ref="R241" r:id="rId584" display="https://www.youtube.com/watch?v=x2CPOHSZDAs"/>
    <hyperlink ref="S241" r:id="rId585" display="https://gld.legislaturacba.gob.ar/Publics/Actas.aspx?id=E2VMdAENyZg="/>
    <hyperlink ref="Q242" r:id="rId586" display="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hyperlink ref="R242" r:id="rId587" display="https://www.youtube.com/watch?v=vlkgI_1PBNM"/>
    <hyperlink ref="S242" r:id="rId588" display="https://gld.legislaturacba.gob.ar/Publics/Actas.aspx?id=koxz2fG2Oo0="/>
    <hyperlink ref="R243" r:id="rId589" display="https://www.youtube.com/watch?v=VHDkL1nURbw"/>
    <hyperlink ref="S243" r:id="rId590" display="https://gld.legislaturacba.gob.ar/Publics/Actas.aspx?id=Ws1exwyoNkI="/>
    <hyperlink ref="Q244" r:id="rId591" display="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hyperlink ref="R244" r:id="rId592" display="https://www.youtube.com/watch?v=h74bcy7XpnY"/>
    <hyperlink ref="S244" r:id="rId593" display="https://gld.legislaturacba.gob.ar/Publics/Actas.aspx?id=MBANNCC_cms="/>
    <hyperlink ref="S245" r:id="rId594" display="https://gld.legislaturacba.gob.ar/Publics/Actas.aspx?id=0pxXrXiqsOU="/>
    <hyperlink ref="R246" r:id="rId595" display="https://www.youtube.com/watch?v=It7q9pQ-cvU"/>
    <hyperlink ref="S246" r:id="rId596" display="https://gld.legislaturacba.gob.ar/Publics/Actas.aspx?id=IZkRouYWnXY="/>
    <hyperlink ref="Q247" r:id="rId597" display="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hyperlink ref="R247" r:id="rId598" display="https://www.youtube.com/watch?v=IQR_yOfYsPA"/>
    <hyperlink ref="S247" r:id="rId599" display="https://gld.legislaturacba.gob.ar/Publics/Actas.aspx?id=z4GHTPXCiFc="/>
    <hyperlink ref="Q248" r:id="rId600" display="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hyperlink ref="R248" r:id="rId601" display="https://www.youtube.com/watch?v=7ad0nBIg_vQ"/>
    <hyperlink ref="S248" r:id="rId602" display="https://gld.legislaturacba.gob.ar/Publics/Actas.aspx?id=_07w-EJ80N0="/>
    <hyperlink ref="Q249" r:id="rId603" display="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hyperlink ref="R249" r:id="rId604" display="https://www.youtube.com/watch?v=uE95ezRY2FI"/>
    <hyperlink ref="S249" r:id="rId605" display="https://gld.legislaturacba.gob.ar/Publics/Actas.aspx?id=GJ1gd6M1VV8="/>
    <hyperlink ref="Q250" r:id="rId606" display="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hyperlink ref="R250" r:id="rId607" display="https://www.youtube.com/watch?v=4D-gLaNHUHM"/>
    <hyperlink ref="S250" r:id="rId608" display="https://gld.legislaturacba.gob.ar/Publics/Actas.aspx?id=curhkRNGj_E="/>
    <hyperlink ref="Q251" r:id="rId609" display="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hyperlink ref="R251" r:id="rId610" display="https://www.youtube.com/watch?v=k0zVfDPHs2w"/>
    <hyperlink ref="S251" r:id="rId611" display="https://gld.legislaturacba.gob.ar/Publics/Actas.aspx?id=MSvQq8WIofg="/>
    <hyperlink ref="Q252" r:id="rId612" display="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hyperlink ref="R252" r:id="rId613" display="https://www.youtube.com/watch?v=QdzTNEUrqFg"/>
    <hyperlink ref="S252" r:id="rId614" display="https://gld.legislaturacba.gob.ar/Publics/Actas.aspx?id=EvlxxSp3QkY="/>
    <hyperlink ref="Q253" r:id="rId615" display="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hyperlink ref="R253" r:id="rId616" display="https://www.youtube.com/watch?v=7yFqQWm_lvw"/>
    <hyperlink ref="S253" r:id="rId617" display="https://gld.legislaturacba.gob.ar/Publics/Actas.aspx?id=HvlzIJwn0B8=;https://gld.legislaturacba.gob.ar/Publics/Actas.aspx?id=MtV-LMjQE3Q=;https://gld.legislaturacba.gob.ar/Publics/Actas.aspx?id=Rbx75w7zhVo="/>
    <hyperlink ref="Q254" r:id="rId618" display="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hyperlink ref="R254" r:id="rId619" display="https://www.youtube.com/watch?v=eFcVj0dlImQ"/>
    <hyperlink ref="S254" r:id="rId620" display="https://gld.legislaturacba.gob.ar/Publics/Actas.aspx?id=EzQBxvJVV9c="/>
    <hyperlink ref="Q255" r:id="rId621" display="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hyperlink ref="R255" r:id="rId622" display="https://www.youtube.com/watch?v=NNQZBII8_eE"/>
    <hyperlink ref="S255" r:id="rId623" display="https://gld.legislaturacba.gob.ar/Publics/Actas.aspx?id=y05J9ZCKxwU="/>
    <hyperlink ref="Q256" r:id="rId624" display="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hyperlink ref="R256" r:id="rId625" display="https://www.youtube.com/watch?v=PSBFKu3piew"/>
    <hyperlink ref="S256" r:id="rId626" display="https://gld.legislaturacba.gob.ar/Publics/Actas.aspx?id=Lq9I7CY9r2s="/>
    <hyperlink ref="Q257" r:id="rId627" display="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hyperlink ref="R257" r:id="rId628" display="https://www.youtube.com/watch?v=QwMY5H24VMg"/>
    <hyperlink ref="S257" r:id="rId629" display="https://gld.legislaturacba.gob.ar/Publics/Actas.aspx?id=QAGE3IJBB9g="/>
    <hyperlink ref="Q258" r:id="rId630" display="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hyperlink ref="R258" r:id="rId631" display="https://www.youtube.com/watch?v=VvE2UhEXwfc"/>
    <hyperlink ref="S258" r:id="rId632" display="https://gld.legislaturacba.gob.ar/Publics/Actas.aspx?id=S2UWuN0HG4A="/>
    <hyperlink ref="Q259" r:id="rId633" display="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hyperlink ref="R259" r:id="rId634" display="https://www.youtube.com/watch?v=GNyTHaTOV6A"/>
    <hyperlink ref="S259" r:id="rId635" display="https://gld.legislaturacba.gob.ar/Publics/Actas.aspx?id=AXEtU6c8EK8="/>
    <hyperlink ref="Q260" r:id="rId636" display="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hyperlink ref="R260" r:id="rId637" display="https://www.youtube.com/watch?v=Z2ibNcVzFZ4"/>
    <hyperlink ref="S260" r:id="rId638" display="https://gld.legislaturacba.gob.ar/Publics/Actas.aspx?id=F4zYpuQRl58=;https://gld.legislaturacba.gob.ar/Publics/Actas.aspx?id=brVZmKu3QNs=;https://gld.legislaturacba.gob.ar/Publics/Actas.aspx?id=es5tfMYKJz8="/>
    <hyperlink ref="Q261" r:id="rId639" display="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hyperlink ref="R261" r:id="rId640" display="https://www.youtube.com/watch?v=Mo_k2uBGWsc"/>
    <hyperlink ref="S261" r:id="rId641" display="https://gld.legislaturacba.gob.ar/Publics/Actas.aspx?id=FvpwbRU64Gg="/>
    <hyperlink ref="R262" r:id="rId642" display="https://www.youtube.com/watch?v=GliYZPPXFt8"/>
    <hyperlink ref="S262" r:id="rId643" display="https://gld.legislaturacba.gob.ar/Publics/Actas.aspx?id=LXj1jiBxSLQ="/>
    <hyperlink ref="Q263" r:id="rId644" display="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hyperlink ref="S263" r:id="rId645" display="https://gld.legislaturacba.gob.ar/Publics/Actas.aspx?id=Jnoj4bytPrQ="/>
    <hyperlink ref="Q264" r:id="rId646" display="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hyperlink ref="R264" r:id="rId647" display="https://www.youtube.com/watch?v=oyKsXPSxQ8U"/>
    <hyperlink ref="S264" r:id="rId648" display="https://gld.legislaturacba.gob.ar/Publics/Actas.aspx?id=gjGiUFxvvps="/>
    <hyperlink ref="Q265" r:id="rId649" display="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hyperlink ref="R265" r:id="rId650" display="https://www.youtube.com/watch?v=AfN5PKyw2r8"/>
    <hyperlink ref="S265" r:id="rId651" display="https://gld.legislaturacba.gob.ar/Publics/Actas.aspx?id=1Fmj5So4iFk="/>
    <hyperlink ref="Q266" r:id="rId652" display="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hyperlink ref="R266" r:id="rId653" display="https://www.youtube.com/watch?v=_sEbHgZIPnQ"/>
    <hyperlink ref="S266" r:id="rId654" display="https://gld.legislaturacba.gob.ar/Publics/Actas.aspx?id=q1QblYiKG4k="/>
    <hyperlink ref="Q267" r:id="rId655" display="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hyperlink ref="R267" r:id="rId656" display="https://www.youtube.com/watch?v=Omfec_-J5cg"/>
    <hyperlink ref="S267" r:id="rId657" display="https://gld.legislaturacba.gob.ar/Publics/Actas.aspx?id=BzZI96BfMyI=;https://gld.legislaturacba.gob.ar/Publics/Actas.aspx?id=pOFaQVpXI8E="/>
    <hyperlink ref="Q268" r:id="rId658" display="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hyperlink ref="R268" r:id="rId659" display="https://www.youtube.com/watch?v=bphiDXt8kbk"/>
    <hyperlink ref="S268" r:id="rId660" display="https://gld.legislaturacba.gob.ar/Publics/Actas.aspx?id=D3t1T2H1GDY=;https://gld.legislaturacba.gob.ar/Publics/Actas.aspx?id=V7Og8IUIWJg="/>
    <hyperlink ref="Q269" r:id="rId661" display="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hyperlink ref="R269" r:id="rId662" display="https://www.youtube.com/watch?v=bphiDXt8kbk"/>
    <hyperlink ref="S269" r:id="rId663" display="https://gld.legislaturacba.gob.ar/Publics/Actas.aspx?id=xkU_iHuN7sU="/>
    <hyperlink ref="Q270" r:id="rId664" display="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hyperlink ref="R270" r:id="rId665" display="https://www.youtube.com/watch?v=k7LXVlMZ9Bs"/>
    <hyperlink ref="S270" r:id="rId666" display="https://gld.legislaturacba.gob.ar/Publics/Actas.aspx?id=_6YoKEm83xA="/>
    <hyperlink ref="Q271" r:id="rId667" display="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hyperlink ref="R271" r:id="rId668" display="https://www.youtube.com/watch?v=XcMWuIIJoSY"/>
    <hyperlink ref="S271" r:id="rId669" display="https://gld.legislaturacba.gob.ar/Publics/Actas.aspx?id=r0JHAId7A7Q="/>
    <hyperlink ref="Q272" r:id="rId670" display="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hyperlink ref="R272" r:id="rId671" display="https://www.youtube.com/watch?v=GPnhWmRsFls"/>
    <hyperlink ref="S272" r:id="rId672" display="https://gld.legislaturacba.gob.ar/Publics/Actas.aspx?id=IsnheIm9Vmk=;https://gld.legislaturacba.gob.ar/Publics/Actas.aspx?id=IpArXdThrGQ="/>
    <hyperlink ref="Q273" r:id="rId673" display="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hyperlink ref="S273" r:id="rId674" display="https://gld.legislaturacba.gob.ar/Publics/Actas.aspx?id=yKYIKW8GehA="/>
    <hyperlink ref="Q274" r:id="rId675" display="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hyperlink ref="R274" r:id="rId676" display="https://www.youtube.com/watch?v=aySeCFRHCZQ"/>
    <hyperlink ref="S274" r:id="rId677" display="https://gld.legislaturacba.gob.ar/Publics/Actas.aspx?id=JfxjNFcWuhg="/>
    <hyperlink ref="Q275" r:id="rId678" display="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hyperlink ref="R275" r:id="rId679" display="https://www.youtube.com/watch?v=6aY3LHC_5yQ"/>
    <hyperlink ref="S275" r:id="rId680" display="https://gld.legislaturacba.gob.ar/Publics/Actas.aspx?id=d8mym5rBvwI="/>
    <hyperlink ref="Q276" r:id="rId681" display="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hyperlink ref="R276" r:id="rId682" display="https://www.youtube.com/watch?v=9l_Mfb9-QEw"/>
    <hyperlink ref="S276" r:id="rId683" display="https://gld.legislaturacba.gob.ar/Publics/Actas.aspx?id=URU9j_j_GKk="/>
    <hyperlink ref="Q277" r:id="rId684" display="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hyperlink ref="R277" r:id="rId685" display="https://www.youtube.com/watch?v=Sq5gsP4iYQ8"/>
    <hyperlink ref="S277" r:id="rId686" display="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
    <hyperlink ref="Q278" r:id="rId687" display="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hyperlink ref="R278" r:id="rId688" display="https://www.youtube.com/watch?v=lo0x62TsoD4"/>
    <hyperlink ref="S278" r:id="rId689" display="https://gld.legislaturacba.gob.ar/Publics/Actas.aspx?id=PqyYEfC4BkY="/>
    <hyperlink ref="Q279" r:id="rId690" display="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hyperlink ref="R279" r:id="rId691" display="https://www.youtube.com/watch?v=BwCJo5wrvuY"/>
    <hyperlink ref="S279" r:id="rId692" display="https://gld.legislaturacba.gob.ar/Publics/Actas.aspx?id=fbGSUzz4iM8="/>
    <hyperlink ref="Q280" r:id="rId693" display="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hyperlink ref="R280" r:id="rId694" display="https://www.youtube.com/watch?v=mvO0DYQpr4c"/>
    <hyperlink ref="S280" r:id="rId695" display="https://gld.legislaturacba.gob.ar/Publics/Actas.aspx?id=O1Z_yZyEycQ=;https://gld.legislaturacba.gob.ar/Publics/Actas.aspx?id=mVrYOzWhiR4="/>
    <hyperlink ref="Q281" r:id="rId696" display="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hyperlink ref="R281" r:id="rId697" display="https://www.youtube.com/watch?v=egSDKsZWo1o"/>
    <hyperlink ref="S281" r:id="rId698" display="https://gld.legislaturacba.gob.ar/Publics/Actas.aspx?id=RyDoqZbPMtM=;https://gld.legislaturacba.gob.ar/Publics/Actas.aspx?id=_0KyI6jZhVo="/>
    <hyperlink ref="Q282" r:id="rId699" display="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hyperlink ref="R282" r:id="rId700" display="https://www.youtube.com/watch?v=y_wSIIFkfao"/>
    <hyperlink ref="S282" r:id="rId701" display="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
    <hyperlink ref="Q283" r:id="rId702" display="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hyperlink ref="R283" r:id="rId703" display="https://www.youtube.com/watch?v=TrkZLeXAx90"/>
    <hyperlink ref="S283" r:id="rId704" display="https://gld.legislaturacba.gob.ar/Publics/Actas.aspx?id=wv8ae8KiYfI="/>
    <hyperlink ref="Q284" r:id="rId705" display="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hyperlink ref="R284" r:id="rId706" display="https://www.youtube.com/watch?v=NrYBF1ivJXg"/>
    <hyperlink ref="S284" r:id="rId707" display="https://gld.legislaturacba.gob.ar/Publics/Actas.aspx?id=HTTcZL031CY="/>
    <hyperlink ref="Q285" r:id="rId708" display="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hyperlink ref="R285" r:id="rId709" display="https://www.youtube.com/watch?v=3UfKKrZuRtE"/>
    <hyperlink ref="S285" r:id="rId710" display="https://gld.legislaturacba.gob.ar/Publics/Actas.aspx?id=-xUuwQM3XFs="/>
    <hyperlink ref="Q286" r:id="rId711" display="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hyperlink ref="R286" r:id="rId712" display="https://www.youtube.com/watch?v=oHVVJSN4cpc"/>
    <hyperlink ref="S286" r:id="rId713" display="https://gld.legislaturacba.gob.ar/Publics/Actas.aspx?id=H3wvZrIkEXI=;https://gld.legislaturacba.gob.ar/Publics/Actas.aspx?id=YXjituqVqLA=;https://gld.legislaturacba.gob.ar/Publics/Actas.aspx?id=cNcJB24EhOs="/>
    <hyperlink ref="Q287" r:id="rId714" display="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hyperlink ref="R287" r:id="rId715" display="https://www.youtube.com/watch?v=Rux7DvQKSAE"/>
    <hyperlink ref="S287" r:id="rId716" display="https://gld.legislaturacba.gob.ar/Publics/Actas.aspx?id=jNkbQk0OnjU="/>
    <hyperlink ref="Q288" r:id="rId717" display="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hyperlink ref="R288" r:id="rId718" display="https://www.youtube.com/watch?v=thNLNp7HjEc"/>
    <hyperlink ref="S288" r:id="rId719" display="https://gld.legislaturacba.gob.ar/Publics/Actas.aspx?id=CoThB9jvlyg="/>
    <hyperlink ref="Q289" r:id="rId720" display="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hyperlink ref="R289" r:id="rId721" display="https://www.youtube.com/watch?v=j738bC5gtSA"/>
    <hyperlink ref="S289" r:id="rId722" display="https://gld.legislaturacba.gob.ar/Publics/Actas.aspx?id=viGPLlYxizE="/>
    <hyperlink ref="Q290" r:id="rId723" display="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hyperlink ref="R290" r:id="rId724" display="https://www.youtube.com/watch?v=pM8sHsv8GVo"/>
    <hyperlink ref="S290" r:id="rId725" display="https://gld.legislaturacba.gob.ar/Publics/Actas.aspx?id=ecdoM8N26Pw="/>
    <hyperlink ref="Q291" r:id="rId726" display="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hyperlink ref="R291" r:id="rId727" display="https://www.youtube.com/watch?v=Kb5iG6fo_dM"/>
    <hyperlink ref="S291" r:id="rId728" display="https://gld.legislaturacba.gob.ar/Publics/Actas.aspx?id=C_Te7r3_eIc=;https://gld.legislaturacba.gob.ar/Publics/Actas.aspx?id=nogFaU1KWH8="/>
    <hyperlink ref="Q292" r:id="rId729" display="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hyperlink ref="R292" r:id="rId730" display="https://www.youtube.com/watch?v=sdTdkHkqv2Q"/>
    <hyperlink ref="S292" r:id="rId731" display="https://gld.legislaturacba.gob.ar/Publics/Actas.aspx?id=aZ9nlG5HoyU=;https://gld.legislaturacba.gob.ar/Publics/Actas.aspx?id=SZSglMax6DA=;https://gld.legislaturacba.gob.ar/Publics/Actas.aspx?id=mS5pXyGtgiI="/>
    <hyperlink ref="Q293" r:id="rId732" display="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hyperlink ref="R293" r:id="rId733" display="https://www.youtube.com/watch?v=ZdP8dg475xk"/>
    <hyperlink ref="S293" r:id="rId734" display="https://gld.legislaturacba.gob.ar/Publics/Actas.aspx?id=vfiXeZ2GdVo=;https://gld.legislaturacba.gob.ar/Publics/Actas.aspx?id=l9FxfYHVEAM="/>
    <hyperlink ref="S294" r:id="rId735" display="https://gld.legislaturacba.gob.ar/Publics/Actas.aspx?id=YXpDAMDKgGY="/>
    <hyperlink ref="Q295" r:id="rId736" display="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hyperlink ref="R295" r:id="rId737" display="https://www.youtube.com/watch?v=RaPOtgpIwkM"/>
    <hyperlink ref="S295" r:id="rId738" display="https://gld.legislaturacba.gob.ar/Publics/Actas.aspx?id=AthTG15LnPI=;https://gld.legislaturacba.gob.ar/Publics/Actas.aspx?id=OuWMPBnLWDY="/>
    <hyperlink ref="Q296" r:id="rId739" display="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hyperlink ref="R296" r:id="rId740" display="https://www.youtube.com/watch?v=o1HhqFAeAaw"/>
    <hyperlink ref="S296" r:id="rId741" display="https://gld.legislaturacba.gob.ar/Publics/Actas.aspx?id=0v2KYbzPpfE="/>
    <hyperlink ref="Q297" r:id="rId742" display="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hyperlink ref="R297" r:id="rId743" display="https://www.youtube.com/watch?v=Rhtdb8mU5ls"/>
    <hyperlink ref="S297" r:id="rId744" display="https://gld.legislaturacba.gob.ar/Publics/Actas.aspx?id=UmCnIUwJCCM="/>
    <hyperlink ref="Q298" r:id="rId745" display="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hyperlink ref="R298" r:id="rId746" display="https://www.youtube.com/watch?v=DS3_4H6zVDw"/>
    <hyperlink ref="S298" r:id="rId747" display="https://gld.legislaturacba.gob.ar/Publics/Actas.aspx?id=jhgJ0_gABdM="/>
    <hyperlink ref="Q299" r:id="rId748" display="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hyperlink ref="R299" r:id="rId749" display="https://www.youtube.com/watch?v=sWzTnAMbm2M"/>
    <hyperlink ref="S299" r:id="rId750" display="https://gld.legislaturacba.gob.ar/Publics/Actas.aspx?id=v9d5eqd7aW8=;https://gld.legislaturacba.gob.ar/Publics/Actas.aspx?id=EI2f1QpkhT4=;https://gld.legislaturacba.gob.ar/Publics/Actas.aspx?id=myg8Hf6cpz0="/>
    <hyperlink ref="Q300" r:id="rId751" display="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hyperlink ref="R300" r:id="rId752" display="https://www.youtube.com/watch?v=cUSyrgiRoD4"/>
    <hyperlink ref="S300" r:id="rId753" display="https://gld.legislaturacba.gob.ar/Publics/Actas.aspx?id=z7Eqz8Oe628=;https://gld.legislaturacba.gob.ar/Publics/Actas.aspx?id=YSni9VJEfOA=;https://gld.legislaturacba.gob.ar/Publics/Actas.aspx?id=VhM-uEJJbNY="/>
    <hyperlink ref="Q301" r:id="rId754" display="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hyperlink ref="R301" r:id="rId755" display="https://www.youtube.com/watch?v=H3DXqasN9SQ"/>
    <hyperlink ref="S301" r:id="rId756" display="https://gld.legislaturacba.gob.ar/Publics/Actas.aspx?id=EDJLlBoIzZA="/>
    <hyperlink ref="Q302" r:id="rId757" display="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hyperlink ref="R302" r:id="rId758" display="https://www.youtube.com/watch?v=dbHjvjs58R8"/>
    <hyperlink ref="S302" r:id="rId759" display="https://gld.legislaturacba.gob.ar/Publics/Actas.aspx?id=vBt2S33Fnfk=;https://gld.legislaturacba.gob.ar/Publics/Actas.aspx?id=BZI2qRsF1rc="/>
    <hyperlink ref="Q303" r:id="rId760" display="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hyperlink ref="R303" r:id="rId761" display="https://www.youtube.com/watch?v=mpI1aS9D_JI"/>
    <hyperlink ref="S303" r:id="rId762" display="https://gld.legislaturacba.gob.ar/Publics/Actas.aspx?id=Q5cmBEbDN1M=;https://gld.legislaturacba.gob.ar/Publics/Actas.aspx?id=mHEHkYJZxjw="/>
    <hyperlink ref="Q304" r:id="rId763" display="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hyperlink ref="R304" r:id="rId764" display="https://www.youtube.com/watch?v=73OvmaDJ6Lg"/>
    <hyperlink ref="S304" r:id="rId765" display="https://gld.legislaturacba.gob.ar/Publics/Actas.aspx?id=tO6slmj3p6M=;https://gld.legislaturacba.gob.ar/Publics/Actas.aspx?id=apkd3TpmF1o="/>
    <hyperlink ref="Q305" r:id="rId766" display="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hyperlink ref="R305" r:id="rId767" display="https://www.youtube.com/watch?v=73OvmaDJ6Lg"/>
    <hyperlink ref="S305" r:id="rId768" display="https://gld.legislaturacba.gob.ar/Publics/Actas.aspx?id=tO6slmj3p6M="/>
    <hyperlink ref="Q306" r:id="rId769" display="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hyperlink ref="R306" r:id="rId770" display="https://www.youtube.com/watch?v=iadx4ufSMS4&amp;t"/>
    <hyperlink ref="S306" r:id="rId771" display="https://gld.legislaturacba.gob.ar/Publics/Actas.aspx?id=p0zdKjfrf64="/>
    <hyperlink ref="Q307" r:id="rId772" display="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hyperlink ref="R307" r:id="rId773" display="https://www.youtube.com/watch?v=yBMd4w38a_U"/>
    <hyperlink ref="S307" r:id="rId774" display="https://gld.legislaturacba.gob.ar/Publics/Actas.aspx?id=3OuNdRRtCmA="/>
    <hyperlink ref="Q308" r:id="rId775" display="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hyperlink ref="R308" r:id="rId776" display="https://www.youtube.com/watch?v=Aj5vClEyzQA"/>
    <hyperlink ref="S308" r:id="rId777" display="https://gld.legislaturacba.gob.ar/Publics/Actas.aspx?id=EjevQj4ywKE=;https://gld.legislaturacba.gob.ar/Publics/Actas.aspx?id=J2pieaVdwgA=;https://gld.legislaturacba.gob.ar/Publics/Actas.aspx?id=rIsjyuCQXOY="/>
    <hyperlink ref="Q309" r:id="rId778" display="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hyperlink ref="R309" r:id="rId779" display="https://www.youtube.com/watch?v=Bw5WP_9-BLo"/>
    <hyperlink ref="S309" r:id="rId780" display="https://gld.legislaturacba.gob.ar/Publics/Actas.aspx?id=CDbr19bMfgo="/>
    <hyperlink ref="Q310" r:id="rId781" display="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hyperlink ref="R310" r:id="rId782" display="https://www.youtube.com/watch?v=7SfWPom3klM"/>
    <hyperlink ref="S310" r:id="rId783" display="https://gld.legislaturacba.gob.ar/Publics/Actas.aspx?id=aGtPWDuZtPc="/>
    <hyperlink ref="Q311" r:id="rId784" display="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hyperlink ref="R311" r:id="rId785" display="https://www.youtube.com/watch?v=8hyanCgu1A0"/>
    <hyperlink ref="S311" r:id="rId786" display="https://gld.legislaturacba.gob.ar/Publics/Actas.aspx?id=ZNRAiPnfqp8="/>
    <hyperlink ref="Q312" r:id="rId787" display="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hyperlink ref="R312" r:id="rId788" display="https://www.youtube.com/watch?v=4kMZngFeGVw"/>
    <hyperlink ref="S312" r:id="rId789" display="https://gld.legislaturacba.gob.ar/Publics/Actas.aspx?id=IyedTUE4Yno=;https://gld.legislaturacba.gob.ar/Publics/Actas.aspx?id=IwLE68Bogg0=;https://gld.legislaturacba.gob.ar/Publics/Actas.aspx?id=EJ-Lzph5u0c="/>
    <hyperlink ref="Q313" r:id="rId790" display="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hyperlink ref="R313" r:id="rId791" display="https://www.youtube.com/watch?v=TVjYbXhXzW0"/>
    <hyperlink ref="S313" r:id="rId792" display="https://gld.legislaturacba.gob.ar/Publics/Actas.aspx?id=-tO-u9tCG5I=;https://gld.legislaturacba.gob.ar/Publics/Actas.aspx?id=xri-dUzY9rE=;https://gld.legislaturacba.gob.ar/Publics/Actas.aspx?id=uQ-J89ED0Rg="/>
    <hyperlink ref="Q314" r:id="rId793" display="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hyperlink ref="R314" r:id="rId794" display="https://www.youtube.com/watch?v=rRZGZmMD6OA&amp;t"/>
    <hyperlink ref="S314" r:id="rId795" display="https://gld.legislaturacba.gob.ar/Publics/Actas.aspx?id=n9XOk3A1sfU="/>
    <hyperlink ref="Q315" r:id="rId796" display="https://gld.legislaturacba.gob.ar/_cdd/api/Documento/descargar?guid=96faf550-ebea-4676-8863-a875a34bde93&amp;token=ZP42TsOpSxg3XDd4AZoTZb1YnQlsWxEdpQOHFt44jAWa7sEFY_KcYxUIzrAsq_-aHs7h7pSUYB42pZvI5G6kJIM0h5gXVurM9obMMGrsecyToimrtuyYFwuUQr1BBF2JlPepcdN9IJSsjXrh0icFNF0Wgn9AMAsn4qGZ2mVhTnnAfXBRspDyHD0XNa3GAkxH_QmgZS6DrGacf-SHIs2yB-8-XkA6ojznsRfK9bD_28A_7vW6_fgraOEZ49Gy5PYh"/>
    <hyperlink ref="R315" r:id="rId797" display="https://www.youtube.com/watch?v=ktFA_525o48"/>
    <hyperlink ref="S315" r:id="rId798" display="https://gld.legislaturacba.gob.ar/Publics/Actas.aspx?id=BoEG8CMRxK8="/>
    <hyperlink ref="Q316" r:id="rId799" display="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hyperlink ref="R316" r:id="rId800" display="https://www.youtube.com/watch?v=3YSZcKTchRM"/>
    <hyperlink ref="S316" r:id="rId801" display="https://gld.legislaturacba.gob.ar/Publics/Actas.aspx?id=UyVHJe5Ma78="/>
    <hyperlink ref="Q317" r:id="rId802" display="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hyperlink ref="R317" r:id="rId803" display="https://www.youtube.com/watch?v=CvwOBWJqGiM"/>
    <hyperlink ref="S317" r:id="rId804" display="https://gld.legislaturacba.gob.ar/Publics/Actas.aspx?id=CzQDWN9zH6k=;https://gld.legislaturacba.gob.ar/Publics/Actas.aspx?id=IlbUj_uAWm4=;https://gld.legislaturacba.gob.ar/Publics/Actas.aspx?id=fgQCxotGL-Y="/>
    <hyperlink ref="Q318" r:id="rId805" display="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hyperlink ref="R318" r:id="rId806" display="https://www.youtube.com/watch?v=QIKPRxqxuxQ"/>
    <hyperlink ref="S318" r:id="rId807" display="https://gld.legislaturacba.gob.ar/Publics/Actas.aspx?id=r4vqO-mSg6w=;https://gld.legislaturacba.gob.ar/Publics/Actas.aspx?id=NMRiezrFvdQ="/>
    <hyperlink ref="Q319" r:id="rId808" display="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hyperlink ref="R319" r:id="rId809" display="https://www.youtube.com/watch?v=vVLOwgGTI_8"/>
    <hyperlink ref="S319" r:id="rId810" display="https://gld.legislaturacba.gob.ar/Publics/Actas.aspx?id=x8k_b6kY8rg="/>
    <hyperlink ref="Q320" r:id="rId811" display="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hyperlink ref="R320" r:id="rId812" display="https://www.youtube.com/watch?v=JbPNr7M-dcU"/>
    <hyperlink ref="S320" r:id="rId813" display="https://gld.legislaturacba.gob.ar/Publics/Actas.aspx?id=hDQAgBC1iYU=;https://gld.legislaturacba.gob.ar/Publics/Actas.aspx?id=V8GorilWYKs="/>
    <hyperlink ref="Q321" r:id="rId814" display="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hyperlink ref="R321" r:id="rId815" display="https://www.youtube.com/watch?v=6oN8T79ooxM"/>
    <hyperlink ref="S321" r:id="rId816" display="https://gld.legislaturacba.gob.ar/Publics/Actas.aspx?id=nvL7mGMeKZU="/>
    <hyperlink ref="R322" r:id="rId817" display="https://www.youtube.com/watch?v=tXGIgKFQmBU"/>
    <hyperlink ref="S322" r:id="rId818" display="https://gld.legislaturacba.gob.ar/Publics/Actas.aspx?id=Ph909DpZrKc="/>
    <hyperlink ref="Q323" r:id="rId819" display="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hyperlink ref="R323" r:id="rId820" display="https://www.youtube.com/watch?v=U0fNxLbYOME"/>
    <hyperlink ref="S323" r:id="rId821" display="https://gld.legislaturacba.gob.ar/Publics/Actas.aspx?id=JmMC8RWgeaE=;https://gld.legislaturacba.gob.ar/Publics/Actas.aspx?id=4CE3EZ8Ua_A=;https://gld.legislaturacba.gob.ar/Publics/Actas.aspx?id=5PS398s0pFA="/>
    <hyperlink ref="Q324" r:id="rId822" display="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hyperlink ref="R324" r:id="rId823" display="https://www.youtube.com/watch?v=8hmDJuMvLhI"/>
    <hyperlink ref="S324" r:id="rId824" display="https://gld.legislaturacba.gob.ar/Publics/Actas.aspx?id=O68jA3lgyQ4=;https://gld.legislaturacba.gob.ar/Publics/Actas.aspx?id=V5B3-COl4E8="/>
    <hyperlink ref="Q325" r:id="rId825" display="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hyperlink ref="R325" r:id="rId826" display="https://www.youtube.com/watch?v=82avDn8HpcE"/>
    <hyperlink ref="S325" r:id="rId827" display="https://gld.legislaturacba.gob.ar/Publics/Actas.aspx?id=oJxTXY-b8OE=;https://gld.legislaturacba.gob.ar/Publics/Actas.aspx?id=41nRW7RKMSI=;https://gld.legislaturacba.gob.ar/Publics/Actas.aspx?id=6IvQYaQj_jI="/>
    <hyperlink ref="Q326" r:id="rId828" display="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hyperlink ref="R326" r:id="rId829" display="https://www.youtube.com/watch?v=P6KXhreJH_g"/>
    <hyperlink ref="S326" r:id="rId830" display="https://gld.legislaturacba.gob.ar/Publics/Actas.aspx?id=QmOQjDADpv8="/>
    <hyperlink ref="Q327" r:id="rId831" display="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hyperlink ref="R327" r:id="rId832" display="https://www.youtube.com/watch?v=ZX748qaI8so"/>
    <hyperlink ref="S327" r:id="rId833" display="https://gld.legislaturacba.gob.ar/Publics/Actas.aspx?id=9fTB4fDGh98=;https://gld.legislaturacba.gob.ar/Publics/Actas.aspx?id=02cMHhIZHjY=;https://gld.legislaturacba.gob.ar/Publics/Actas.aspx?id=TQ0VOZYKfW0="/>
    <hyperlink ref="Q328" r:id="rId834" display="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hyperlink ref="R328" r:id="rId835" display="https://www.youtube.com/watch?v=Q9mMCl9k2-c"/>
    <hyperlink ref="S328" r:id="rId836" display="https://gld.legislaturacba.gob.ar/Publics/Actas.aspx?id=iG3-1t_wbxo=;https://gld.legislaturacba.gob.ar/Publics/Actas.aspx?id=69MnFF4iAqc=;https://gld.legislaturacba.gob.ar/Publics/Actas.aspx?id=l314TrmqjLI="/>
    <hyperlink ref="Q329" r:id="rId837" display="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hyperlink ref="R329" r:id="rId838" display="https://www.youtube.com/watch?v=oaBZUsu-7_s"/>
    <hyperlink ref="S329" r:id="rId839" display="https://gld.legislaturacba.gob.ar/Publics/Actas.aspx?id=CisuF8bNJ_Q="/>
    <hyperlink ref="Q330" r:id="rId840" display="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hyperlink ref="R330" r:id="rId841" display="https://www.youtube.com/watch?v=XiOYPZA_jxg"/>
    <hyperlink ref="S330" r:id="rId842" display="https://gld.legislaturacba.gob.ar/Publics/Actas.aspx?id=7LyYSUFO544="/>
    <hyperlink ref="Q331" r:id="rId843" display="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hyperlink ref="R331" r:id="rId844" display="https://www.youtube.com/watch?v=LaH-cBur8W8"/>
    <hyperlink ref="S331" r:id="rId845" display="https://gld.legislaturacba.gob.ar/Publics/Actas.aspx?id=c2sy20-TxxE="/>
    <hyperlink ref="Q332" r:id="rId846" display="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hyperlink ref="R332" r:id="rId847" display="https://www.youtube.com/watch?v=H_zet5Ehoyc&amp;t"/>
    <hyperlink ref="S332" r:id="rId848" display="https://gld.legislaturacba.gob.ar/Publics/Actas.aspx?id=Jbxxo5bUc3s="/>
    <hyperlink ref="Q333" r:id="rId849" display="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hyperlink ref="R333" r:id="rId850" display="https://www.youtube.com/watch?v=J5md5YQNBGM"/>
    <hyperlink ref="S333" r:id="rId851" display="https://gld.legislaturacba.gob.ar/Publics/Actas.aspx?id=8sXuhTUWCtU="/>
    <hyperlink ref="Q334" r:id="rId852" display="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hyperlink ref="R334" r:id="rId853" display="https://www.youtube.com/watch?v=hVHDGGx3SLU"/>
    <hyperlink ref="S334" r:id="rId854" display="https://gld.legislaturacba.gob.ar/Publics/Actas.aspx?id=4uhqqiSZEQY=;https://gld.legislaturacba.gob.ar/Publics/Actas.aspx?id=nzR3oamYFuw="/>
    <hyperlink ref="Q335" r:id="rId855" display="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hyperlink ref="R335" r:id="rId856" display="https://www.youtube.com/watch?v=78hWTluA1AM"/>
    <hyperlink ref="S335" r:id="rId857" display="https://gld.legislaturacba.gob.ar/Publics/Actas.aspx?id=YKFZbA3sJvU="/>
    <hyperlink ref="Q336" r:id="rId858" display="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hyperlink ref="R336" r:id="rId859" display="https://www.youtube.com/watch?v=xq5VKCXjp8s"/>
    <hyperlink ref="S336" r:id="rId860" display="https://gld.legislaturacba.gob.ar/Publics/Actas.aspx?id=eaEIQ6Z2JKY="/>
    <hyperlink ref="Q337" r:id="rId861" display="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hyperlink ref="R337" r:id="rId862" display="https://www.youtube.com/watch?v=4vq6tw2gLJg"/>
    <hyperlink ref="S337" r:id="rId863" display="https://gld.legislaturacba.gob.ar/Publics/Actas.aspx?id=rX_ETWh42s8="/>
    <hyperlink ref="Q338" r:id="rId864" display="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hyperlink ref="R338" r:id="rId865" display="https://www.youtube.com/watch?v=e70yOiW7dGE"/>
    <hyperlink ref="S338" r:id="rId866" display="https://gld.legislaturacba.gob.ar/Publics/Actas.aspx?id=itqRWHlE_eM="/>
    <hyperlink ref="Q339" r:id="rId867" display="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hyperlink ref="R339" r:id="rId868" display="https://www.youtube.com/watch?v=OdgLXQ17aRo"/>
    <hyperlink ref="S339" r:id="rId869" display="https://gld.legislaturacba.gob.ar/Publics/Actas.aspx?id=YPCfw0f7iDc="/>
    <hyperlink ref="Q340" r:id="rId870" display="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hyperlink ref="R340" r:id="rId871" display="https://www.youtube.com/watch?v=MpshRlup8iE"/>
    <hyperlink ref="S340" r:id="rId872" display="https://gld.legislaturacba.gob.ar/Publics/Actas.aspx?id=C82d0ruZVDM="/>
    <hyperlink ref="Q341" r:id="rId873" display="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hyperlink ref="R341" r:id="rId874" display="https://www.youtube.com/watch?v=zxgQj20ydWs"/>
    <hyperlink ref="S341" r:id="rId875" display="https://gld.legislaturacba.gob.ar/Publics/Actas.aspx?id=iWGObTgdoVg="/>
    <hyperlink ref="Q342" r:id="rId876" display="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hyperlink ref="R342" r:id="rId877" display="https://www.youtube.com/watch?v=vGwbGM_oa2g"/>
    <hyperlink ref="S342" r:id="rId878" display="https://gld.legislaturacba.gob.ar/Publics/Actas.aspx?id=DmUn-kxaOX0="/>
    <hyperlink ref="Q343" r:id="rId879" display="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hyperlink ref="R343" r:id="rId880" display="https://www.youtube.com/watch?v=WBA9I6x_gBU"/>
    <hyperlink ref="S343" r:id="rId881" display="https://gld.legislaturacba.gob.ar/Publics/Actas.aspx?id=Q4eyR8Wa4JM="/>
    <hyperlink ref="Q344" r:id="rId882" display="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hyperlink ref="R344" r:id="rId883" display="https://www.youtube.com/watch?v=K36CMgqIzFM"/>
    <hyperlink ref="S344" r:id="rId884" display="https://gld.legislaturacba.gob.ar/Publics/Actas.aspx?id=CCUUyWsOkAs=;https://gld.legislaturacba.gob.ar/Publics/Actas.aspx?id=L4WSyb76hh8="/>
    <hyperlink ref="Q345" r:id="rId885" display="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hyperlink ref="R345" r:id="rId886" display="https://www.youtube.com/watch?v=_ajJWdFlkas"/>
    <hyperlink ref="S345" r:id="rId887" display="https://gld.legislaturacba.gob.ar/Publics/Actas.aspx?id=YJsJ6sKs3fk=;https://gld.legislaturacba.gob.ar/Publics/Actas.aspx?id=GYihDPwAGQ0="/>
    <hyperlink ref="Q346" r:id="rId888" display="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hyperlink ref="R346" r:id="rId889" display="https://www.youtube.com/watch?v=YEnc-B_sUzY"/>
    <hyperlink ref="S346" r:id="rId890" display="https://gld.legislaturacba.gob.ar/Publics/Actas.aspx?id=tLfP-fmigYA=;https://gld.legislaturacba.gob.ar/Publics/Actas.aspx?id=D1eDff2wPQA="/>
    <hyperlink ref="Q347" r:id="rId891" display="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hyperlink ref="R347" r:id="rId892" display="https://www.youtube.com/watch?v=EifmVOKnLsc"/>
    <hyperlink ref="S347" r:id="rId893" display="https://gld.legislaturacba.gob.ar/Publics/Actas.aspx?id=iaG4wEkbmTs="/>
    <hyperlink ref="Q348" r:id="rId894" display="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hyperlink ref="R348" r:id="rId895" display="https://www.youtube.com/watch?v=i5wrOaQ_mYg"/>
    <hyperlink ref="S348" r:id="rId896" display="https://gld.legislaturacba.gob.ar/Publics/Actas.aspx?id=OzkubSl0BBM=;https://gld.legislaturacba.gob.ar/Publics/Actas.aspx?id=oqGD5vZovfA="/>
    <hyperlink ref="Q349" r:id="rId897" display="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hyperlink ref="R349" r:id="rId898" display="https://www.youtube.com/watch?v=ipPhH4x6s5s"/>
    <hyperlink ref="S349" r:id="rId899" display="https://gld.legislaturacba.gob.ar/Publics/Actas.aspx?id=sBt_QC4D32I=;https://gld.legislaturacba.gob.ar/Publics/Actas.aspx?id=8ysqMhlsbW8=;https://gld.legislaturacba.gob.ar/Publics/Actas.aspx?id=1g4-lm1-H3w="/>
    <hyperlink ref="Q350" r:id="rId900" display="https://gld.legislaturacba.gob.ar/_cdd/api/Documento/descargar?guid=8b25df6e-65f7-4699-abc3-ea1001bba3d0&amp;token=_StPyoT4g3gzPFLo1yrV3dXBUcJM0GWcGfVipvgJngaHfboZd8bh1CysuzxbSa0_3ewD8f0ta86IIrwLMPVZOzmgs3Cx_VCFsN5Lu6rlo86wCCsewRjP5sO0yQQua59K9sDhi8JbEiyH0sKaWV9TIGe5QKNfea29R_L2lHCNfz6TBTlRg_TPn_898sF80qZQiu6gSk4Yr3L3OTp--ZL79ys2b-Qs35IrabDKKtJ3IxJZ4ElpoAsISrLdzlPiJQLa"/>
    <hyperlink ref="R350" r:id="rId901" display="https://www.youtube.com/watch?v=gtl64Qui3P8"/>
    <hyperlink ref="S350" r:id="rId902" display="https://gld.legislaturacba.gob.ar/Publics/Actas.aspx?id=DNaGY1SY15Y="/>
    <hyperlink ref="Q351" r:id="rId903" display="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hyperlink ref="R351" r:id="rId904" display="https://www.youtube.com/watch?v=2wkGrycC-Gg"/>
    <hyperlink ref="S351" r:id="rId905" display="https://gld.legislaturacba.gob.ar/Publics/Actas.aspx?id=lK7dLC7PYWk=;https://gld.legislaturacba.gob.ar/Publics/Actas.aspx?id=wBlgR4RFwtw=;https://gld.legislaturacba.gob.ar/Publics/Actas.aspx?id=2fKoNedgjpQ="/>
    <hyperlink ref="Q352" r:id="rId906" display="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hyperlink ref="R352" r:id="rId907" display="https://www.youtube.com/watch?v=H7eFMRJLF1c"/>
    <hyperlink ref="S352" r:id="rId908" display="https://gld.legislaturacba.gob.ar/Publics/Actas.aspx?id=VMukCI7nhGo="/>
    <hyperlink ref="Q353" r:id="rId909" display="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hyperlink ref="R353" r:id="rId910" display="https://www.youtube.com/watch?v=bVFYSKOxpYw"/>
    <hyperlink ref="S353" r:id="rId911" display="https://gld.legislaturacba.gob.ar/Publics/Actas.aspx?id=lJ8ILD-6yXo=;https://gld.legislaturacba.gob.ar/Publics/Actas.aspx?id=Kdf_XCaoJjU="/>
    <hyperlink ref="Q354" r:id="rId912" display="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hyperlink ref="R354" r:id="rId913" display="https://www.youtube.com/watch?v=U4xTMyx7Nw4"/>
    <hyperlink ref="S354" r:id="rId914" display="https://gld.legislaturacba.gob.ar/Publics/Actas.aspx?id=hbOXMv5KW9c=;https://gld.legislaturacba.gob.ar/Publics/Actas.aspx?id=uLY5DAtMs7Q="/>
    <hyperlink ref="Q355" r:id="rId915" display="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hyperlink ref="R355" r:id="rId916" display="https://www.youtube.com/watch?v=nuEnyHRlhF8"/>
    <hyperlink ref="S355" r:id="rId917" display="https://gld.legislaturacba.gob.ar/Publics/Actas.aspx?id=zh3_oJQCuEs=;https://gld.legislaturacba.gob.ar/Publics/Actas.aspx?id=14oZpYZaOYE="/>
    <hyperlink ref="Q356" r:id="rId918" display="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hyperlink ref="R356" r:id="rId919" display="https://www.youtube.com/watch?v=GR7gnhuNCu4"/>
    <hyperlink ref="S356" r:id="rId920" display="https://gld.legislaturacba.gob.ar/Publics/Actas.aspx?id=-gOcIVQm39s="/>
    <hyperlink ref="Q357" r:id="rId921" display="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hyperlink ref="R357" r:id="rId922" display="https://www.youtube.com/watch?v=BqsyFydVHpU"/>
    <hyperlink ref="S357" r:id="rId923" display="https://gld.legislaturacba.gob.ar/Publics/Actas.aspx?id=gxMMc59fZAw="/>
    <hyperlink ref="Q358" r:id="rId924" display="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hyperlink ref="R358" r:id="rId925" display="https://www.youtube.com/watch?v=TKlXyKWVwlg"/>
    <hyperlink ref="S358" r:id="rId926" display="https://gld.legislaturacba.gob.ar/Publics/Actas.aspx?id=Ex2G8Ke8k2E=;https://gld.legislaturacba.gob.ar/Publics/Actas.aspx?id=Qlk3sCOfTDI="/>
    <hyperlink ref="Q359" r:id="rId927" display="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hyperlink ref="R359" r:id="rId928" display="https://www.youtube.com/watch?v=cv4LL6LJwr0"/>
    <hyperlink ref="S359" r:id="rId929" display="https://gld.legislaturacba.gob.ar/Publics/Actas.aspx?id=QCTs98fKiiE="/>
    <hyperlink ref="Q360" r:id="rId930" display="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hyperlink ref="R360" r:id="rId931" display="https://www.youtube.com/watch?v=IiEfYnc9ohw"/>
    <hyperlink ref="S360" r:id="rId932" display="https://gld.legislaturacba.gob.ar/Publics/Actas.aspx?id=saHxQ-OZ0q8="/>
    <hyperlink ref="Q361" r:id="rId933" display="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hyperlink ref="R361" r:id="rId934" display="https://www.youtube.com/watch?v=JYtdIUZw2mE"/>
    <hyperlink ref="S361" r:id="rId935" display="https://gld.legislaturacba.gob.ar/Publics/Actas.aspx?id=ychTSNxDbbY="/>
    <hyperlink ref="Q362" r:id="rId936" display="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hyperlink ref="R362" r:id="rId937" display="https://www.youtube.com/watch?v=wAKPFq_8rcw"/>
    <hyperlink ref="S362" r:id="rId938" display="https://gld.legislaturacba.gob.ar/Publics/Actas.aspx?id=veSCzDGqWqc=;https://gld.legislaturacba.gob.ar/Publics/Actas.aspx?id=lwOuol5_dTo="/>
    <hyperlink ref="Q363" r:id="rId939" display="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hyperlink ref="S363" r:id="rId940" display="https://gld.legislaturacba.gob.ar/Publics/Actas.aspx?id=1G9t-oodHPM="/>
    <hyperlink ref="Q364" r:id="rId941" display="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hyperlink ref="R364" r:id="rId942" display="https://www.youtube.com/watch?v=6facA5HNrcw"/>
    <hyperlink ref="S364" r:id="rId943" display="https://gld.legislaturacba.gob.ar/Publics/Actas.aspx?id=z5ZTO6JkY90="/>
    <hyperlink ref="Q365" r:id="rId944" display="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hyperlink ref="R365" r:id="rId945" display="https://www.youtube.com/watch?v=j7_QtOYvyo8"/>
    <hyperlink ref="S365" r:id="rId946" display="https://gld.legislaturacba.gob.ar/Publics/Actas.aspx?id=rFkDqxbmkjs="/>
    <hyperlink ref="Q366" r:id="rId947" display="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hyperlink ref="R366" r:id="rId948" display="https://www.youtube.com/watch?v=RANohj6-nQM"/>
    <hyperlink ref="S366" r:id="rId949" display="https://gld.legislaturacba.gob.ar/Publics/Actas.aspx?id=eU5sopwFFZ8="/>
    <hyperlink ref="Q367" r:id="rId950" display="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hyperlink ref="R367" r:id="rId951" display="https://www.youtube.com/watch?v=rhRJs2NsGNY"/>
    <hyperlink ref="S367" r:id="rId952" display="https://gld.legislaturacba.gob.ar/Publics/Actas.aspx?id=UovuVJZ6SAg="/>
    <hyperlink ref="Q368" r:id="rId953" display="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hyperlink ref="R368" r:id="rId954" display="https://www.youtube.com/watch?v=YIMbN9k3AfA"/>
    <hyperlink ref="S368" r:id="rId955" display="https://gld.legislaturacba.gob.ar/Publics/Actas.aspx?id=J3sEQeTl5po="/>
    <hyperlink ref="Q369" r:id="rId956" display="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hyperlink ref="R369" r:id="rId957" display="https://www.youtube.com/watch?v=5LsFxiL_y4g"/>
    <hyperlink ref="S369" r:id="rId958" display="https://gld.legislaturacba.gob.ar/Publics/Actas.aspx?id=kme3c8Ikhpw="/>
    <hyperlink ref="Q370" r:id="rId959" display="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hyperlink ref="S370" r:id="rId960" display="https://gld.legislaturacba.gob.ar/Publics/Actas.aspx?id=9tAJu6uUzYA="/>
    <hyperlink ref="Q371" r:id="rId961" display="https://gld.legislaturacba.gob.ar/_cdd/api/Documento/descargar?guid=6e413808-e485-4f63-b056-a2707b678733&amp;token=4oQ5dYGgacrp_1YuZUZLTNxoSHUEN4c1Vnk9dOPd1beVpokZqIIQIOGGkwU44Tk0M6H7FddGdUvuQ4AOFlATW8CodsQActh2NlRk5_He1VjKqxRf7GbHU-a_BYHi4DZm5Ax_iVkDyHaODlMw-Y7UVgxqg29zsFC_Mk36UWM84Tf6_QlgEXk0cSIfwJr5DqsvilcGonwIVNT7WSmNgCqKInzpaeuycyT2DXRPKRUD2wc7Xnu3P39r28VV4gyjQwbO"/>
    <hyperlink ref="R371" r:id="rId962" display="https://www.youtube.com/watch?v=79AYMU_puV0"/>
    <hyperlink ref="S371" r:id="rId963" display="https://gld.legislaturacba.gob.ar/Publics/Actas.aspx?id=ckHHJVdWA98="/>
    <hyperlink ref="Q372" r:id="rId964" display="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hyperlink ref="R372" r:id="rId965" display="https://www.youtube.com/watch?v=5n6UghT3J5o"/>
    <hyperlink ref="S372" r:id="rId966" display="https://gld.legislaturacba.gob.ar/Publics/Actas.aspx?id=mD5yIZy3mXY="/>
    <hyperlink ref="Q373" r:id="rId967" display="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hyperlink ref="R373" r:id="rId968" display="https://www.youtube.com/watch?v=4AZgcULnKOc"/>
    <hyperlink ref="S373" r:id="rId969" display="https://gld.legislaturacba.gob.ar/Publics/Actas.aspx?id=FDLqVEnywLQ="/>
    <hyperlink ref="Q374" r:id="rId970" display="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hyperlink ref="R374" r:id="rId971" display="https://www.youtube.com/watch?v=F5w7L-lMMH8"/>
    <hyperlink ref="S374" r:id="rId972" display="https://gld.legislaturacba.gob.ar/Publics/Actas.aspx?id=ysfIb-oHytE="/>
    <hyperlink ref="Q375" r:id="rId973" display="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hyperlink ref="R375" r:id="rId974" display="https://www.youtube.com/watch?v=X4Y2wDLbgN8"/>
    <hyperlink ref="S375" r:id="rId975" display="https://gld.legislaturacba.gob.ar/Publics/Actas.aspx?id=S3oUlnjR090="/>
    <hyperlink ref="Q376" r:id="rId976" display="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hyperlink ref="R376" r:id="rId977" display="https://www.youtube.com/watch?v=ENWm_46gYYM"/>
    <hyperlink ref="S376" r:id="rId978" display="https://gld.legislaturacba.gob.ar/Publics/Actas.aspx?id=eOE4rnH980s="/>
    <hyperlink ref="Q377" r:id="rId979" display="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hyperlink ref="R377" r:id="rId980" display="https://www.youtube.com/watch?v=Mk5i4ZvBMeY"/>
    <hyperlink ref="S377" r:id="rId981" display="https://gld.legislaturacba.gob.ar/Publics/Actas.aspx?id=bVs_bFTQoo8=;https://gld.legislaturacba.gob.ar/Publics/Actas.aspx?id=5vGFBcAqr-w="/>
    <hyperlink ref="Q378" r:id="rId982" display="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hyperlink ref="R378" r:id="rId983" display="https://www.youtube.com/watch?v=WNGvZBExs2k"/>
    <hyperlink ref="S378" r:id="rId984" display="https://gld.legislaturacba.gob.ar/Publics/Actas.aspx?id=AgInIdvqd3M=;https://gld.legislaturacba.gob.ar/Publics/Actas.aspx?id=dQumU0lhVYs="/>
    <hyperlink ref="Q379" r:id="rId985" display="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hyperlink ref="R379" r:id="rId986" display="https://www.youtube.com/watch?v=Mr6bvaOjNDs"/>
    <hyperlink ref="S379" r:id="rId987" display="https://gld.legislaturacba.gob.ar/Publics/Actas.aspx?id=uFwO0cOM7W0="/>
    <hyperlink ref="Q380" r:id="rId988" display="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hyperlink ref="S380" r:id="rId989" display="https://gld.legislaturacba.gob.ar/Publics/Actas.aspx?id=0eCYYHpJ1XA="/>
    <hyperlink ref="Q381" r:id="rId990" display="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hyperlink ref="R381" r:id="rId991" display="https://www.youtube.com/watch?v=-r-iKO6zaSc"/>
    <hyperlink ref="S381" r:id="rId992" display="https://gld.legislaturacba.gob.ar/Publics/Actas.aspx?id=21vQB_UnUHg=;https://gld.legislaturacba.gob.ar/Publics/Actas.aspx?id=6lIWWol7bmI="/>
    <hyperlink ref="Q382" r:id="rId993" display="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hyperlink ref="R382" r:id="rId994" display="https://www.youtube.com/watch?v=JrVTLPfTEaY"/>
    <hyperlink ref="S382" r:id="rId995" display="https://gld.legislaturacba.gob.ar/Publics/Actas.aspx?id=7rNl_5RuuaM=;https://gld.legislaturacba.gob.ar/Publics/Actas.aspx?id=9j5-xe7o5oo="/>
    <hyperlink ref="Q383" r:id="rId996" display="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hyperlink ref="R383" r:id="rId997" display="https://www.youtube.com/watch?v=wY-HU0qPjdQ"/>
    <hyperlink ref="S383" r:id="rId998" display="https://gld.legislaturacba.gob.ar/Publics/Actas.aspx?id=euhz-4Pwjs4="/>
    <hyperlink ref="Q384" r:id="rId999" display="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hyperlink ref="R384" r:id="rId1000" display="https://www.youtube.com/watch?v=s5BY3eVemR0"/>
    <hyperlink ref="S384" r:id="rId1001" display="https://gld.legislaturacba.gob.ar/Publics/Actas.aspx?id=gCbCya6ccP8="/>
    <hyperlink ref="R385" r:id="rId1002" display="https://www.youtube.com/watch?v=gUh1hjf8RO4"/>
    <hyperlink ref="S385" r:id="rId1003" display="https://gld.legislaturacba.gob.ar/Publics/Actas.aspx?id=StUPC8B_VLQ="/>
    <hyperlink ref="Q386" r:id="rId1004" display="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hyperlink ref="S386" r:id="rId1005" display="https://gld.legislaturacba.gob.ar/Publics/Actas.aspx?id=buc2ApEqGWs="/>
    <hyperlink ref="Q387" r:id="rId1006" display="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hyperlink ref="R387" r:id="rId1007" display="https://www.youtube.com/watch?v=5H8xfj7fwgA"/>
    <hyperlink ref="S387" r:id="rId1008" display="https://gld.legislaturacba.gob.ar/Publics/Actas.aspx?id=YZ78eDheKso="/>
    <hyperlink ref="Q388" r:id="rId1009" display="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hyperlink ref="R388" r:id="rId1010" display="https://www.youtube.com/watch?v=jEhxL5lNbik"/>
    <hyperlink ref="S388" r:id="rId1011" display="https://gld.legislaturacba.gob.ar/Publics/Actas.aspx?id=gIqLVo_9FM0="/>
    <hyperlink ref="Q389" r:id="rId1012" display="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hyperlink ref="R389" r:id="rId1013" display="https://www.youtube.com/watch?v=TK6sY1TJLw0"/>
    <hyperlink ref="S389" r:id="rId1014" display="https://gld.legislaturacba.gob.ar/Publics/Actas.aspx?id=Qp4l2cZq678=;https://gld.legislaturacba.gob.ar/Publics/Actas.aspx?id=zfVK4F1zbaQ="/>
    <hyperlink ref="Q390" r:id="rId1015" display="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hyperlink ref="S390" r:id="rId1016" display="https://gld.legislaturacba.gob.ar/Publics/Actas.aspx?id=V16OhtnbYTI="/>
    <hyperlink ref="Q391" r:id="rId1017" display="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hyperlink ref="R391" r:id="rId1018" display="https://www.youtube.com/watch?v=zB64CC5gLMc"/>
    <hyperlink ref="S391" r:id="rId1019" display="https://gld.legislaturacba.gob.ar/Publics/Actas.aspx?id=s02NJisIHGY="/>
    <hyperlink ref="Q392" r:id="rId1020" display="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hyperlink ref="S392" r:id="rId1021" display="https://gld.legislaturacba.gob.ar/Publics/Actas.aspx?id=E0_WZxfkY5I="/>
    <hyperlink ref="Q393" r:id="rId1022" display="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hyperlink ref="R393" r:id="rId1023" display="https://www.youtube.com/watch?v=nHOpTto2WOA"/>
    <hyperlink ref="S393" r:id="rId1024" display="https://gld.legislaturacba.gob.ar/Publics/Actas.aspx?id=1r0Q75d_onI="/>
    <hyperlink ref="Q394" r:id="rId1025" display="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hyperlink ref="R394" r:id="rId1026" display="https://www.youtube.com/watch?v=ZdfYSq7GUps"/>
    <hyperlink ref="S394" r:id="rId1027" display="https://gld.legislaturacba.gob.ar/Publics/Actas.aspx?id=NCUaovdGwb4=;https://gld.legislaturacba.gob.ar/Publics/Actas.aspx?id=Otnba9yxKXQ="/>
    <hyperlink ref="Q395" r:id="rId1028" display="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hyperlink ref="R395" r:id="rId1029" display="https://www.youtube.com/watch?v=bmkeftXCDUY"/>
    <hyperlink ref="S395" r:id="rId1030" display="https://gld.legislaturacba.gob.ar/Publics/Actas.aspx?id=umaHansLNwU="/>
    <hyperlink ref="Q396" r:id="rId1031" display="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hyperlink ref="R396" r:id="rId1032" display="https://www.youtube.com/watch?v=1gKllbjM6pI"/>
    <hyperlink ref="S396" r:id="rId1033" display="https://gld.legislaturacba.gob.ar/Publics/Actas.aspx?id=c7SlWdbqPps="/>
    <hyperlink ref="Q397" r:id="rId1034" display="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hyperlink ref="S397" r:id="rId1035" display="https://gld.legislaturacba.gob.ar/Publics/Actas.aspx?id=5dXSoqLfYFw="/>
    <hyperlink ref="S398" r:id="rId1036" display="https://gld.legislaturacba.gob.ar/Publics/Actas.aspx?id=383ECyYsBvk="/>
    <hyperlink ref="Q399" r:id="rId1037" display="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hyperlink ref="R399" r:id="rId1038" display="https://www.youtube.com/watch?v=nVuyO6Ais3U"/>
    <hyperlink ref="S399" r:id="rId1039" display="https://gld.legislaturacba.gob.ar/Publics/Actas.aspx?id=PJhlRlUBtNs="/>
    <hyperlink ref="Q400" r:id="rId1040" display="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hyperlink ref="R400" r:id="rId1041" display="https://www.youtube.com/watch?v=ozAd0n8VzFo"/>
    <hyperlink ref="S400" r:id="rId1042" display="https://gld.legislaturacba.gob.ar/Publics/Actas.aspx?id=PwK5VZGWPRk="/>
    <hyperlink ref="Q401" r:id="rId1043" display="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hyperlink ref="R401" r:id="rId1044" display="https://www.youtube.com/watch?v=O0VgqOcu1Ok"/>
    <hyperlink ref="S401" r:id="rId1045" display="https://gld.legislaturacba.gob.ar/Publics/Actas.aspx?id=Cv9D6ApKRew=;https://gld.legislaturacba.gob.ar/Publics/Actas.aspx?id=q5WfCqCu8Tw=;https://gld.legislaturacba.gob.ar/Publics/Actas.aspx?id=MhN0F7i8cwg=;https://gld.legislaturacba.gob.ar/Publics/Actas.aspx?id=jwPaScIegQw="/>
    <hyperlink ref="Q402" r:id="rId1046" display="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hyperlink ref="R402" r:id="rId1047" display="https://www.youtube.com/watch?v=ger3Q8VHvmY"/>
    <hyperlink ref="S402" r:id="rId1048" display="https://gld.legislaturacba.gob.ar/Publics/Actas.aspx?id=mbRHxobTh3g=;https://gld.legislaturacba.gob.ar/Publics/Actas.aspx?id=hvM3D8hFMyw="/>
    <hyperlink ref="Q403" r:id="rId1049" display="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hyperlink ref="R403" r:id="rId1050" display="https://www.youtube.com/watch?v=2gnKDh0EiuU"/>
    <hyperlink ref="S403" r:id="rId1051" display="https://gld.legislaturacba.gob.ar/Publics/Actas.aspx?id=KbIxLCxOvO8="/>
    <hyperlink ref="Q404" r:id="rId1052" display="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hyperlink ref="R404" r:id="rId1053" display="https://www.youtube.com/watch?v=sfv6khuJACM"/>
    <hyperlink ref="S404" r:id="rId1054" display="https://gld.legislaturacba.gob.ar/Publics/Actas.aspx?id=D-fAcS2XjdY="/>
    <hyperlink ref="Q405" r:id="rId1055" display="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hyperlink ref="R405" r:id="rId1056" display="https://www.youtube.com/watch?v=HipTyxwdteI"/>
    <hyperlink ref="S405" r:id="rId1057" display="https://gld.legislaturacba.gob.ar/Publics/Actas.aspx?id=LB08U3Zc8Js=;https://gld.legislaturacba.gob.ar/Publics/Actas.aspx?id=DhVyg8WhYOo="/>
    <hyperlink ref="Q406" r:id="rId1058" display="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hyperlink ref="S406" r:id="rId1059" display="https://gld.legislaturacba.gob.ar/Publics/Actas.aspx?id=WSsFsBypBwI="/>
    <hyperlink ref="Q407" r:id="rId1060" display="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hyperlink ref="S407" r:id="rId1061" display="https://gld.legislaturacba.gob.ar/Publics/Actas.aspx?id=rxi9_pwrpmk=;https://gld.legislaturacba.gob.ar/Publics/Actas.aspx?id=JaqBMqnEpVk=;https://gld.legislaturacba.gob.ar/Publics/Actas.aspx?id=_9xLcdg04aU=;https://gld.legislaturacba.gob.ar/Publics/Actas.aspx?id=fIp0B02BCYE=;https://gld.legislaturacba.gob.ar/Publics/Actas.aspx?id=Lf2s-7fnWOg="/>
    <hyperlink ref="Q408" r:id="rId1062" display="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hyperlink ref="R408" r:id="rId1063" display="https://www.youtube.com/watch?v=VEwNO-aG6F8"/>
    <hyperlink ref="S408" r:id="rId1064" display="https://gld.legislaturacba.gob.ar/Publics/Actas.aspx?id=zigLZ5rVo2I="/>
    <hyperlink ref="Q409" r:id="rId1065" display="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hyperlink ref="R409" r:id="rId1066" display="https://www.youtube.com/watch?v=gosAJzmVfGM"/>
    <hyperlink ref="S409" r:id="rId1067" display="https://gld.legislaturacba.gob.ar/Publics/Actas.aspx?id=9rtykumbLY8="/>
    <hyperlink ref="Q410" r:id="rId1068" display="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hyperlink ref="R410" r:id="rId1069" display="https://www.youtube.com/watch?v=weduzrR5L4s"/>
    <hyperlink ref="S410" r:id="rId1070" display="https://gld.legislaturacba.gob.ar/Publics/Actas.aspx?id=Lk6ehE3VoFk=;https://gld.legislaturacba.gob.ar/Publics/Actas.aspx?id=XhUcA_ei_fk="/>
    <hyperlink ref="Q411" r:id="rId1071" display="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hyperlink ref="R411" r:id="rId1072" display="https://www.youtube.com/watch?v=RsPnoR6XsjU"/>
    <hyperlink ref="S411" r:id="rId1073" display="https://gld.legislaturacba.gob.ar/Publics/Actas.aspx?id=uVszuvJcJqg="/>
    <hyperlink ref="Q412" r:id="rId1074" display="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hyperlink ref="R412" r:id="rId1075" display="https://www.youtube.com/watch?v=0EVza5T55BY"/>
    <hyperlink ref="S412" r:id="rId1076" display="https://gld.legislaturacba.gob.ar/Publics/Actas.aspx?id=cHr1dT5HBkY="/>
    <hyperlink ref="Q413" r:id="rId1077" display="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hyperlink ref="R413" r:id="rId1078" display="https://www.youtube.com/watch?v=j-8viw0ehLU"/>
    <hyperlink ref="S413" r:id="rId1079" display="https://gld.legislaturacba.gob.ar/Publics/Actas.aspx?id=UlEsmzKr8Cg="/>
    <hyperlink ref="R414" r:id="rId1080" display="https://www.youtube.com/watch?v=xQ6bCxG93cE"/>
    <hyperlink ref="S414" r:id="rId1081" display="https://gld.legislaturacba.gob.ar/Publics/Actas.aspx?id=G1v1KJEXDcU="/>
    <hyperlink ref="Q415" r:id="rId1082" display="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hyperlink ref="R415" r:id="rId1083" display="https://www.youtube.com/watch?v=GBUP35jvbEw"/>
    <hyperlink ref="S415" r:id="rId1084" display="https://gld.legislaturacba.gob.ar/Publics/Actas.aspx?id=NmQB2-gzEK0="/>
    <hyperlink ref="Q416" r:id="rId1085" display="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hyperlink ref="R416" r:id="rId1086" display="https://www.youtube.com/watch?v=luU-G4jeO8Q"/>
    <hyperlink ref="S416" r:id="rId1087" display="https://gld.legislaturacba.gob.ar/Publics/Actas.aspx?id=KSaZOvBFNv4=;https://gld.legislaturacba.gob.ar/Publics/Actas.aspx?id=ySIfip1qn4E="/>
    <hyperlink ref="Q417" r:id="rId1088" display="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hyperlink ref="R417" r:id="rId1089" display="https://www.youtube.com/watch?v=YvkLmQjo8Zg"/>
    <hyperlink ref="S417" r:id="rId1090" display="https://gld.legislaturacba.gob.ar/Publics/Actas.aspx?id=Z4Q6z8X8III="/>
    <hyperlink ref="Q418" r:id="rId1091" display="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hyperlink ref="R418" r:id="rId1092" display="https://www.youtube.com/watch?v=D_PWBaL7GNg"/>
    <hyperlink ref="S418" r:id="rId1093" display="https://gld.legislaturacba.gob.ar/Publics/Actas.aspx?id=phju-SwG_RQ="/>
    <hyperlink ref="Q419" r:id="rId1094" display="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hyperlink ref="R419" r:id="rId1095" display="https://www.youtube.com/watch?v=dKUzhjCscm8"/>
    <hyperlink ref="S419" r:id="rId1096" display="https://gld.legislaturacba.gob.ar/Publics/Actas.aspx?id=TmK7Mm-JOSI="/>
    <hyperlink ref="Q420" r:id="rId1097" display="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hyperlink ref="R420" r:id="rId1098" display="https://www.youtube.com/watch?v=z0SO279TV8g"/>
    <hyperlink ref="S420" r:id="rId1099" display="https://gld.legislaturacba.gob.ar/Publics/Actas.aspx?id=JsJ8e2X8Lk0=;https://gld.legislaturacba.gob.ar/Publics/Actas.aspx?id=vZvWx5cWyXI="/>
    <hyperlink ref="Q421" r:id="rId1100" display="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hyperlink ref="R421" r:id="rId1101" display="https://www.youtube.com/watch?v=nmNeAY1zSUA"/>
    <hyperlink ref="S421" r:id="rId1102" display="https://gld.legislaturacba.gob.ar/Publics/Actas.aspx?id=QvSZN5OiFBI=;https://gld.legislaturacba.gob.ar/Publics/Actas.aspx?id=En1M2iHzibA=;https://gld.legislaturacba.gob.ar/Publics/Actas.aspx?id=vZvWx5cWyXI="/>
    <hyperlink ref="Q422" r:id="rId1103" display="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hyperlink ref="S422" r:id="rId1104" display="https://gld.legislaturacba.gob.ar/Publics/Actas.aspx?id=vIi3uRtFUsU="/>
    <hyperlink ref="Q423" r:id="rId1105" display="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hyperlink ref="R423" r:id="rId1106" display="https://www.youtube.com/watch?v=ggJ8_X2pdVw"/>
    <hyperlink ref="S423" r:id="rId1107" display="https://gld.legislaturacba.gob.ar/Publics/Actas.aspx?id=J3ig1WHpuiI=;https://gld.legislaturacba.gob.ar/Publics/Actas.aspx?id=MsNcmhcXa0A="/>
    <hyperlink ref="Q424" r:id="rId1108" display="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hyperlink ref="R424" r:id="rId1109" display="https://www.youtube.com/watch?v=I4VOVNuLxO0"/>
    <hyperlink ref="S424" r:id="rId1110" display="https://gld.legislaturacba.gob.ar/Publics/Actas.aspx?id=09qUJHLGkN4=;https://gld.legislaturacba.gob.ar/Publics/Actas.aspx?id=nSX2fGZKIpc="/>
    <hyperlink ref="Q425" r:id="rId1111" display="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hyperlink ref="R425" r:id="rId1112" display="https://www.youtube.com/watch?v=bulqZXWDBjM"/>
    <hyperlink ref="S425" r:id="rId1113" display="https://gld.legislaturacba.gob.ar/Publics/Actas.aspx?id=rW1rylYtXNA=;https://gld.legislaturacba.gob.ar/Publics/Actas.aspx?id=qXz5meCh4cc="/>
    <hyperlink ref="Q426" r:id="rId1114" display="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hyperlink ref="R426" r:id="rId1115" display="https://www.youtube.com/watch?v=Y13rEIaPP7I"/>
    <hyperlink ref="S426" r:id="rId1116" display="https://gld.legislaturacba.gob.ar/Publics/Actas.aspx?id=Cyz2rpIOLHA="/>
    <hyperlink ref="Q427" r:id="rId1117" display="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hyperlink ref="R427" r:id="rId1118" display="https://www.youtube.com/watch?v=tprtOQtyLfI"/>
    <hyperlink ref="S427" r:id="rId1119" display="https://gld.legislaturacba.gob.ar/Publics/Actas.aspx?id=Ztb1faDOxAc="/>
    <hyperlink ref="Q428" r:id="rId1120" display="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hyperlink ref="R428" r:id="rId1121" display="https://www.youtube.com/watch?v=3J1PcDev7w0"/>
    <hyperlink ref="S428" r:id="rId1122" display="https://gld.legislaturacba.gob.ar/Publics/Actas.aspx?id=gdlbIcxv_pw="/>
    <hyperlink ref="Q429" r:id="rId1123" display="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hyperlink ref="R429" r:id="rId1124" display="https://www.youtube.com/watch?v=BYgY-SHLeeI"/>
    <hyperlink ref="S429" r:id="rId1125" display="https://gld.legislaturacba.gob.ar/Publics/Actas.aspx?id=kMrBN0ZQQxk=;https://gld.legislaturacba.gob.ar/Publics/Actas.aspx?id=JiDIjN6ztj4=;https://gld.legislaturacba.gob.ar/Publics/Actas.aspx?id=fGlQqy_g67Q="/>
    <hyperlink ref="Q430" r:id="rId1126" display="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hyperlink ref="R430" r:id="rId1127" display="https://www.youtube.com/watch?v=hZKP2VnS_Uc"/>
    <hyperlink ref="S430" r:id="rId1128" display="https://gld.legislaturacba.gob.ar/Publics/Actas.aspx?id=rAV-XP0TDIM=;https://gld.legislaturacba.gob.ar/Publics/Actas.aspx?id=Bx1jLn_9yQg="/>
    <hyperlink ref="Q431" r:id="rId1129" display="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hyperlink ref="R431" r:id="rId1130" display="https://www.youtube.com/watch?v=Q5LpyVmaI0k"/>
    <hyperlink ref="S431" r:id="rId1131" display="https://gld.legislaturacba.gob.ar/Publics/Actas.aspx?id=36dZzcYSaqs="/>
    <hyperlink ref="Q432" r:id="rId1132" display="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hyperlink ref="R432" r:id="rId1133" display="https://www.youtube.com/watch?v=njciRI9x1RA"/>
    <hyperlink ref="S432" r:id="rId1134" display="https://gld.legislaturacba.gob.ar/Publics/Actas.aspx?id=NQPSyIQkvTc="/>
    <hyperlink ref="S433" r:id="rId1135" display="https://gld.legislaturacba.gob.ar/Publics/Actas.aspx?id=IYlSty09jVY=;https://gld.legislaturacba.gob.ar/Publics/Actas.aspx?id=V8vjjqFYawQ=;https://gld.legislaturacba.gob.ar/Publics/Actas.aspx?id=1ZJ67PB5bdg="/>
    <hyperlink ref="Q434" r:id="rId1136" display="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hyperlink ref="R434" r:id="rId1137" display="https://www.youtube.com/watch?v=8IsZsIKrGig"/>
    <hyperlink ref="S434" r:id="rId1138" display="https://gld.legislaturacba.gob.ar/Publics/Actas.aspx?id=fehBi1gxVc0=;https://gld.legislaturacba.gob.ar/Publics/Actas.aspx?id=GKqn_eVrO-U="/>
    <hyperlink ref="Q435" r:id="rId1139" display="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hyperlink ref="R435" r:id="rId1140" display="https://www.youtube.com/watch?v=5HHydFCuJfA"/>
    <hyperlink ref="S435" r:id="rId1141" display="https://gld.legislaturacba.gob.ar/Publics/Actas.aspx?id=lJYYHFPpRU8="/>
    <hyperlink ref="Q436" r:id="rId1142" display="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hyperlink ref="R436" r:id="rId1143" display="https://www.youtube.com/watch?v=hGBmHhdqVyo"/>
    <hyperlink ref="S436" r:id="rId1144" display="https://gld.legislaturacba.gob.ar/Publics/Actas.aspx?id=RZcJaWI6fCw=;https://gld.legislaturacba.gob.ar/Publics/Actas.aspx?id=Gyvsz9-kHnU="/>
    <hyperlink ref="Q437" r:id="rId1145" display="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hyperlink ref="S437" r:id="rId1146" display="https://gld.legislaturacba.gob.ar/Publics/Actas.aspx?id=zZBme7WlZdU="/>
    <hyperlink ref="Q438" r:id="rId1147" display="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hyperlink ref="R438" r:id="rId1148" display="https://www.youtube.com/watch?v=LVdH9rmC8hU"/>
    <hyperlink ref="S438" r:id="rId1149" display="https://gld.legislaturacba.gob.ar/Publics/Actas.aspx?id=9mIiX6bJfFU="/>
    <hyperlink ref="Q439" r:id="rId1150" display="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hyperlink ref="R439" r:id="rId1151" display="https://www.youtube.com/watch?v=SV36PQceT6M"/>
    <hyperlink ref="S439" r:id="rId1152" display="https://gld.legislaturacba.gob.ar/Publics/Actas.aspx?id=u82hi8F-KdI=;https://gld.legislaturacba.gob.ar/Publics/Actas.aspx?id=ywd4ZG2u_5U=;https://gld.legislaturacba.gob.ar/Publics/Actas.aspx?id=soLZibbLvB8="/>
    <hyperlink ref="Q440" r:id="rId1153" display="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hyperlink ref="R440" r:id="rId1154" display="https://www.youtube.com/watch?v=7mapFhMxIDQ"/>
    <hyperlink ref="S440" r:id="rId1155" display="https://gld.legislaturacba.gob.ar/Publics/Actas.aspx?id=ty3_RlpExu4="/>
    <hyperlink ref="Q441" r:id="rId1156" display="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hyperlink ref="R441" r:id="rId1157" display="https://www.youtube.com/watch?v=7EZqjW_hsb8"/>
    <hyperlink ref="S441" r:id="rId1158" display="https://gld.legislaturacba.gob.ar/Publics/Actas.aspx?id=Qg3_yTAgZRc="/>
    <hyperlink ref="Q442" r:id="rId1159" display="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hyperlink ref="R442" r:id="rId1160" display="https://www.youtube.com/watch?v=RGL-1k2bvl0"/>
    <hyperlink ref="S442" r:id="rId1161" display="https://gld.legislaturacba.gob.ar/Publics/Actas.aspx?id=zoi68Ubm00I=;https://gld.legislaturacba.gob.ar/Publics/Actas.aspx?id=XHWO4cTnLdE=;https://gld.legislaturacba.gob.ar/Publics/Actas.aspx?id=erMCrdeIfzM="/>
    <hyperlink ref="Q443" r:id="rId1162" display="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hyperlink ref="R443" r:id="rId1163" display="https://www.youtube.com/watch?v=weLYICQT1qI"/>
    <hyperlink ref="S443" r:id="rId1164" display="https://gld.legislaturacba.gob.ar/Publics/Actas.aspx?id=CG-k-1Uqe4Q=;https://gld.legislaturacba.gob.ar/Publics/Actas.aspx?id=GW8yv50WBSU=;https://gld.legislaturacba.gob.ar/Publics/Actas.aspx?id=fVD_iwIdhEE="/>
    <hyperlink ref="Q444" r:id="rId1165" display="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hyperlink ref="R444" r:id="rId1166" display="https://www.youtube.com/watch?v=ROQrNF16rz0"/>
    <hyperlink ref="S444" r:id="rId1167" display="https://gld.legislaturacba.gob.ar/Publics/Actas.aspx?id=pwRp3ID1rJc=;https://gld.legislaturacba.gob.ar/Publics/Actas.aspx?id=VuZhZEJoiYg=;https://gld.legislaturacba.gob.ar/Publics/Actas.aspx?id=4FAxds41qyI="/>
    <hyperlink ref="Q445" r:id="rId1168" display="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hyperlink ref="R445" r:id="rId1169" display="https://www.youtube.com/watch?v=2d6qvN8_LpU"/>
    <hyperlink ref="S445" r:id="rId1170" display="https://gld.legislaturacba.gob.ar/Publics/Actas.aspx?id=OlGIMS9VXNE=;https://gld.legislaturacba.gob.ar/Publics/Actas.aspx?id=cRExoTyiQo8="/>
    <hyperlink ref="Q446" r:id="rId1171" display="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hyperlink ref="R446" r:id="rId1172" display="https://www.youtube.com/watch?v=-iA2mMOyvao"/>
    <hyperlink ref="S446" r:id="rId1173" display="https://gld.legislaturacba.gob.ar/Publics/Actas.aspx?id=pAoyCnxY2cg="/>
    <hyperlink ref="Q447" r:id="rId1174" display="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hyperlink ref="R447" r:id="rId1175" display="https://www.youtube.com/watch?v=MrttBxcYXNM"/>
    <hyperlink ref="S447" r:id="rId1176" display="https://gld.legislaturacba.gob.ar/Publics/Actas.aspx?id=GF1sxSxYnvc=;https://gld.legislaturacba.gob.ar/Publics/Actas.aspx?id=t8ePN4SmNbw="/>
    <hyperlink ref="R448" r:id="rId1177" display="https://www.youtube.com/watch?v=s-e63Z3Q0z4"/>
    <hyperlink ref="S448" r:id="rId1178" display="https://gld.legislaturacba.gob.ar/Publics/Actas.aspx?id=GF1sxSxYnvc="/>
    <hyperlink ref="Q449" r:id="rId1179" display="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hyperlink ref="R449" r:id="rId1180" display="https://www.youtube.com/watch?v=ggJ8_X2pdVw"/>
    <hyperlink ref="S449" r:id="rId1181" display="https://gld.legislaturacba.gob.ar/Publics/Actas.aspx?id=9ncwsZP5yvs="/>
    <hyperlink ref="Q450" r:id="rId1182" display="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hyperlink ref="R450" r:id="rId1183" display="https://www.youtube.com/watch?v=91avpxeOc8g"/>
    <hyperlink ref="S450" r:id="rId1184" display="https://gld.legislaturacba.gob.ar/Publics/Actas.aspx?id=HIuEYEVqA7c=;https://gld.legislaturacba.gob.ar/Publics/Actas.aspx?id=oSCiYpvPavk="/>
    <hyperlink ref="Q451" r:id="rId1185" display="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hyperlink ref="R451" r:id="rId1186" display="https://www.youtube.com/watch?v=j6uXeNk6Dt4"/>
    <hyperlink ref="S451" r:id="rId1187" display="https://gld.legislaturacba.gob.ar/Publics/Actas.aspx?id=qCJx5eog3lM="/>
    <hyperlink ref="Q452" r:id="rId1188" display="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hyperlink ref="R452" r:id="rId1189" display="https://www.youtube.com/watch?v=bcdeXJYYXu4"/>
    <hyperlink ref="S452" r:id="rId1190" display="https://gld.legislaturacba.gob.ar/Publics/Actas.aspx?id=voBXvBPZuRk="/>
    <hyperlink ref="S453" r:id="rId1191" display="https://gld.legislaturacba.gob.ar/Publics/Actas.aspx?id=8bGR4zeAakw=;https://gld.legislaturacba.gob.ar/Publics/Actas.aspx?id=KDaK612TFjw=;https://gld.legislaturacba.gob.ar/Publics/Actas.aspx?id=GSONXLb-QBI="/>
    <hyperlink ref="Q454" r:id="rId1192" display="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hyperlink ref="R454" r:id="rId1193" display="https://www.youtube.com/watch?v=OUC-7SuXnP4"/>
    <hyperlink ref="S454" r:id="rId1194" display="https://gld.legislaturacba.gob.ar/Publics/Actas.aspx?id=1OTgub3R7z8=;https://gld.legislaturacba.gob.ar/Publics/Actas.aspx?id=HyHHKtUWcq0="/>
    <hyperlink ref="Q455" r:id="rId1195" display="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hyperlink ref="R455" r:id="rId1196" display="https://www.youtube.com/watch?v=esM2WlE56EI"/>
    <hyperlink ref="S455" r:id="rId1197" display="https://gld.legislaturacba.gob.ar/Publics/Actas.aspx?id=_qVE3MFT5FY=;https://gld.legislaturacba.gob.ar/Publics/Actas.aspx?id=nAYWXRCAUCg="/>
    <hyperlink ref="Q456" r:id="rId1198" display="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hyperlink ref="R456" r:id="rId1199" display="https://www.youtube.com/watch?v=xu9OfcFAaKA"/>
    <hyperlink ref="S456" r:id="rId1200" display="https://gld.legislaturacba.gob.ar/Publics/Actas.aspx?id=TZoFc9QBSJ0="/>
    <hyperlink ref="Q457" r:id="rId1201" display="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hyperlink ref="R457" r:id="rId1202" display="https://www.youtube.com/watch?v=FjWWIxeW0L8"/>
    <hyperlink ref="S457" r:id="rId1203" display="https://gld.legislaturacba.gob.ar/Publics/Actas.aspx?id=nNauRpG_tMA="/>
    <hyperlink ref="Q458" r:id="rId1204" display="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hyperlink ref="R458" r:id="rId1205" display="https://www.youtube.com/watch?v=PMnuw3vgI48"/>
    <hyperlink ref="S458" r:id="rId1206" display="https://gld.legislaturacba.gob.ar/Publics/Actas.aspx?id=4rusrMMFvdA="/>
    <hyperlink ref="Q459" r:id="rId1207" display="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hyperlink ref="R459" r:id="rId1208" display="https://www.youtube.com/watch?v=VW5CsmIfhec"/>
    <hyperlink ref="S459" r:id="rId1209" display="https://gld.legislaturacba.gob.ar/Publics/Actas.aspx?id=0QmXLVnj1V4=;https://gld.legislaturacba.gob.ar/Publics/Actas.aspx?id=WzRzMVdHVIE="/>
    <hyperlink ref="Q460" r:id="rId1210" display="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hyperlink ref="R460" r:id="rId1211" display="https://www.youtube.com/watch?v=3BbsY6DE7fg"/>
    <hyperlink ref="S460" r:id="rId1212" display="https://gld.legislaturacba.gob.ar/Publics/Actas.aspx?id=j7Lu3KD5VOQ=;https://gld.legislaturacba.gob.ar/Publics/Actas.aspx?id=WVsrr23_cm0="/>
    <hyperlink ref="Q461" r:id="rId1213" display="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hyperlink ref="R461" r:id="rId1214" display="https://www.youtube.com/watch?v=aAJcO6WWhdA"/>
    <hyperlink ref="S461" r:id="rId1215" display="https://gld.legislaturacba.gob.ar/Publics/Actas.aspx?id=xWEtZrfitUY=;https://gld.legislaturacba.gob.ar/Publics/Actas.aspx?id=thC6O0W2c1E=;https://gld.legislaturacba.gob.ar/Publics/Actas.aspx?id=IbHV-nwiRIQ="/>
    <hyperlink ref="Q462" r:id="rId1216" display="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hyperlink ref="R462" r:id="rId1217" display="https://www.youtube.com/watch?v=4ONVLvpgSCE"/>
    <hyperlink ref="S462" r:id="rId1218" display="https://gld.legislaturacba.gob.ar/Publics/Actas.aspx?id=mOfwLNhtqWg=;https://gld.legislaturacba.gob.ar/Publics/Actas.aspx?id=vuqGpfJRQYI="/>
    <hyperlink ref="Q463" r:id="rId1219" display="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hyperlink ref="R463" r:id="rId1220" display="https://www.youtube.com/watch?v=y-YrnzQEf20"/>
    <hyperlink ref="S463" r:id="rId1221" display="https://gld.legislaturacba.gob.ar/Publics/Actas.aspx?id=NOQZow-PnGM=;https://gld.legislaturacba.gob.ar/Publics/Actas.aspx?id=dXoNrBtMHsI=;https://gld.legislaturacba.gob.ar/Publics/Actas.aspx?id=jCo0tEhm4yE="/>
    <hyperlink ref="Q464" r:id="rId1222" display="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hyperlink ref="R464" r:id="rId1223" display="https://www.youtube.com/watch?v=3PfXWSj0H_0"/>
    <hyperlink ref="S464" r:id="rId1224" display="https://gld.legislaturacba.gob.ar/Publics/Actas.aspx?id=jOjBdY6r1gQ=;https://gld.legislaturacba.gob.ar/Publics/Actas.aspx?id=VHaKBpy7Q7U="/>
    <hyperlink ref="Q465" r:id="rId1225" display="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hyperlink ref="R465" r:id="rId1226" display="https://www.youtube.com/watch?v=PONSvQAOXLY"/>
    <hyperlink ref="S465" r:id="rId1227" display="https://gld.legislaturacba.gob.ar/Publics/Actas.aspx?id=uszbQrzqNn8="/>
    <hyperlink ref="S466" r:id="rId1228" display="https://gld.legislaturacba.gob.ar/Publics/Actas.aspx?id=sXdP8DKjN9U="/>
    <hyperlink ref="Q467" r:id="rId1229" display="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hyperlink ref="S467" r:id="rId1230" display="https://gld.legislaturacba.gob.ar/Publics/Actas.aspx?id=oAiBx-bhP_I=;https://gld.legislaturacba.gob.ar/Publics/Actas.aspx?id=y_aDywNOZ28=;https://gld.legislaturacba.gob.ar/Publics/Actas.aspx?id=7iPYs0mt9Cw=;https://gld.legislaturacba.gob.ar/Publics/Actas.aspx?id=WyDlY4evEQI="/>
    <hyperlink ref="Q468" r:id="rId1231" display="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hyperlink ref="R468" r:id="rId1232" display="https://www.youtube.com/watch?v=sMFnvY2aojU"/>
    <hyperlink ref="S468" r:id="rId1233" display="https://gld.legislaturacba.gob.ar/Publics/Actas.aspx?id=4U5E4JZk_SE=;https://gld.legislaturacba.gob.ar/Publics/Actas.aspx?id=kpbnrjpsjFQ=;https://gld.legislaturacba.gob.ar/Publics/Actas.aspx?id=pocfJl7Mq1g="/>
    <hyperlink ref="Q469" r:id="rId1234" display="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hyperlink ref="R469" r:id="rId1235" display="https://www.youtube.com/watch?v=MEtwqeoPP_o&amp;t"/>
    <hyperlink ref="S469" r:id="rId1236" display="https://gld.legislaturacba.gob.ar/Publics/Actas.aspx?id=DSUtC7LHlKg=;https://gld.legislaturacba.gob.ar/Publics/Actas.aspx?id=fiU1icXT9iA="/>
    <hyperlink ref="Q470" r:id="rId1237" display="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hyperlink ref="R470" r:id="rId1238" display="https://www.youtube.com/watch?v=0ZDQNIzWZwE&amp;t"/>
    <hyperlink ref="S470" r:id="rId1239" display="https://gld.legislaturacba.gob.ar/Publics/Actas.aspx?id=o0WXVCNLu3Q=;https://gld.legislaturacba.gob.ar/Publics/Actas.aspx?id=4Syh2iwpXjU="/>
    <hyperlink ref="Q471" r:id="rId1240" display="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hyperlink ref="R471" r:id="rId1241" display="https://www.youtube.com/watch?v=ZDK4JmkjkRM"/>
    <hyperlink ref="S471" r:id="rId1242" display="https://gld.legislaturacba.gob.ar/Publics/Actas.aspx?id=ft65MUU5nWI=;https://gld.legislaturacba.gob.ar/Publics/Actas.aspx?id=mRvYsNwwcHA=;https://gld.legislaturacba.gob.ar/Publics/Actas.aspx?id=lDvmQlS44mM="/>
    <hyperlink ref="Q472" r:id="rId1243" display="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hyperlink ref="R472" r:id="rId1244" display="https://www.youtube.com/watch?v=f2qgxq6XRV4"/>
    <hyperlink ref="S472" r:id="rId1245" display="https://gld.legislaturacba.gob.ar/Publics/Actas.aspx?id=srEQPgj190M=;https://gld.legislaturacba.gob.ar/Publics/Actas.aspx?id=lq0yZ26EM8k=;https://gld.legislaturacba.gob.ar/Publics/Actas.aspx?id=KQGxy3BovXo="/>
    <hyperlink ref="Q473" r:id="rId1246" display="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hyperlink ref="R473" r:id="rId1247" display="https://www.youtube.com/watch?v=5THPgphSsE8"/>
    <hyperlink ref="S473" r:id="rId1248" display="https://gld.legislaturacba.gob.ar/Publics/Actas.aspx?id=jZBqtkLucxg=;https://gld.legislaturacba.gob.ar/Publics/Actas.aspx?id=3usMNl4AZfM="/>
    <hyperlink ref="Q474" r:id="rId1249" display="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hyperlink ref="R474" r:id="rId1250" display="https://www.youtube.com/watch?v=z6mVhcgywBY"/>
    <hyperlink ref="S474" r:id="rId1251" display="https://gld.legislaturacba.gob.ar/Publics/Actas.aspx?id=nyowBNqArE0=;https://gld.legislaturacba.gob.ar/Publics/Actas.aspx?id=bLsLl8J3uv8=;https://gld.legislaturacba.gob.ar/Publics/Actas.aspx?id=izucnWEehAg="/>
    <hyperlink ref="Q475" r:id="rId1252" display="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hyperlink ref="R475" r:id="rId1253" display="https://www.youtube.com/watch?v=E9NU4IJ3MWY"/>
    <hyperlink ref="S475" r:id="rId1254" display="https://gld.legislaturacba.gob.ar/Publics/Actas.aspx?id=gE-JusxylqU="/>
    <hyperlink ref="Q476" r:id="rId1255" display="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hyperlink ref="R476" r:id="rId1256" display="https://www.youtube.com/watch?v=z6mVhcgywBY"/>
    <hyperlink ref="S476" r:id="rId1257" display="https://gld.legislaturacba.gob.ar/Publics/Actas.aspx?id=WfSgx49K3is="/>
    <hyperlink ref="S477" r:id="rId1258" display="https://gld.legislaturacba.gob.ar/Publics/Actas.aspx?id=49pcfDqVOmg=;https://gld.legislaturacba.gob.ar/Publics/Actas.aspx?id=5HtyuZNeseU="/>
    <hyperlink ref="Q478" r:id="rId1259" display="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hyperlink ref="R478" r:id="rId1260" display="https://www.youtube.com/watch?v=dOKHcKXZ4lA"/>
    <hyperlink ref="S478" r:id="rId1261" display="https://gld.legislaturacba.gob.ar/Publics/Actas.aspx?id=wgf_oPP6nfM=;https://gld.legislaturacba.gob.ar/Publics/Actas.aspx?id=ePV20AjbRBU=;https://gld.legislaturacba.gob.ar/Publics/Actas.aspx?id=tCflfyZD6yY="/>
    <hyperlink ref="Q479" r:id="rId1262" display="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hyperlink ref="R479" r:id="rId1263" display="https://www.youtube.com/watch?v=zZ8T21y6vOY"/>
    <hyperlink ref="S479" r:id="rId1264" display="https://gld.legislaturacba.gob.ar/Publics/Actas.aspx?id=BIBxLCUpBZc=;https://gld.legislaturacba.gob.ar/Publics/Actas.aspx?id=grKb3dmAvTc=;https://gld.legislaturacba.gob.ar/Publics/Actas.aspx?id=9B468fgT5rY=;https://gld.legislaturacba.gob.ar/Publics/Actas.aspx?id=wpsGQhvxgBs="/>
    <hyperlink ref="Q480" r:id="rId1265" display="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hyperlink ref="R480" r:id="rId1266" display="https://www.youtube.com/watch?v=NAwNXcusuVs"/>
    <hyperlink ref="S480" r:id="rId1267" display="https://gld.legislaturacba.gob.ar/Publics/Actas.aspx?id=8yWCj-tylzM=;https://gld.legislaturacba.gob.ar/Publics/Actas.aspx?id=ciXLi16OkXY=;https://gld.legislaturacba.gob.ar/Publics/Actas.aspx?id=QW1BfD0z0xk=;https://gld.legislaturacba.gob.ar/Publics/Actas.aspx?id=lmasfc0WSwk="/>
    <hyperlink ref="Q481" r:id="rId1268" display="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hyperlink ref="R481" r:id="rId1269" display="https://www.youtube.com/watch?v=yhQjW3QRn4w"/>
    <hyperlink ref="S481" r:id="rId1270" display="https://gld.legislaturacba.gob.ar/Publics/Actas.aspx?id=7pamQKt0-nw="/>
    <hyperlink ref="Q482" r:id="rId1271" display="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hyperlink ref="R482" r:id="rId1272" display="https://www.youtube.com/watch?v=LeYEeg9oMmE"/>
    <hyperlink ref="S482" r:id="rId1273" display="https://gld.legislaturacba.gob.ar/Publics/Actas.aspx?id=2xB9mmGYACQ=;https://gld.legislaturacba.gob.ar/Publics/Actas.aspx?id=3sSZVdjyzWc=;https://gld.legislaturacba.gob.ar/Publics/Actas.aspx?id=mJikP0nd_cs="/>
    <hyperlink ref="Q483" r:id="rId1274" display="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hyperlink ref="R483" r:id="rId1275" display="https://www.youtube.com/watch?v=gFv7xWp2ZZA"/>
    <hyperlink ref="S483" r:id="rId1276" display="https://gld.legislaturacba.gob.ar/Publics/Actas.aspx?id=p0IR4fOJjfo="/>
    <hyperlink ref="Q484" r:id="rId1277" display="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hyperlink ref="R484" r:id="rId1278" display="https://www.youtube.com/watch?v=ECY4CsWMPsg"/>
    <hyperlink ref="S484" r:id="rId1279" display="https://gld.legislaturacba.gob.ar/Publics/Actas.aspx?id=TdSGCPqaXWc=;https://gld.legislaturacba.gob.ar/Publics/Actas.aspx?id=mFPpfsbTBhI="/>
    <hyperlink ref="Q485" r:id="rId1280" display="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hyperlink ref="R485" r:id="rId1281" display="https://www.youtube.com/watch?v=Ic2x24zNtKY"/>
    <hyperlink ref="S485" r:id="rId1282" display="https://gld.legislaturacba.gob.ar/Publics/Actas.aspx?id=4faQmedo_qM=;https://gld.legislaturacba.gob.ar/Publics/Actas.aspx?id=LSS08cIqf3Q=;https://gld.legislaturacba.gob.ar/Publics/Actas.aspx?id=zogP2NPMbs0=;https://gld.legislaturacba.gob.ar/Publics/Actas.aspx?id=qmw-ZpsrreU="/>
    <hyperlink ref="Q486" r:id="rId1283" display="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hyperlink ref="R486" r:id="rId1284" display="https://www.youtube.com/watch?v=ohIgBDHbLIY"/>
    <hyperlink ref="S486" r:id="rId1285" display="https://gld.legislaturacba.gob.ar/Publics/Actas.aspx?id=NCEWmsec9Js="/>
    <hyperlink ref="Q487" r:id="rId1286" display="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hyperlink ref="S487" r:id="rId1287" display="https://gld.legislaturacba.gob.ar/Publics/Actas.aspx?id=StyzO2rRUsM=;https://gld.legislaturacba.gob.ar/Publics/Actas.aspx?id=FiStZm2gvOQ=;https://gld.legislaturacba.gob.ar/Publics/Actas.aspx?id=Us2-IWQLlUU=;https://gld.legislaturacba.gob.ar/Publics/Actas.aspx?id=EJVuPrAjXik="/>
    <hyperlink ref="Q488" r:id="rId1288" display="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hyperlink ref="S488" r:id="rId1289" display="https://gld.legislaturacba.gob.ar/Publics/Actas.aspx?id=un_TMZZNvmM=;https://gld.legislaturacba.gob.ar/Publics/Actas.aspx?id=jxyySxdN7RA="/>
    <hyperlink ref="Q489" r:id="rId1290" display="https://www.youtube.com/watch?v=RIlCrqnWAuU"/>
    <hyperlink ref="R489" r:id="rId1291" display="https://www.youtube.com/watch?v=RIlCrqnWAuU"/>
    <hyperlink ref="S489" r:id="rId1292" display="https://gld.legislaturacba.gob.ar/Publics/Actas.aspx?id=xe8l6umojo8=;https://gld.legislaturacba.gob.ar/Publics/Actas.aspx?id=3amSxP7naSI="/>
    <hyperlink ref="Q490" r:id="rId1293" display="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hyperlink ref="R490" r:id="rId1294" display="https://www.youtube.com/watch?v=1SMmSOFczUo"/>
    <hyperlink ref="S490" r:id="rId1295" display="https://gld.legislaturacba.gob.ar/Publics/Actas.aspx?id=8vkNQYOqbXw=;https://gld.legislaturacba.gob.ar/Publics/Actas.aspx?id=U1-x8cztYwE=;https://gld.legislaturacba.gob.ar/Publics/Actas.aspx?id=yyovZZ_hiaM="/>
    <hyperlink ref="Q491" r:id="rId1296" display="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hyperlink ref="S491" r:id="rId1297" display="https://gld.legislaturacba.gob.ar/Publics/Actas.aspx?id=BNnqYyqpa68=;https://gld.legislaturacba.gob.ar/Publics/Actas.aspx?id=8zlvkhnbYr8="/>
    <hyperlink ref="Q492" r:id="rId1298" display="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hyperlink ref="R492" r:id="rId1299" display="https://www.youtube.com/watch?v=0KHVoD7Sm10"/>
    <hyperlink ref="S492" r:id="rId1300" display="https://gld.legislaturacba.gob.ar/Publics/Actas.aspx?id=RYvSStNWDVI=;https://gld.legislaturacba.gob.ar/Publics/Actas.aspx?id=aKdUFWlTuTQ=;https://gld.legislaturacba.gob.ar/Publics/Actas.aspx?id=-iO8dahwLKo="/>
    <hyperlink ref="Q493" r:id="rId1301" display="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hyperlink ref="R493" r:id="rId1302" display="https://www.youtube.com/watch?v=k9GjhlB2x3c"/>
    <hyperlink ref="S493" r:id="rId1303" display="https://gld.legislaturacba.gob.ar/Publics/Actas.aspx?id=pp_bmZ2OYUk="/>
    <hyperlink ref="Q494" r:id="rId1304" display="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hyperlink ref="R494" r:id="rId1305" display="https://www.youtube.com/watch?v=x-RSjRenOGQ"/>
    <hyperlink ref="S494" r:id="rId1306" display="https://gld.legislaturacba.gob.ar/Publics/Actas.aspx?id=lN5yBtC2pp8=;https://gld.legislaturacba.gob.ar/Publics/Actas.aspx?id=3sqBt4fuH8I=;https://gld.legislaturacba.gob.ar/Publics/Actas.aspx?id=TMKpFFmJ-Tc="/>
    <hyperlink ref="Q495" r:id="rId1307" display="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hyperlink ref="R495" r:id="rId1308" display="https://www.youtube.com/watch?v=a0t-RI6dfbU"/>
    <hyperlink ref="S495" r:id="rId1309" display="https://gld.legislaturacba.gob.ar/Publics/Actas.aspx?id=UkCJ7P74Cp0=;https://gld.legislaturacba.gob.ar/Publics/Actas.aspx?id=ioPa_xH4XXI=;https://gld.legislaturacba.gob.ar/Publics/Actas.aspx?id=caRyUdQNdR4="/>
    <hyperlink ref="Q496" r:id="rId1310" display="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hyperlink ref="S496" r:id="rId1311" display="https://gld.legislaturacba.gob.ar/Publics/Actas.aspx?id=oYsi31GegCo="/>
    <hyperlink ref="Q497" r:id="rId1312" display="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hyperlink ref="R497" r:id="rId1313" display="https://www.youtube.com/watch?v=3n5fA_YwBoM"/>
    <hyperlink ref="S497" r:id="rId1314" display="https://gld.legislaturacba.gob.ar/Publics/Actas.aspx?id=7P2toU_e3tc="/>
    <hyperlink ref="Q498" r:id="rId1315" display="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hyperlink ref="R498" r:id="rId1316" display="https://www.youtube.com/watch?v=ormC49K7nBg"/>
    <hyperlink ref="S498" r:id="rId1317" display="https://gld.legislaturacba.gob.ar/Publics/Actas.aspx?id=CweL-6hdPQ4=;https://gld.legislaturacba.gob.ar/Publics/Actas.aspx?id=04wN2jZHlHM="/>
    <hyperlink ref="Q499" r:id="rId1318" display="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hyperlink ref="R499" r:id="rId1319" display="https://www.youtube.com/watch?v=WTEintlJ2BU"/>
    <hyperlink ref="S499" r:id="rId1320" display="https://gld.legislaturacba.gob.ar/Publics/Actas.aspx?id=_IAMwlVivao=;https://gld.legislaturacba.gob.ar/Publics/Actas.aspx?id=RPOkn2gov8U="/>
    <hyperlink ref="Q500" r:id="rId1321" display="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hyperlink ref="R500" r:id="rId1322" display="https://www.youtube.com/watch?v=OfcwC_9ek5o"/>
    <hyperlink ref="S500" r:id="rId1323" display="https://gld.legislaturacba.gob.ar/Publics/Actas.aspx?id=7bwOoBKkoWY="/>
    <hyperlink ref="Q501" r:id="rId1324" display="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hyperlink ref="R501" r:id="rId1325" display="https://www.youtube.com/watch?v=HAvjNzL8MgM"/>
    <hyperlink ref="S501" r:id="rId1326" display="https://gld.legislaturacba.gob.ar/Publics/Actas.aspx?id=dCFAsvhKW6M=;https://gld.legislaturacba.gob.ar/Publics/Actas.aspx?id=JrBDxIcDyJo="/>
    <hyperlink ref="Q502" r:id="rId1327" display="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hyperlink ref="R502" r:id="rId1328" display="https://www.youtube.com/watch?v=CCAfByfE6yI"/>
    <hyperlink ref="S502" r:id="rId1329" display="https://gld.legislaturacba.gob.ar/Publics/Actas.aspx?id=IOJBEyo2tgo=;https://gld.legislaturacba.gob.ar/Publics/Actas.aspx?id=kQTTtivnsCI="/>
    <hyperlink ref="Q503" r:id="rId1330" display="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hyperlink ref="R503" r:id="rId1331" display="https://www.youtube.com/watch?v=CSO6Q3-O8Jo"/>
    <hyperlink ref="S503" r:id="rId1332" display="https://gld.legislaturacba.gob.ar/Publics/Actas.aspx?id=iVZBoTy5gdA="/>
    <hyperlink ref="Q504" r:id="rId1333" display="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hyperlink ref="R504" r:id="rId1334" display="https://www.youtube.com/watch?v=TW1TavWcgYU"/>
    <hyperlink ref="S504" r:id="rId1335" display="https://gld.legislaturacba.gob.ar/Publics/Actas.aspx?id=ceja36M45po="/>
    <hyperlink ref="Q505" r:id="rId1336" display="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hyperlink ref="R505" r:id="rId1337" display="https://www.youtube.com/watch?v=1k406hRGYWM"/>
    <hyperlink ref="S505" r:id="rId1338" display="https://gld.legislaturacba.gob.ar/Publics/Actas.aspx?id=1CEIVmy1Vfs="/>
    <hyperlink ref="Q506" r:id="rId1339" display="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hyperlink ref="R506" r:id="rId1340" display="https://www.youtube.com/watch?v=oPr42jh4l2g"/>
    <hyperlink ref="S506" r:id="rId1341" display="https://gld.legislaturacba.gob.ar/Publics/Actas.aspx?id=aniw85wvOYg=;https://gld.legislaturacba.gob.ar/Publics/Actas.aspx?id=20OSoX9bKV8=;https://gld.legislaturacba.gob.ar/Publics/Actas.aspx?id=O5i0_uHY1HY="/>
    <hyperlink ref="Q507" r:id="rId1342" display="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hyperlink ref="R507" r:id="rId1343" display="https://www.youtube.com/watch?v=cy5zTvFOZNU"/>
    <hyperlink ref="S507" r:id="rId1344" display="https://gld.legislaturacba.gob.ar/Publics/Actas.aspx?id=Odv8BFo0s_k="/>
    <hyperlink ref="Q508" r:id="rId1345" display="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hyperlink ref="R508" r:id="rId1346" display="https://www.youtube.com/watch?v=9yHkvDFO8aU"/>
    <hyperlink ref="S508" r:id="rId1347" display="https://gld.legislaturacba.gob.ar/Publics/Actas.aspx?id=N15b07RQ_rs="/>
    <hyperlink ref="Q509" r:id="rId1348" display="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hyperlink ref="R509" r:id="rId1349" display="https://www.youtube.com/watch?v=Lq41TFeOyKM"/>
    <hyperlink ref="S509" r:id="rId1350" display="https://gld.legislaturacba.gob.ar/Publics/Actas.aspx?id=usH9e5uYKYQ="/>
    <hyperlink ref="Q510" r:id="rId1351" display="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hyperlink ref="R510" r:id="rId1352" display="https://www.youtube.com/watch?v=jkZf1V4UblU"/>
    <hyperlink ref="S510" r:id="rId1353" display="https://gld.legislaturacba.gob.ar/Publics/Actas.aspx?id=EFF1kz-82zU="/>
    <hyperlink ref="Q511" r:id="rId1354" display="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hyperlink ref="R511" r:id="rId1355" display="https://www.youtube.com/watch?v=2ztWGDKp-vM"/>
    <hyperlink ref="S511" r:id="rId1356" display="https://gld.legislaturacba.gob.ar/Publics/Actas.aspx?id=3Wo6yHPgUPQ="/>
    <hyperlink ref="Q512" r:id="rId1357" display="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
    <hyperlink ref="R512" r:id="rId1358" display="https://www.youtube.com/watch?v=3VqpupDkTas"/>
    <hyperlink ref="S512" r:id="rId1359" display="https://gld.legislaturacba.gob.ar/Publics/Actas.aspx?id=8p1nhiia4Zw="/>
    <hyperlink ref="Q513" r:id="rId1360" display="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
    <hyperlink ref="R513" r:id="rId1361" display="https://www.youtube.com/watch?v=jLSdFtcmTVk"/>
    <hyperlink ref="S513" r:id="rId1362" display="https://gld.legislaturacba.gob.ar/Publics/Actas.aspx?id=L36J39d-lIg="/>
    <hyperlink ref="Q514" r:id="rId1363" display="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
    <hyperlink ref="R514" r:id="rId1364" display="https://www.youtube.com/watch?v=RA1IQw5hEVU"/>
    <hyperlink ref="S514" r:id="rId1365" display="https://gld.legislaturacba.gob.ar/Publics/Actas.aspx?id=YsvpWmoxxI0="/>
    <hyperlink ref="Q515" r:id="rId1366" display="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
    <hyperlink ref="R515" r:id="rId1367" display="https://www.youtube.com/watch?v=C9h90xYtShY"/>
    <hyperlink ref="S515" r:id="rId1368" display="https://gld.legislaturacba.gob.ar/Publics/Actas.aspx?id=DGho2Zhi_Dg="/>
    <hyperlink ref="Q516" r:id="rId1369" display="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
    <hyperlink ref="R516" r:id="rId1370" display="https://www.youtube.com/watch?v=Vf5KMzjkTI4"/>
    <hyperlink ref="S516" r:id="rId1371" display="https://gld.legislaturacba.gob.ar/Publics/Actas.aspx?id=ZByNTvKZ5ao=;https://gld.legislaturacba.gob.ar/Publics/Actas.aspx?id=F9JwTZE2cnI="/>
    <hyperlink ref="Q517" r:id="rId1372" display="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
    <hyperlink ref="R517" r:id="rId1373" display="https://www.youtube.com/watch?v=hYSKvl7cifY"/>
    <hyperlink ref="S517" r:id="rId1374" display="https://gld.legislaturacba.gob.ar/Publics/Actas.aspx?id=hrtzF3goJQQ="/>
    <hyperlink ref="Q518" r:id="rId1375" display="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
    <hyperlink ref="R518" r:id="rId1376" display="https://www.youtube.com/watch?v=SwJ0AGeVylQ"/>
    <hyperlink ref="S518" r:id="rId1377" display="https://gld.legislaturacba.gob.ar/Publics/Actas.aspx?id=Nz5792MvmaA=;https://gld.legislaturacba.gob.ar/Publics/Actas.aspx?id=1Nan22qFmTg="/>
    <hyperlink ref="Q519" r:id="rId1378" display="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
    <hyperlink ref="R519" r:id="rId1379" display="https://www.youtube.com/watch?v=McDIKNZ5Pz8"/>
    <hyperlink ref="S519" r:id="rId1380" display="https://gld.legislaturacba.gob.ar/Publics/Actas.aspx?id=zCg0MifoKuQ="/>
    <hyperlink ref="Q520" r:id="rId1381" display="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
    <hyperlink ref="R520" r:id="rId1382" display="https://www.youtube.com/watch?v=UdwnG4NU-FE"/>
    <hyperlink ref="S520" r:id="rId1383" display="https://gld.legislaturacba.gob.ar/Publics/Actas.aspx?id=IoMn6Mdp6FM=;https://gld.legislaturacba.gob.ar/Publics/Actas.aspx?id=tZfwZ9WeUZ4="/>
    <hyperlink ref="Q521" r:id="rId1384" display="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
    <hyperlink ref="R521" r:id="rId1385" display="https://www.youtube.com/watch?v=SATmszd9LTQ"/>
    <hyperlink ref="S521" r:id="rId1386" display="https://gld.legislaturacba.gob.ar/Publics/Actas.aspx?id=siL8zYfnNSc="/>
    <hyperlink ref="Q522" r:id="rId1387" display="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
    <hyperlink ref="R522" r:id="rId1388" display="https://www.youtube.com/watch?v=6howXqxnqQA"/>
    <hyperlink ref="S522" r:id="rId1389" display="https://gld.legislaturacba.gob.ar/Publics/Actas.aspx?id=xOj1r6HNrNI="/>
    <hyperlink ref="Q523" r:id="rId1390" display="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
    <hyperlink ref="R523" r:id="rId1391" display="https://www.youtube.com/watch?v=I8AUPn3nfdk"/>
    <hyperlink ref="S523" r:id="rId1392" display="https://gld.legislaturacba.gob.ar/Publics/Actas.aspx?id=dbduHshi-oU="/>
    <hyperlink ref="Q524" r:id="rId1393" display="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
    <hyperlink ref="R524" r:id="rId1394" display="https://www.youtube.com/watch?v=9o6c-dvzw4I"/>
    <hyperlink ref="S524" r:id="rId1395" display="https://gld.legislaturacba.gob.ar/Publics/Actas.aspx?id=vq_h92e6vkU=;https://gld.legislaturacba.gob.ar/Publics/Actas.aspx?id=jTWA2aW8Np8="/>
    <hyperlink ref="Q525" r:id="rId1396" display="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
    <hyperlink ref="R525" r:id="rId1397" display="https://www.youtube.com/watch?v=gmBo4Qz2raE"/>
    <hyperlink ref="S525" r:id="rId1398" display="https://gld.legislaturacba.gob.ar/Publics/Actas.aspx?id=XFhqoAxBThQ="/>
    <hyperlink ref="Q526" r:id="rId1399" display="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
    <hyperlink ref="R526" r:id="rId1400" display="https://www.youtube.com/watch?v=bxt656sT_PM"/>
    <hyperlink ref="S526" r:id="rId1401" display="https://gld.legislaturacba.gob.ar/Publics/Actas.aspx?id=oNYlzCy9m8g="/>
    <hyperlink ref="Q527" r:id="rId1402" display="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
    <hyperlink ref="R527" r:id="rId1403" display="https://www.youtube.com/watch?v=qW9rwFjCGNg"/>
    <hyperlink ref="S527" r:id="rId1404" display="https://gld.legislaturacba.gob.ar/Publics/Actas.aspx?id=U_NcY2N3mrE="/>
    <hyperlink ref="Q528" r:id="rId1405" display="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
    <hyperlink ref="S528" r:id="rId1406" display="https://gld.legislaturacba.gob.ar/Publics/Actas.aspx?id=z9uDSoPEnjk=;https://gld.legislaturacba.gob.ar/Publics/Actas.aspx?id=AC0OtZ7Zjq8=;https://gld.legislaturacba.gob.ar/Publics/Actas.aspx?id=IVADnGT9Tfg=;https://gld.legislaturacba.gob.ar/Publics/Actas.aspx?id=jjhK7lufJls="/>
    <hyperlink ref="Q529" r:id="rId1407" display="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
    <hyperlink ref="R529" r:id="rId1408" display="https://www.youtube.com/watch?v=Nyeasa61Qpc"/>
    <hyperlink ref="S529" r:id="rId1409" display="https://gld.legislaturacba.gob.ar/Publics/Actas.aspx?id=Vtin_cSbkOY=;https://gld.legislaturacba.gob.ar/Publics/Actas.aspx?id=UNiDKaYO96g="/>
    <hyperlink ref="S530" r:id="rId1410" display="https://gld.legislaturacba.gob.ar/Publics/Actas.aspx?id=TPbr0_k2yUY="/>
    <hyperlink ref="Q531" r:id="rId1411" display="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
    <hyperlink ref="R531" r:id="rId1412" display="https://www.youtube.com/watch?v=4VFSpl8AzPA"/>
    <hyperlink ref="S531" r:id="rId1413" display="https://gld.legislaturacba.gob.ar/Publics/Actas.aspx?id=VOiB0FvDC8s="/>
    <hyperlink ref="Q532" r:id="rId1414" display="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
    <hyperlink ref="R532" r:id="rId1415" display="https://www.youtube.com/watch?v=-lXsmhPTxUg"/>
    <hyperlink ref="S532" r:id="rId1416" display="https://gld.legislaturacba.gob.ar/Publics/Actas.aspx?id=Nemub8280PQ="/>
    <hyperlink ref="Q533" r:id="rId1417" display="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
    <hyperlink ref="R533" r:id="rId1418" display="https://www.youtube.com/watch?v=FRry8NuePeQ"/>
    <hyperlink ref="S533" r:id="rId1419" display="https://gld.legislaturacba.gob.ar/Publics/Actas.aspx?id=FQI3Lxt5BeE="/>
    <hyperlink ref="Q534" r:id="rId1420" display="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
    <hyperlink ref="R534" r:id="rId1421" display="https://www.youtube.com/watch?v=L8nZ1af-9Yg"/>
    <hyperlink ref="S534" r:id="rId1422" display="https://gld.legislaturacba.gob.ar/Publics/Actas.aspx?id=HD57EZmR3w4="/>
    <hyperlink ref="Q535" r:id="rId1423" display="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
    <hyperlink ref="R535" r:id="rId1424" display="https://www.youtube.com/watch?v=CSR7U2YljCk"/>
    <hyperlink ref="S535" r:id="rId1425" display="https://gld.legislaturacba.gob.ar/Publics/Actas.aspx?id=0N7IUoc5pOQ=;https://gld.legislaturacba.gob.ar/Publics/Actas.aspx?id=hx2jFjD5HJs=;https://gld.legislaturacba.gob.ar/Publics/Actas.aspx?id=YALKj-svRLw=;https://gld.legislaturacba.gob.ar/Publics/Actas.aspx?id=HTASXCcsfhM="/>
    <hyperlink ref="Q536" r:id="rId1426" display="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
    <hyperlink ref="R536" r:id="rId1427" display="https://www.youtube.com/watch?v=U1QToX9sSfM"/>
    <hyperlink ref="S536" r:id="rId1428" display="https://gld.legislaturacba.gob.ar/Publics/Actas.aspx?id=ZFk3Z66iA0g="/>
    <hyperlink ref="Q537" r:id="rId1429" display="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
    <hyperlink ref="S537" r:id="rId1430" display="https://gld.legislaturacba.gob.ar/Publics/Actas.aspx?id=bHnaVJ0Do14=;https://gld.legislaturacba.gob.ar/Publics/Actas.aspx?id=wk2jj1DxDcE="/>
    <hyperlink ref="S538" r:id="rId1431" display="https://gld.legislaturacba.gob.ar/Publics/Actas.aspx?id=WRx8XypJhuY=;https://gld.legislaturacba.gob.ar/Publics/Actas.aspx?id=BRQ3pxgfcqo="/>
    <hyperlink ref="Q539" r:id="rId1432" display="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
    <hyperlink ref="R539" r:id="rId1433" display="https://www.youtube.com/watch?v=Or4RWCZcT48"/>
    <hyperlink ref="S539" r:id="rId1434" display="https://gld.legislaturacba.gob.ar/Publics/Actas.aspx?id=38PDFgd7u20="/>
    <hyperlink ref="Q540" r:id="rId1435" display="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
    <hyperlink ref="R540" r:id="rId1436" display="https://www.youtube.com/watch?v=uJAPbUxD654"/>
    <hyperlink ref="S540" r:id="rId1437" display="https://gld.legislaturacba.gob.ar/Publics/Actas.aspx?id=n4zw-3NLzn8=;https://gld.legislaturacba.gob.ar/Publics/Actas.aspx?id=6Zo7IqTRqZQ="/>
    <hyperlink ref="Q541" r:id="rId1438" display="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
    <hyperlink ref="R541" r:id="rId1439" display="https://www.youtube.com/watch?v=n_hTzU-lDf4"/>
    <hyperlink ref="S541" r:id="rId1440" display="https://gld.legislaturacba.gob.ar/Publics/Actas.aspx?id=gPvuS2r-QWA="/>
    <hyperlink ref="Q542" r:id="rId1441" display="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
    <hyperlink ref="R542" r:id="rId1442" display="https://www.youtube.com/watch?v=DeilSavCTyU"/>
    <hyperlink ref="S542" r:id="rId1443" display="https://gld.legislaturacba.gob.ar/Publics/Actas.aspx?id=R8FQkW7sD94="/>
    <hyperlink ref="Q543" r:id="rId1444" display="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
    <hyperlink ref="R543" r:id="rId1445" display="https://www.youtube.com/watch?v=jCtEPBbEfOs"/>
    <hyperlink ref="S543" r:id="rId1446" display="https://gld.legislaturacba.gob.ar/Publics/Actas.aspx?id=4Mtau8GC5iA="/>
    <hyperlink ref="Q544" r:id="rId1447" display="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
    <hyperlink ref="R544" r:id="rId1448" display="https://www.youtube.com/watch?v=Rg2sqFr4MC0"/>
    <hyperlink ref="S544" r:id="rId1449" display="https://gld.legislaturacba.gob.ar/Publics/Actas.aspx?id=OReozX5VDRQ=;https://gld.legislaturacba.gob.ar/Publics/Actas.aspx?id=ln2LoS3POeA="/>
    <hyperlink ref="Q545" r:id="rId1450" display="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
    <hyperlink ref="R545" r:id="rId1451" display="https://www.youtube.com/watch?v=yxI3iy28lFw"/>
    <hyperlink ref="S545" r:id="rId1452" display="https://gld.legislaturacba.gob.ar/Publics/Actas.aspx?id=dcFNoW-kFBM="/>
    <hyperlink ref="Q546" r:id="rId1453" display="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
    <hyperlink ref="R546" r:id="rId1454" display="https://www.youtube.com/watch?v=hv18gtREfnY"/>
    <hyperlink ref="S546" r:id="rId1455" display="https://gld.legislaturacba.gob.ar/Publics/Actas.aspx?id=XTznM6KEZPo=;https://gld.legislaturacba.gob.ar/Publics/Actas.aspx?id=LiBpMfRQnZA="/>
    <hyperlink ref="Q547" r:id="rId1456" display="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
    <hyperlink ref="R547" r:id="rId1457" display="https://www.youtube.com/watch?v=Wc0ksXJqCNg"/>
    <hyperlink ref="S547" r:id="rId1458" display="https://gld.legislaturacba.gob.ar/Publics/Actas.aspx?id=k7ITqyj3I8M=;https://gld.legislaturacba.gob.ar/Publics/Actas.aspx?id=oEsgkXVvSYg="/>
    <hyperlink ref="Q548" r:id="rId1459" display="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
    <hyperlink ref="R548" r:id="rId1460" display="https://www.youtube.com/watch?v=HRXsVaI01v8"/>
    <hyperlink ref="S548" r:id="rId1461" display="https://gld.legislaturacba.gob.ar/Publics/Actas.aspx?id=wSKt53gs87g=;https://gld.legislaturacba.gob.ar/Publics/Actas.aspx?id=rWp8Gnx-aaE="/>
    <hyperlink ref="Q549" r:id="rId1462" display="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
    <hyperlink ref="R549" r:id="rId1463" display="https://www.youtube.com/watch?v=Ny6-1TDk3cs"/>
    <hyperlink ref="S549" r:id="rId1464" display="https://gld.legislaturacba.gob.ar/Publics/Actas.aspx?id=wBRZF0SMmeg="/>
    <hyperlink ref="Q550" r:id="rId1465" display="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
    <hyperlink ref="R550" r:id="rId1466" display="https://www.youtube.com/watch?v=C7vcXIyv6jg"/>
    <hyperlink ref="S550" r:id="rId1467" display="https://gld.legislaturacba.gob.ar/Publics/Actas.aspx?id=74Y3G9JmV_o=;https://gld.legislaturacba.gob.ar/Publics/Actas.aspx?id=2_nl6EHFnQw="/>
    <hyperlink ref="Q551" r:id="rId1468" display="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
    <hyperlink ref="S551" r:id="rId1469" display="https://gld.legislaturacba.gob.ar/Publics/Actas.aspx?id=QIo0FygDkaU="/>
    <hyperlink ref="Q552" r:id="rId1470" display="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
    <hyperlink ref="R552" r:id="rId1471" display="https://www.youtube.com/watch?v=r5KlRlb-39k"/>
    <hyperlink ref="S552" r:id="rId1472" display="https://gld.legislaturacba.gob.ar/Publics/Actas.aspx?id=eafqGQ8SC9k="/>
    <hyperlink ref="Q553" r:id="rId1473" display="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
    <hyperlink ref="R553" r:id="rId1474" display="https://www.youtube.com/watch?v=HxeCwO4ph_A"/>
    <hyperlink ref="S553" r:id="rId1475" display="https://gld.legislaturacba.gob.ar/Publics/Actas.aspx?id=Z8EmV0MubKA="/>
    <hyperlink ref="Q554" r:id="rId1476" display="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
    <hyperlink ref="R554" r:id="rId1477" display="https://www.youtube.com/watch?v=BVvs9yi6I5A"/>
    <hyperlink ref="S554" r:id="rId1478" display="https://gld.legislaturacba.gob.ar/Publics/Actas.aspx?id=2sJjM1BF8B8=;https://gld.legislaturacba.gob.ar/Publics/Actas.aspx?id=pwdRpUax_SU="/>
    <hyperlink ref="Q555" r:id="rId1479" display="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
    <hyperlink ref="R555" r:id="rId1480" display="https://www.youtube.com/watch?v=Ygnt-ym8vAM"/>
    <hyperlink ref="S555" r:id="rId1481" display="https://gld.legislaturacba.gob.ar/Publics/Actas.aspx?id=18VJg0RTLZg="/>
    <hyperlink ref="Q556" r:id="rId1482" display="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
    <hyperlink ref="R556" r:id="rId1483" display="https://www.youtube.com/watch?v=JEsmkGBnn9I"/>
    <hyperlink ref="S556" r:id="rId1484" display="https://gld.legislaturacba.gob.ar/Publics/Actas.aspx?id=QgfIgsvT50I=;https://gld.legislaturacba.gob.ar/Publics/Actas.aspx?id=AWIeX2MQvNE="/>
    <hyperlink ref="Q557" r:id="rId1485" display="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
    <hyperlink ref="R557" r:id="rId1486" display="https://www.youtube.com/watch?v=xOCeLVUSkLE"/>
    <hyperlink ref="S557" r:id="rId1487" display="https://gld.legislaturacba.gob.ar/Publics/Actas.aspx?id=N6DwRsXfFEw="/>
    <hyperlink ref="Q558" r:id="rId1488" display="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
    <hyperlink ref="R558" r:id="rId1489" display="https://www.youtube.com/watch?v=D8ArjO5Ks5E"/>
    <hyperlink ref="S558" r:id="rId1490" display="https://gld.legislaturacba.gob.ar/Publics/Actas.aspx?id=yL_YoMoSBk0="/>
    <hyperlink ref="Q559" r:id="rId1491" display="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
    <hyperlink ref="R559" r:id="rId1492" display="https://www.youtube.com/watch?v=ngOAiA0WSFE"/>
    <hyperlink ref="S559" r:id="rId1493" display="https://gld.legislaturacba.gob.ar/Publics/Actas.aspx?id=kjw-B0MuMR0="/>
    <hyperlink ref="S560" r:id="rId1494" display="https://gld.legislaturacba.gob.ar/Publics/Actas.aspx?id=bDvG1uLvP5s="/>
    <hyperlink ref="Q561" r:id="rId1495" display="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
    <hyperlink ref="R561" r:id="rId1496" display="https://www.youtube.com/watch?v=sz0vehC_52s"/>
    <hyperlink ref="S561" r:id="rId1497" display="https://gld.legislaturacba.gob.ar/Publics/Actas.aspx?id=NPJJje7QdRk="/>
    <hyperlink ref="Q562" r:id="rId1498" display="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
    <hyperlink ref="R562" r:id="rId1499" display="https://www.youtube.com/watch?v=EqpjedezNlk"/>
    <hyperlink ref="S562" r:id="rId1500" display="https://gld.legislaturacba.gob.ar/Publics/Actas.aspx?id=4EW_rBWIutU="/>
    <hyperlink ref="Q563" r:id="rId1501" display="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
    <hyperlink ref="R563" r:id="rId1502" display="https://www.youtube.com/watch?v=Azb8I0LSAeQ"/>
    <hyperlink ref="S563" r:id="rId1503" display="https://gld.legislaturacba.gob.ar/Publics/Actas.aspx?id=VkoOSqr3HQY="/>
    <hyperlink ref="Q564" r:id="rId1504" display="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
    <hyperlink ref="R564" r:id="rId1505" display="https://www.youtube.com/watch?v=nbVm0cC2fj0"/>
    <hyperlink ref="S564" r:id="rId1506" display="https://gld.legislaturacba.gob.ar/Publics/Actas.aspx?id=BsVomgZyZPQ="/>
    <hyperlink ref="Q565" r:id="rId1507" display="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
    <hyperlink ref="R565" r:id="rId1508" display="https://www.youtube.com/watch?v=AoxLcz4Cbzg"/>
    <hyperlink ref="S565" r:id="rId1509" display="https://gld.legislaturacba.gob.ar/Publics/Actas.aspx?id=adN1VgXm7Jc=;https://gld.legislaturacba.gob.ar/Publics/Actas.aspx?id=5rjiXF-CazA=;https://gld.legislaturacba.gob.ar/Publics/Actas.aspx?id=7McDwR8Bye4=;https://gld.legislaturacba.gob.ar/Publics/Actas.aspx?id=GWGmxjdxlDo="/>
    <hyperlink ref="Q566" r:id="rId1510" display="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
    <hyperlink ref="R566" r:id="rId1511" display="https://www.youtube.com/watch?v=KyzKgY0B5UM"/>
    <hyperlink ref="S566" r:id="rId1512" display="https://gld.legislaturacba.gob.ar/Publics/Actas.aspx?id=vZL92_UR2Y4=;https://gld.legislaturacba.gob.ar/Publics/Actas.aspx?id=dvTsVkAoi-0="/>
    <hyperlink ref="Q567" r:id="rId1513" display="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
    <hyperlink ref="R567" r:id="rId1514" display="https://www.youtube.com/watch?v=uLsUzWGnqCc"/>
    <hyperlink ref="S567" r:id="rId1515" display="https://gld.legislaturacba.gob.ar/Publics/Actas.aspx?id=MHxgwUEgkts="/>
    <hyperlink ref="Q568" r:id="rId1516" display="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
    <hyperlink ref="R568" r:id="rId1517" display="https://www.youtube.com/watch?v=8JmhJrK-rk0"/>
    <hyperlink ref="S568" r:id="rId1518" display="https://gld.legislaturacba.gob.ar/Publics/Actas.aspx?id=lWPP-rGLoEo=;https://gld.legislaturacba.gob.ar/Publics/Actas.aspx?id=nAncaHwUvLU="/>
    <hyperlink ref="Q569" r:id="rId1519" display="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
    <hyperlink ref="R569" r:id="rId1520" display="https://www.youtube.com/watch?v=ft2Pq_W4BzI"/>
    <hyperlink ref="S569" r:id="rId1521" display="https://gld.legislaturacba.gob.ar/Publics/Actas.aspx?id=VUWHbvGbTxg=;https://gld.legislaturacba.gob.ar/Publics/Actas.aspx?id=YF8N18be7fg=;https://gld.legislaturacba.gob.ar/Publics/Actas.aspx?id=MjwbbU318MA="/>
    <hyperlink ref="S570" r:id="rId1522" display="https://gld.legislaturacba.gob.ar/Publics/Actas.aspx?id=btQVleqDoE0="/>
    <hyperlink ref="Q571" r:id="rId1523" display="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
    <hyperlink ref="R571" r:id="rId1524" display="https://www.youtube.com/watch?v=izqEh3Lx4jA"/>
    <hyperlink ref="S571" r:id="rId1525" display="https://gld.legislaturacba.gob.ar/Publics/Actas.aspx?id=q2j-h3VywAE="/>
    <hyperlink ref="Q572" r:id="rId1526" display="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
    <hyperlink ref="R572" r:id="rId1527" display="https://www.youtube.com/watch?v=RtYoVyeitvU"/>
    <hyperlink ref="S572" r:id="rId1528" display="https://gld.legislaturacba.gob.ar/Publics/Actas.aspx?id=NXaamBLscxw=;https://gld.legislaturacba.gob.ar/Publics/Actas.aspx?id=hX7-TB4pOJU="/>
    <hyperlink ref="Q573" r:id="rId1529" display="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
    <hyperlink ref="R573" r:id="rId1530" display="https://www.youtube.com/watch?v=RrmdHw8n3fY"/>
    <hyperlink ref="S573" r:id="rId1531" display="https://gld.legislaturacba.gob.ar/Publics/Actas.aspx?id=pa03kRWkDww=;https://gld.legislaturacba.gob.ar/Publics/Actas.aspx?id=di-cL01QC2g="/>
    <hyperlink ref="Q574" r:id="rId1532" display="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
    <hyperlink ref="R574" r:id="rId1533" display="https://www.youtube.com/watch?v=FJ5iP03dKhQ"/>
    <hyperlink ref="S574" r:id="rId1534" display="https://gld.legislaturacba.gob.ar/Publics/Actas.aspx?id=kP9eqltHv28=;https://gld.legislaturacba.gob.ar/Publics/Actas.aspx?id=YnRDOB-PfPA="/>
    <hyperlink ref="Q575" r:id="rId1535" display="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
    <hyperlink ref="S575" r:id="rId1536" display="https://gld.legislaturacba.gob.ar/Publics/Actas.aspx?id=5gKiJRUoh9A="/>
    <hyperlink ref="Q576" r:id="rId1537" display="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
    <hyperlink ref="R576" r:id="rId1538" display="https://www.youtube.com/watch?v=ztBCSpzmJMU"/>
    <hyperlink ref="S576" r:id="rId1539" display="https://gld.legislaturacba.gob.ar/Publics/Actas.aspx?id=ivnLuYw2YKE="/>
    <hyperlink ref="Q577" r:id="rId1540" display="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
    <hyperlink ref="R577" r:id="rId1541" display="https://www.youtube.com/watch?v=P65-rMhRjWY"/>
    <hyperlink ref="S577" r:id="rId1542" display="https://gld.legislaturacba.gob.ar/Publics/Actas.aspx?id=hqgh0blE_Ls="/>
    <hyperlink ref="Q578" r:id="rId1543" display="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
    <hyperlink ref="R578" r:id="rId1544" display="https://www.youtube.com/watch?v=zBIbdlVOWWc"/>
    <hyperlink ref="S578" r:id="rId1545" display="https://gld.legislaturacba.gob.ar/Publics/Actas.aspx?id=KNtpW_ckNF4=;https://gld.legislaturacba.gob.ar/Publics/Actas.aspx?id=08Ylj4PRrqI="/>
    <hyperlink ref="Q579" r:id="rId1546" display="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
    <hyperlink ref="R579" r:id="rId1547" display="https://www.youtube.com/watch?v=2VZY9GZ8-gM"/>
    <hyperlink ref="S579" r:id="rId1548" display="https://gld.legislaturacba.gob.ar/Publics/Actas.aspx?id=zzCOkVMUynw=;https://gld.legislaturacba.gob.ar/Publics/Actas.aspx?id=t4KmpBOgubs="/>
    <hyperlink ref="Q580" r:id="rId1549" display="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hyperlink ref="R580" r:id="rId1550" display="https://www.youtube.com/watch?v=cGzOM5QLcS0"/>
    <hyperlink ref="S580" r:id="rId1551" display="https://gld.legislaturacba.gob.ar/Publics/Actas.aspx?id=aSn5c-NtTFY=;https://gld.legislaturacba.gob.ar/Publics/Actas.aspx?id=3kGc6UNOcxU="/>
    <hyperlink ref="Q581" r:id="rId1552" display="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hyperlink ref="R581" r:id="rId1553" display="https://www.youtube.com/watch?v=WR84Vu1SRqQ"/>
    <hyperlink ref="S581" r:id="rId1554" display="https://gld.legislaturacba.gob.ar/Publics/Actas.aspx?id=WYPXoYLmI7U="/>
    <hyperlink ref="Q582" r:id="rId1555" display="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hyperlink ref="R582" r:id="rId1556" display="https://www.youtube.com/watch?v=WR84Vu1SRqQ"/>
    <hyperlink ref="S582" r:id="rId1557" display="https://gld.legislaturacba.gob.ar/Publics/Actas.aspx?id=fJbLAIwWtpc=;https://gld.legislaturacba.gob.ar/Publics/Actas.aspx?id=-5dpOxaHarw="/>
    <hyperlink ref="Q583" r:id="rId1558" display="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hyperlink ref="R583" r:id="rId1559" display="https://www.youtube.com/watch?v=h-6FPhE91gw"/>
    <hyperlink ref="S583" r:id="rId1560" display="https://gld.legislaturacba.gob.ar/Publics/Actas.aspx?id=yC9GKcAmHw8=;https://gld.legislaturacba.gob.ar/Publics/Actas.aspx?id=94am0qxI6do="/>
    <hyperlink ref="Q584" r:id="rId1561" display="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hyperlink ref="R584" r:id="rId1562" display="https://www.youtube.com/watch?v=EBQtuP4u7Kg"/>
    <hyperlink ref="S584" r:id="rId1563" display="https://gld.legislaturacba.gob.ar/Publics/Actas.aspx?id=trI671cQnas="/>
    <hyperlink ref="Q585" r:id="rId1564" display="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hyperlink ref="R585" r:id="rId1565" display="https://www.youtube.com/watch?v=BPEak9i5Fzk"/>
    <hyperlink ref="S585" r:id="rId1566" display="https://gld.legislaturacba.gob.ar/Publics/Actas.aspx?id=pvnSyvW2C5s=;https://gld.legislaturacba.gob.ar/Publics/Actas.aspx?id=NmH8aTbQniA="/>
    <hyperlink ref="Q586" r:id="rId1567" display="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hyperlink ref="R586" r:id="rId1568" display="https://www.youtube.com/watch?v=zzYfgWDW_gk"/>
    <hyperlink ref="S586" r:id="rId1569" display="https://gld.legislaturacba.gob.ar/Publics/Actas.aspx?id=Htz3QPkDNVg="/>
    <hyperlink ref="Q587" r:id="rId1570" display="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hyperlink ref="R587" r:id="rId1571" display="https://www.youtube.com/watch?v=gsJ0xDA4uNA"/>
    <hyperlink ref="S587" r:id="rId1572" display="https://gld.legislaturacba.gob.ar/Publics/Actas.aspx?id=_vC9t3fGh48="/>
    <hyperlink ref="Q588" r:id="rId1573" display="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hyperlink ref="R588" r:id="rId1574" display="https://www.youtube.com/watch?v=xMwdanqJFOU"/>
    <hyperlink ref="S588" r:id="rId1575" display="https://gld.legislaturacba.gob.ar/Publics/Actas.aspx?id=v15rWg-y8n8="/>
    <hyperlink ref="Q589" r:id="rId1576" display="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hyperlink ref="R589" r:id="rId1577" display="https://www.youtube.com/watch?v=dO5TGlOPHeo"/>
    <hyperlink ref="S589" r:id="rId1578" display="https://gld.legislaturacba.gob.ar/Publics/Actas.aspx?id=VCjqYgypYRk=;https://gld.legislaturacba.gob.ar/Publics/Actas.aspx?id=4BbWdexOxig=;https://gld.legislaturacba.gob.ar/Publics/Actas.aspx?id=fqBGxMhbI_M="/>
    <hyperlink ref="Q590" r:id="rId1579" display="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hyperlink ref="R590" r:id="rId1580" display="https://www.youtube.com/watch?v=EcGH_lvrRTs"/>
    <hyperlink ref="S590" r:id="rId1581" display="https://gld.legislaturacba.gob.ar/Publics/Actas.aspx?id=qlCLhHoo-ps="/>
    <hyperlink ref="Q591" r:id="rId1582" display="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hyperlink ref="R591" r:id="rId1583" display="https://www.youtube.com/watch?v=u9nlXUT_WIA"/>
    <hyperlink ref="S591" r:id="rId1584" display="https://gld.legislaturacba.gob.ar/Publics/Actas.aspx?id=1T7FqK4DE0g="/>
    <hyperlink ref="Q592" r:id="rId1585" display="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hyperlink ref="S592" r:id="rId1586" display="https://gld.legislaturacba.gob.ar/Publics/Actas.aspx?id=JFhoXBHPppY="/>
    <hyperlink ref="Q593" r:id="rId1587" display="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hyperlink ref="R593" r:id="rId1588" display="https://www.youtube.com/watch?v=GEl__GwS0Pw"/>
    <hyperlink ref="S593" r:id="rId1589" display="https://gld.legislaturacba.gob.ar/Publics/Actas.aspx?id=mIc8xt0Z__8="/>
    <hyperlink ref="Q594" r:id="rId1590" display="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hyperlink ref="R594" r:id="rId1591" display="https://www.youtube.com/watch?v=-6iBpHFPgsk"/>
    <hyperlink ref="S594" r:id="rId1592" display="https://gld.legislaturacba.gob.ar/Publics/Actas.aspx?id=F0lOBA6aVvs="/>
    <hyperlink ref="Q595" r:id="rId1593" display="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hyperlink ref="R595" r:id="rId1594" display="https://www.youtube.com/watch?v=orwRqVxQgRI"/>
    <hyperlink ref="S595" r:id="rId1595" display="https://gld.legislaturacba.gob.ar/Publics/Actas.aspx?id=1XpzP1nrTkc=;https://gld.legislaturacba.gob.ar/Publics/Actas.aspx?id=nfVzHLUO02I="/>
    <hyperlink ref="Q596" r:id="rId1596" display="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hyperlink ref="R596" r:id="rId1597" display="https://www.youtube.com/watch?v=CGQUjBt3m7I"/>
    <hyperlink ref="S596" r:id="rId1598" display="https://gld.legislaturacba.gob.ar/Publics/Actas.aspx?id=bhLAvQSszY0="/>
    <hyperlink ref="Q597" r:id="rId1599" display="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
    <hyperlink ref="R597" r:id="rId1600" display="https://www.youtube.com/watch?v=d0evDr85DXg"/>
    <hyperlink ref="S597" r:id="rId1601" display="https://gld.legislaturacba.gob.ar/Publics/Actas.aspx?id=8T4HiUfJm2k=;https://gld.legislaturacba.gob.ar/Publics/Actas.aspx?id=suBlDTszjps="/>
    <hyperlink ref="Q598" r:id="rId1602" display="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
    <hyperlink ref="R598" r:id="rId1603" display="https://www.youtube.com/watch?v=QlasozFmDPU"/>
    <hyperlink ref="S598" r:id="rId1604" display="https://gld.legislaturacba.gob.ar/Publics/Actas.aspx?id=qHM8bubvn44="/>
    <hyperlink ref="Q599" r:id="rId1605" display="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hyperlink ref="R599" r:id="rId1606" display="https://www.youtube.com/watch?v=m4v0s-2x-qg"/>
    <hyperlink ref="S599" r:id="rId1607" display="https://gld.legislaturacba.gob.ar/Publics/Actas.aspx?id=NN_5F32Bd0Y="/>
    <hyperlink ref="Q600" r:id="rId1608" display="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hyperlink ref="R600" r:id="rId1609" display="https://www.youtube.com/watch?v=eEq-oNhUI0I"/>
    <hyperlink ref="S600" r:id="rId1610" display="https://gld.legislaturacba.gob.ar/Publics/Actas.aspx?id=ljLMNn1PxAw=;https://gld.legislaturacba.gob.ar/Publics/Actas.aspx?id=Ac4AjNputzM="/>
    <hyperlink ref="Q601" r:id="rId1611" display="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hyperlink ref="S601" r:id="rId1612" display="https://gld.legislaturacba.gob.ar/Publics/Actas.aspx?id=xfAGUXO94i4="/>
    <hyperlink ref="Q602" r:id="rId1613" display="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hyperlink ref="R602" r:id="rId1614" display="https://www.youtube.com/watch?v=BIygIMv7k3k"/>
    <hyperlink ref="S602" r:id="rId1615" display="https://gld.legislaturacba.gob.ar/Publics/Actas.aspx?id=6ucP5NXg4zg=;https://gld.legislaturacba.gob.ar/Publics/Actas.aspx?id=Yxn2qhZ5xh4="/>
    <hyperlink ref="Q603" r:id="rId1616" display="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hyperlink ref="R603" r:id="rId1617" display="https://www.youtube.com/watch?v=MveWz4f2klY"/>
    <hyperlink ref="S603" r:id="rId1618" display="https://gld.legislaturacba.gob.ar/Publics/Actas.aspx?id=FMAKmNMpYNY=;https://gld.legislaturacba.gob.ar/Publics/Actas.aspx?id=dqweA0L4Qfo="/>
    <hyperlink ref="Q604" r:id="rId1619" display="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hyperlink ref="R604" r:id="rId1620" display="https://www.youtube.com/watch?v=R1fmpmqei1o"/>
    <hyperlink ref="S604" r:id="rId1621" display="https://gld.legislaturacba.gob.ar/Publics/Actas.aspx?id=tSSXxsd20sQ=;https://gld.legislaturacba.gob.ar/Publics/Actas.aspx?id=c9d2Z_vqor4="/>
    <hyperlink ref="Q605" r:id="rId1622" display="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hyperlink ref="R605" r:id="rId1623" display="https://www.youtube.com/watch?v=CjVMI6q8seo"/>
    <hyperlink ref="S605" r:id="rId1624" display="https://gld.legislaturacba.gob.ar/Publics/Actas.aspx?id=2i2ILyd1Qtg=;https://gld.legislaturacba.gob.ar/Publics/Actas.aspx?id=JFT0eAopAyk=;https://gld.legislaturacba.gob.ar/Publics/Actas.aspx?id=Gr3QIOt_K8I="/>
    <hyperlink ref="S606" r:id="rId1625" display="https://gld.legislaturacba.gob.ar/Publics/Actas.aspx?id=yZM8oiIEy0k="/>
    <hyperlink ref="Q607" r:id="rId1626" display="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hyperlink ref="R607" r:id="rId1627" display="https://www.youtube.com/watch?v=oLiAO9mTVSM"/>
    <hyperlink ref="S607" r:id="rId1628" display="https://gld.legislaturacba.gob.ar/Publics/Actas.aspx?id=4C4-4UT0dDw="/>
    <hyperlink ref="Q608" r:id="rId1629" display="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hyperlink ref="R608" r:id="rId1630" display="https://www.youtube.com/watch?v=3w6OjkrK_iI"/>
    <hyperlink ref="S608" r:id="rId1631" display="https://gld.legislaturacba.gob.ar/Publics/Actas.aspx?id=_UwL7fFvCf8="/>
    <hyperlink ref="Q609" r:id="rId1632" display="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hyperlink ref="R609" r:id="rId1633" display="https://www.youtube.com/watch?v=kYkxrHKzUco"/>
    <hyperlink ref="S609" r:id="rId1634" display="https://gld.legislaturacba.gob.ar/Publics/Actas.aspx?id=EWfatZF0hNs="/>
    <hyperlink ref="Q610" r:id="rId1635" display="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hyperlink ref="R610" r:id="rId1636" display="https://www.youtube.com/watch?v=IyJ6SrOKckI"/>
    <hyperlink ref="S610" r:id="rId1637" display="https://gld.legislaturacba.gob.ar/Publics/Actas.aspx?id=3zSzz9QKjXA=;https://gld.legislaturacba.gob.ar/Publics/Actas.aspx?id=RYTlmkoMtA8="/>
    <hyperlink ref="Q611" r:id="rId1638" display="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hyperlink ref="R611" r:id="rId1639" display="https://www.youtube.com/watch?v=XvRwezdCAmI"/>
    <hyperlink ref="S611" r:id="rId1640" display="https://gld.legislaturacba.gob.ar/Publics/Actas.aspx?id=lQRN_lf1RYE="/>
    <hyperlink ref="Q612" r:id="rId1641" display="https://gld.legislaturacba.gob.ar/_cdd/api/Documento/descargar?guid=6812c032-6dc6-4431-a679-91ba04e04ad4&amp;token=4oQ5dYGgacrp_1YuZUZLTNxoSHUEN4c1Vnk9dOPd1beVpokZqIIQIOGGkwU44Tk0M6H7FddGdUvuQ4AOFlATW8CodsQActh2NlRk5_He1VjKqxRf7GbHU-a_BYHi4DZm5Ax_iVkDyHaODlMw-Y7UVgxqg29zsFC_Mk36UWM84Tf6_QlgEXk0cSIfwJr5DqsvilcGonwIVNT7WSmNgCqKInzpaeuycyT2DXRPKRUD2wc7Xnu3P39r28VV4gyjQwbO"/>
    <hyperlink ref="R612" r:id="rId1642" display="https://www.youtube.com/watch?v=EqnI_CcUMRc"/>
    <hyperlink ref="S612" r:id="rId1643" display="https://gld.legislaturacba.gob.ar/Publics/Actas.aspx?id=j7Ra1ri0zhQ="/>
    <hyperlink ref="Q613" r:id="rId1644" display="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
    <hyperlink ref="R613" r:id="rId1645" display="https://www.youtube.com/watch?v=Mmrwv4LkWvs"/>
    <hyperlink ref="S613" r:id="rId1646" display="https://gld.legislaturacba.gob.ar/Publics/Actas.aspx?id=RECgEjex-Eg=;https://gld.legislaturacba.gob.ar/Publics/Actas.aspx?id=agmxgj2xeQc="/>
    <hyperlink ref="Q614" r:id="rId1647" display="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
    <hyperlink ref="R614" r:id="rId1648" display="https://www.youtube.com/watch?v=6n-FCU7M0Rk"/>
    <hyperlink ref="S614" r:id="rId1649" display="https://gld.legislaturacba.gob.ar/Publics/Actas.aspx?id=jWp3de-bQPQ="/>
    <hyperlink ref="Q615" r:id="rId1650" display="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
    <hyperlink ref="R615" r:id="rId1651" display="https://www.youtube.com/watch?v=MIgmEFGWL-g"/>
    <hyperlink ref="S615" r:id="rId1652" display="https://gld.legislaturacba.gob.ar/Publics/Actas.aspx?id=owHEuLeJVvk=;https://gld.legislaturacba.gob.ar/Publics/Actas.aspx?id=AOg_EHyf6SI="/>
    <hyperlink ref="Q616" r:id="rId1653" display="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hyperlink ref="R616" r:id="rId1654" display="https://www.youtube.com/watch?v=GJ34d8N-1X4"/>
    <hyperlink ref="S616" r:id="rId1655" display="https://gld.legislaturacba.gob.ar/Publics/Actas.aspx?id=NilBp1bstm8="/>
    <hyperlink ref="Q617" r:id="rId1656" display="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hyperlink ref="R617" r:id="rId1657" display="https://www.youtube.com/watch?v=Dl_hS7nYie8"/>
    <hyperlink ref="S617" r:id="rId1658" display="https://gld.legislaturacba.gob.ar/Publics/Actas.aspx?id=NilBp1bstm8="/>
    <hyperlink ref="Q618" r:id="rId1659" display="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
    <hyperlink ref="R618" r:id="rId1660" display="https://www.youtube.com/watch?v=icnPbW1bkRA"/>
    <hyperlink ref="S618" r:id="rId1661" display="https://gld.legislaturacba.gob.ar/Publics/Actas.aspx?id=8_8Cx3meStw=;https://gld.legislaturacba.gob.ar/Publics/Actas.aspx?id=gF5e_JUY_3g="/>
    <hyperlink ref="Q619" r:id="rId1662" display="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
    <hyperlink ref="R619" r:id="rId1663" display="https://www.youtube.com/watch?v=5RqRfDMoJOs"/>
    <hyperlink ref="S619" r:id="rId1664" display="https://gld.legislaturacba.gob.ar/Publics/Actas.aspx?id=1bR-qGmG-cw=;https://gld.legislaturacba.gob.ar/Publics/Actas.aspx?id=S5KN3YfHvzA="/>
    <hyperlink ref="Q620" r:id="rId1665" display="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
    <hyperlink ref="R620" r:id="rId1666" display="https://www.youtube.com/watch?v=i1HDtNoEIm0"/>
    <hyperlink ref="S620" r:id="rId1667" display="https://gld.legislaturacba.gob.ar/Publics/Actas.aspx?id=EwbBJJuWdE0=;https://gld.legislaturacba.gob.ar/Publics/Actas.aspx?id=hZO9VREcmi4="/>
    <hyperlink ref="Q621" r:id="rId1668" display="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
    <hyperlink ref="R621" r:id="rId1669" display="https://www.youtube.com/watch?v=GAn3lentJVw"/>
    <hyperlink ref="S621" r:id="rId1670" display="https://gld.legislaturacba.gob.ar/Publics/Actas.aspx?id=WstocYgW4ao="/>
    <hyperlink ref="Q622" r:id="rId1671" display="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
    <hyperlink ref="R622" r:id="rId1672" display="https://www.youtube.com/watch?v=bp69RRTvAmk"/>
    <hyperlink ref="S622" r:id="rId1673" display="https://gld.legislaturacba.gob.ar/Publics/Actas.aspx?id=ms9sIoyQBaQ=;https://gld.legislaturacba.gob.ar/Publics/Actas.aspx?id=JIrowLq7dTM="/>
    <hyperlink ref="Q623" r:id="rId1674" display="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
    <hyperlink ref="R623" r:id="rId1675" display="https://www.youtube.com/watch?v=wd88zuyLdfQ"/>
    <hyperlink ref="S623" r:id="rId1676" display="https://gld.legislaturacba.gob.ar/Publics/Actas.aspx?id=GSwZbLGLyUg="/>
    <hyperlink ref="Q624" r:id="rId1677" display="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
    <hyperlink ref="R624" r:id="rId1678" display="https://www.youtube.com/watch?v=qiogU2i2LgI"/>
    <hyperlink ref="S624" r:id="rId1679" display="https://gld.legislaturacba.gob.ar/Publics/Actas.aspx?id=dMQYTl6tzas=;https://gld.legislaturacba.gob.ar/Publics/Actas.aspx?id=F8GQ9bIKoDk="/>
    <hyperlink ref="Q625" r:id="rId1680" display="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hyperlink ref="R625" r:id="rId1681" display="https://www.youtube.com/watch?v=W0ASEBtAbVU"/>
    <hyperlink ref="S625" r:id="rId1682" display="https://gld.legislaturacba.gob.ar/Publics/Actas.aspx?id=tV9UXuXnkHU="/>
    <hyperlink ref="Q626" r:id="rId1683" display="https://gld.legislaturacba.gob.ar/_cdd/api/Documento/descargar?guid=4755adc4-faec-4133-9ed8-612db41efb7f&amp;token=4oQ5dYGgacrp_1YuZUZLTNxoSHUEN4c1Vnk9dOPd1beVpokZqIIQIOGGkwU44Tk0M6H7FddGdUvuQ4AOFlATW8CodsQActh2NlRk5_He1VjKqxRf7GbHU-a_BYHi4DZm5Ax_iVkDyHaODlMw-Y7UVgxqg29zsFC_Mk36UWM84Tf6_QlgEXk0cSIfwJr5DqsvilcGonwIVNT7WSmNgCqKInzpaeuycyT2DXRPKRUD2wc7Xnu3P39r28VV4gyjQwbO"/>
    <hyperlink ref="R626" r:id="rId1684" display="https://www.youtube.com/watch?v=YM8qUUW6j6I"/>
    <hyperlink ref="S626" r:id="rId1685" display="https://gld.legislaturacba.gob.ar/Publics/Actas.aspx?id=bWA8IRCqhfU=;https://gld.legislaturacba.gob.ar/Publics/Actas.aspx?id=JxF-L9HVCOY="/>
    <hyperlink ref="Q627" r:id="rId1686" display="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hyperlink ref="R627" r:id="rId1687" display="https://www.youtube.com/watch?v=7FA7qJ9Mor0"/>
    <hyperlink ref="S627" r:id="rId1688" display="https://gld.legislaturacba.gob.ar/Publics/Actas.aspx?id=rm1Kd1pi3I0="/>
    <hyperlink ref="Q628" r:id="rId1689" display="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hyperlink ref="R628" r:id="rId1690" display="https://www.youtube.com/watch?v=o_7Fz-4WxlU"/>
    <hyperlink ref="S628" r:id="rId1691" display="https://gld.legislaturacba.gob.ar/Publics/Actas.aspx?id=pVwhKDlCzQ8=;https://gld.legislaturacba.gob.ar/Publics/Actas.aspx?id=nSdSm_HZW1M="/>
    <hyperlink ref="Q629" r:id="rId1692" display="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hyperlink ref="R629" r:id="rId1693" display="https://www.youtube.com/watch?v=BCbaBFNxRDQ"/>
    <hyperlink ref="S629" r:id="rId1694" display="https://gld.legislaturacba.gob.ar/Publics/Actas.aspx?id=TgM7hWb4I1I="/>
    <hyperlink ref="Q630" r:id="rId1695" display="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hyperlink ref="R630" r:id="rId1696" display="https://www.youtube.com/watch?v=Y32O3zV28Rc"/>
    <hyperlink ref="S630" r:id="rId1697" display="https://gld.legislaturacba.gob.ar/Publics/Actas.aspx?id=XCZYIU5xg-s="/>
    <hyperlink ref="Q631" r:id="rId1698" display="https://gld.legislaturacba.gob.ar/_cdd/api/Documento/descargar?guid=1965d5be-b0b9-4d0e-b415-2377efbee985&amp;token=4oQ5dYGgacrp_1YuZUZLTNxoSHUEN4c1Vnk9dOPd1beVpokZqIIQIOGGkwU44Tk0M6H7FddGdUvuQ4AOFlATW8CodsQActh2NlRk5_He1VjKqxRf7GbHU-a_BYHi4DZm5Ax_iVkDyHaODlMw-Y7UVgxqg29zsFC_Mk36UWM84Tf6_QlgEXk0cSIfwJr5DqsvilcGonwIVNT7WSmNgCqKInzpaeuycyT2DXRPKRUD2wc7Xnu3P39r28VV4gyjQwbO"/>
    <hyperlink ref="R631" r:id="rId1699" display="https://www.youtube.com/watch?v=iKNBbxQpsSo"/>
    <hyperlink ref="S631" r:id="rId1700" display="https://gld.legislaturacba.gob.ar/Publics/Actas.aspx?id=apidZIVzDd4="/>
    <hyperlink ref="Q632" r:id="rId1701" display="https://gld.legislaturacba.gob.ar/_cdd/api/Documento/descargar?guid=7ba28601-e3c7-4ed8-b89b-f1a78da08fc6&amp;token=4oQ5dYGgacrp_1YuZUZLTNxoSHUEN4c1Vnk9dOPd1beVpokZqIIQIOGGkwU44Tk0M6H7FddGdUvuQ4AOFlATW8CodsQActh2NlRk5_He1VjKqxRf7GbHU-a_BYHi4DZm5Ax_iVkDyHaODlMw-Y7UVgxqg29zsFC_Mk36UWM84Tf6_QlgEXk0cSIfwJr5DqsvilcGonwIVNT7WSmNgCqKInzpaeuycyT2DXRPKRUD2wc7Xnu3P39r28VV4gyjQwbO"/>
    <hyperlink ref="R632" r:id="rId1702" display="https://www.youtube.com/watch?v=dxIrppte6aM"/>
    <hyperlink ref="S632" r:id="rId1703" display="https://gld.legislaturacba.gob.ar/Publics/Actas.aspx?id=4I2A3AGxQk0=;https://gld.legislaturacba.gob.ar/Publics/Actas.aspx?id=1sI1d-Xo0TE="/>
    <hyperlink ref="Q633" r:id="rId1704" display="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hyperlink ref="S633" r:id="rId1705" display="https://gld.legislaturacba.gob.ar/Publics/Actas.aspx?id=yCAgq-cindo="/>
    <hyperlink ref="Q634" r:id="rId1706" display="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hyperlink ref="R634" r:id="rId1707" display="https://www.youtube.com/watch?v=4Qt3gpG6ifY"/>
    <hyperlink ref="S634" r:id="rId1708" display="https://gld.legislaturacba.gob.ar/Publics/Actas.aspx?id=waoITHmxHTg=;https://gld.legislaturacba.gob.ar/Publics/Actas.aspx?id=LkvP2ayX5fY="/>
    <hyperlink ref="Q635" r:id="rId1709" display="https://gld.legislaturacba.gob.ar/_cdd/api/Documento/descargar?guid=e1bc6afa-1e89-45bb-b41b-0a9c7d3b73e7&amp;token=4oQ5dYGgacrp_1YuZUZLTNxoSHUEN4c1Vnk9dOPd1beVpokZqIIQIOGGkwU44Tk0M6H7FddGdUvuQ4AOFlATW8CodsQActh2NlRk5_He1VjKqxRf7GbHU-a_BYHi4DZm5Ax_iVkDyHaODlMw-Y7UVgxqg29zsFC_Mk36UWM84Tf6_QlgEXk0cSIfwJr5DqsvilcGonwIVNT7WSmNgCqKInzpaeuycyT2DXRPKRUD2wc7Xnu3P39r28VV4gyjQwbO"/>
    <hyperlink ref="R635" r:id="rId1710" display="https://www.youtube.com/watch?v=srBgr7eai9E"/>
    <hyperlink ref="S635" r:id="rId1711" display="https://gld.legislaturacba.gob.ar/Publics/Actas.aspx?id=ucQHjYrRsEA="/>
    <hyperlink ref="S636" r:id="rId1712" display="https://gld.legislaturacba.gob.ar/Publics/Actas.aspx?id=D2rR86DtKYU=;https://gld.legislaturacba.gob.ar/Publics/Actas.aspx?id=6nywbM637iY=;https://gld.legislaturacba.gob.ar/Publics/Actas.aspx?id=VDkpyQobIrc=;https://gld.legislaturacba.gob.ar/Publics/Actas.aspx?id=5MKpOmHuOV8=;https://gld.legislaturacba.gob.ar/Publics/Actas.aspx?id=IraGCNjnjrA=;https://gld.legislaturacba.gob.ar/Publics/Actas.aspx?id=283_Li1d8Sc="/>
    <hyperlink ref="Q637" r:id="rId1713" display="https://gld.legislaturacba.gob.ar/_cdd/api/Documento/descargar?guid=1de9453a-3d6e-4271-9996-4460c159944d&amp;token=4oQ5dYGgacrp_1YuZUZLTNxoSHUEN4c1Vnk9dOPd1beVpokZqIIQIOGGkwU44Tk0M6H7FddGdUvuQ4AOFlATW8CodsQActh2NlRk5_He1VjKqxRf7GbHU-a_BYHi4DZm5Ax_iVkDyHaODlMw-Y7UVgxqg29zsFC_Mk36UWM84Tf6_QlgEXk0cSIfwJr5DqsvilcGonwIVNT7WSmNgCqKInzpaeuycyT2DXRPKRUD2wc7Xnu3P39r28VV4gyjQwbO"/>
    <hyperlink ref="R637" r:id="rId1714" display="https://www.youtube.com/watch?v=QSUCghIEIkU"/>
    <hyperlink ref="S637" r:id="rId1715" display="https://gld.legislaturacba.gob.ar/Publics/Actas.aspx?id=UoWdxo7lXGQ=;https://gld.legislaturacba.gob.ar/Publics/Actas.aspx?id=HjsGx7ytAVI="/>
    <hyperlink ref="Q638" r:id="rId1716" display="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hyperlink ref="R638" r:id="rId1717" display="https://www.youtube.com/watch?v=Gu4w2Rw0CgY"/>
    <hyperlink ref="S638" r:id="rId1718" display="https://gld.legislaturacba.gob.ar/Publics/Actas.aspx?id=h1at5mCX-YI="/>
    <hyperlink ref="Q639" r:id="rId1719" display="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hyperlink ref="S639" r:id="rId1720" display="https://gld.legislaturacba.gob.ar/Publics/Actas.aspx?id=5TyD928e9g0="/>
    <hyperlink ref="Q640" r:id="rId1721" display="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hyperlink ref="R640" r:id="rId1722" display="https://www.youtube.com/watch?v=lmUSzXF2a1Q"/>
    <hyperlink ref="S640" r:id="rId1723" display="https://gld.legislaturacba.gob.ar/Publics/Actas.aspx?id=MlojQ7y89cY=;https://gld.legislaturacba.gob.ar/Publics/Actas.aspx?id=iMpAe8aVd2Y=;https://gld.legislaturacba.gob.ar/Publics/Actas.aspx?id=tl4CvXDQuWA="/>
    <hyperlink ref="Q641" r:id="rId1724" display="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hyperlink ref="R641" r:id="rId1725" display="https://www.youtube.com/watch?v=2-mU6HTUtU0"/>
    <hyperlink ref="S641" r:id="rId1726" display="https://gld.legislaturacba.gob.ar/Publics/Actas.aspx?id=Rjy_yq3iBcY=;https://gld.legislaturacba.gob.ar/Publics/Actas.aspx?id=DyukL9KCKOU=;https://gld.legislaturacba.gob.ar/Publics/Actas.aspx?id=h2h_-4AVn4M="/>
    <hyperlink ref="R642" r:id="rId1727" display="https://www.youtube.com/watch?v=wWQ8e95Bd0k"/>
    <hyperlink ref="S642" r:id="rId1728" display="https://gld.legislaturacba.gob.ar/Publics/Actas.aspx?id=PbfUWTwq3FI=;https://gld.legislaturacba.gob.ar/Publics/Actas.aspx?id=ZGlc3ZVej5M=;https://gld.legislaturacba.gob.ar/Publics/Actas.aspx?id=imgwDfsyw1w="/>
    <hyperlink ref="Q643" r:id="rId1729" display="https://gld.legislaturacba.gob.ar/_cdd/api/Documento/descargar?guid=8362646f-67af-4bbf-93b8-11746aa33d28&amp;token=4oQ5dYGgacrp_1YuZUZLTNxoSHUEN4c1Vnk9dOPd1beVpokZqIIQIOGGkwU44Tk0M6H7FddGdUvuQ4AOFlATW8CodsQActh2NlRk5_He1VjKqxRf7GbHU-a_BYHi4DZm5Ax_iVkDyHaODlMw-Y7UVgxqg29zsFC_Mk36UWM84Tf6_QlgEXk0cSIfwJr5DqsvilcGonwIVNT7WSmNgCqKInzpaeuycyT2DXRPKRUD2wc7Xnu3P39r28VV4gyjQwbO"/>
    <hyperlink ref="R643" r:id="rId1730" display="https://www.youtube.com/watch?v=PeuApIFXz6Y"/>
    <hyperlink ref="S643" r:id="rId1731" display="https://gld.legislaturacba.gob.ar/Publics/Actas.aspx?id=2mHZrhfaxvI="/>
    <hyperlink ref="Q644" r:id="rId1732" display="https://gld.legislaturacba.gob.ar/_cdd/api/Documento/descargar?guid=4a2e2a6a-99fa-4f08-a283-3c1890aee765&amp;token=4oQ5dYGgacrp_1YuZUZLTNxoSHUEN4c1Vnk9dOPd1beVpokZqIIQIOGGkwU44Tk0M6H7FddGdUvuQ4AOFlATW8CodsQActh2NlRk5_He1VjKqxRf7GbHU-a_BYHi4DZm5Ax_iVkDyHaODlMw-Y7UVgxqg29zsFC_Mk36UWM84Tf6_QlgEXk0cSIfwJr5DqsvilcGonwIVNT7WSmNgCqKInzpaeuycyT2DXRPKRUD2wc7Xnu3P39r28VV4gyjQwbO"/>
    <hyperlink ref="R644" r:id="rId1733" display="https://www.youtube.com/watch?v=ovaHFXT0mis"/>
    <hyperlink ref="S644" r:id="rId1734" display="https://gld.legislaturacba.gob.ar/Publics/Actas.aspx?id=UQ6HEuuKFc8="/>
    <hyperlink ref="Q645" r:id="rId1735" display="https://gld.legislaturacba.gob.ar/_cdd/api/Documento/descargar?guid=cc5901c9-4378-4c4c-b6d2-0ce2d0c001b5&amp;token=4oQ5dYGgacrp_1YuZUZLTNxoSHUEN4c1Vnk9dOPd1beVpokZqIIQIOGGkwU44Tk0M6H7FddGdUvuQ4AOFlATW8CodsQActh2NlRk5_He1VjKqxRf7GbHU-a_BYHi4DZm5Ax_iVkDyHaODlMw-Y7UVgxqg29zsFC_Mk36UWM84Tf6_QlgEXk0cSIfwJr5DqsvilcGonwIVNT7WSmNgCqKInzpaeuycyT2DXRPKRUD2wc7Xnu3P39r28VV4gyjQwbO"/>
    <hyperlink ref="S645" r:id="rId1736" display="https://gld.legislaturacba.gob.ar/Publics/Actas.aspx?id=OGqfME3idG4="/>
    <hyperlink ref="Q646" r:id="rId1737" display="https://gld.legislaturacba.gob.ar/_cdd/api/Documento/descargar?guid=351d9499-ede1-4aca-a2b8-6745438a48b1&amp;token=4oQ5dYGgacrp_1YuZUZLTNxoSHUEN4c1Vnk9dOPd1beVpokZqIIQIOGGkwU44Tk0M6H7FddGdUvuQ4AOFlATW8CodsQActh2NlRk5_He1VjKqxRf7GbHU-a_BYHi4DZm5Ax_iVkDyHaODlMw-Y7UVgxqg29zsFC_Mk36UWM84Tf6_QlgEXk0cSIfwJr5DqsvilcGonwIVNT7WSmNgCqKInzpaeuycyT2DXRPKRUD2wc7Xnu3P39r28VV4gyjQwbO"/>
    <hyperlink ref="R646" r:id="rId1738" display="https://www.youtube.com/watch?v=HuVeWCA3Iqc"/>
    <hyperlink ref="S646" r:id="rId1739" display="https://gld.legislaturacba.gob.ar/Publics/Actas.aspx?id=usc1x2lZowM="/>
    <hyperlink ref="Q647" r:id="rId1740" display="https://gld.legislaturacba.gob.ar/_cdd/api/Documento/descargar?guid=a3fef849-7eb3-4bee-8348-aafe4b704d6e&amp;token=4oQ5dYGgacrp_1YuZUZLTNxoSHUEN4c1Vnk9dOPd1beVpokZqIIQIOGGkwU44Tk0M6H7FddGdUvuQ4AOFlATW8CodsQActh2NlRk5_He1VjKqxRf7GbHU-a_BYHi4DZm5Ax_iVkDyHaODlMw-Y7UVgxqg29zsFC_Mk36UWM84Tf6_QlgEXk0cSIfwJr5DqsvilcGonwIVNT7WSmNgCqKInzpaeuycyT2DXRPKRUD2wc7Xnu3P39r28VV4gyjQwbO"/>
    <hyperlink ref="R647" r:id="rId1741" display="https://www.youtube.com/watch?v=LHWEconwuiM"/>
    <hyperlink ref="S647" r:id="rId1742" display="https://gld.legislaturacba.gob.ar/Publics/Actas.aspx?id=fVJtVgKnKZw=;https://gld.legislaturacba.gob.ar/Publics/Actas.aspx?id=gAhhvPd7vVg="/>
    <hyperlink ref="Q648" r:id="rId1743" display="https://gld.legislaturacba.gob.ar/_cdd/api/Documento/descargar?guid=0f345203-7d13-42d1-8080-d478fb162113&amp;token=4oQ5dYGgacrp_1YuZUZLTNxoSHUEN4c1Vnk9dOPd1beVpokZqIIQIOGGkwU44Tk0M6H7FddGdUvuQ4AOFlATW8CodsQActh2NlRk5_He1VjKqxRf7GbHU-a_BYHi4DZm5Ax_iVkDyHaODlMw-Y7UVgxqg29zsFC_Mk36UWM84Tf6_QlgEXk0cSIfwJr5DqsvilcGonwIVNT7WSmNgCqKInzpaeuycyT2DXRPKRUD2wc7Xnu3P39r28VV4gyjQwbO"/>
    <hyperlink ref="R648" r:id="rId1744" display="https://www.youtube.com/watch?v=FD23kQOoKOk"/>
    <hyperlink ref="S648" r:id="rId1745" display="https://gld.legislaturacba.gob.ar/Publics/Actas.aspx?id=Bu9XMDWgVRE=;https://gld.legislaturacba.gob.ar/Publics/Actas.aspx?id=9kZf_tkSv9I=;https://gld.legislaturacba.gob.ar/Publics/Actas.aspx?id=0jXDObisALs="/>
    <hyperlink ref="Q649" r:id="rId1746" display="https://gld.legislaturacba.gob.ar/_cdd/api/Documento/descargar?guid=816fe7fc-3daa-44d2-bc0e-2143bf014c99&amp;token=4oQ5dYGgacrp_1YuZUZLTNxoSHUEN4c1Vnk9dOPd1beVpokZqIIQIOGGkwU44Tk0M6H7FddGdUvuQ4AOFlATW8CodsQActh2NlRk5_He1VjKqxRf7GbHU-a_BYHi4DZm5Ax_iVkDyHaODlMw-Y7UVgxqg29zsFC_Mk36UWM84Tf6_QlgEXk0cSIfwJr5DqsvilcGonwIVNT7WSmNgCqKInzpaeuycyT2DXRPKRUD2wc7Xnu3P39r28VV4gyjQwbO"/>
    <hyperlink ref="R649" r:id="rId1747" display="https://www.youtube.com/watch?v=9ddfgBNtvag"/>
    <hyperlink ref="S649" r:id="rId1748" display="https://gld.legislaturacba.gob.ar/Publics/Actas.aspx?id=i40HrDp3sfU="/>
    <hyperlink ref="Q650" r:id="rId1749" display="https://gld.legislaturacba.gob.ar/_cdd/api/Documento/descargar?guid=81f6bba9-ba1c-4cef-9de6-e888fb4bd0c9&amp;token=4oQ5dYGgacrp_1YuZUZLTNxoSHUEN4c1Vnk9dOPd1beVpokZqIIQIOGGkwU44Tk0M6H7FddGdUvuQ4AOFlATW8CodsQActh2NlRk5_He1VjKqxRf7GbHU-a_BYHi4DZm5Ax_iVkDyHaODlMw-Y7UVgxqg29zsFC_Mk36UWM84Tf6_QlgEXk0cSIfwJr5DqsvilcGonwIVNT7WSmNgCqKInzpaeuycyT2DXRPKRUD2wc7Xnu3P39r28VV4gyjQwbO"/>
    <hyperlink ref="R650" r:id="rId1750" display="https://www.youtube.com/watch?v=NROZfnalITM"/>
    <hyperlink ref="S650" r:id="rId1751" display="https://gld.legislaturacba.gob.ar/Publics/Actas.aspx?id=dTEncuLgz1Y="/>
    <hyperlink ref="Q651" r:id="rId1752" display="https://gld.legislaturacba.gob.ar/_cdd/api/Documento/descargar?guid=21dfa256-c362-4d6c-b55e-a56c9162f4c9&amp;token=4oQ5dYGgacrp_1YuZUZLTNxoSHUEN4c1Vnk9dOPd1beVpokZqIIQIOGGkwU44Tk0M6H7FddGdUvuQ4AOFlATW8CodsQActh2NlRk5_He1VjKqxRf7GbHU-a_BYHi4DZm5Ax_iVkDyHaODlMw-Y7UVgxqg29zsFC_Mk36UWM84Tf6_QlgEXk0cSIfwJr5DqsvilcGonwIVNT7WSmNgCqKInzpaeuycyT2DXRPKRUD2wc7Xnu3P39r28VV4gyjQwbO"/>
    <hyperlink ref="R651" r:id="rId1753" display="https://www.youtube.com/watch?v=r8vcTNFJJAE"/>
    <hyperlink ref="S651" r:id="rId1754" display="https://gld.legislaturacba.gob.ar/Publics/Actas.aspx?id=ulVFAk5IeYs="/>
    <hyperlink ref="Q652" r:id="rId1755" display="https://gld.legislaturacba.gob.ar/_cdd/api/Documento/descargar?guid=faf9d94b-4a6d-4fb5-afe1-eaae35b2e0e3&amp;token=4oQ5dYGgacrp_1YuZUZLTNxoSHUEN4c1Vnk9dOPd1beVpokZqIIQIOGGkwU44Tk0M6H7FddGdUvuQ4AOFlATW8CodsQActh2NlRk5_He1VjKqxRf7GbHU-a_BYHi4DZm5Ax_iVkDyHaODlMw-Y7UVgxqg29zsFC_Mk36UWM84Tf6_QlgEXk0cSIfwJr5DqsvilcGonwIVNT7WSmNgCqKInzpaeuycyT2DXRPKRUD2wc7Xnu3P39r28VV4gyjQwbO"/>
    <hyperlink ref="S652" r:id="rId1756" display="https://gld.legislaturacba.gob.ar/Publics/Actas.aspx?id=8fLmH67fXhE="/>
    <hyperlink ref="Q653" r:id="rId1757" display="https://gld.legislaturacba.gob.ar/_cdd/api/Documento/descargar?guid=fbd3bf5f-8e6a-4ece-a7d1-8a0131900fcf&amp;token=4oQ5dYGgacrp_1YuZUZLTNxoSHUEN4c1Vnk9dOPd1beVpokZqIIQIOGGkwU44Tk0M6H7FddGdUvuQ4AOFlATW8CodsQActh2NlRk5_He1VjKqxRf7GbHU-a_BYHi4DZm5Ax_iVkDyHaODlMw-Y7UVgxqg29zsFC_Mk36UWM84Tf6_QlgEXk0cSIfwJr5DqsvilcGonwIVNT7WSmNgCqKInzpaeuycyT2DXRPKRUD2wc7Xnu3P39r28VV4gyjQwbO"/>
    <hyperlink ref="R653" r:id="rId1758" display="https://www.youtube.com/watch?v=GcydzqM2hA8"/>
    <hyperlink ref="S653" r:id="rId1759" display="https://gld.legislaturacba.gob.ar/Publics/Actas.aspx?id=MlKBsXrupXw=;https://gld.legislaturacba.gob.ar/Publics/Actas.aspx?id=_JgI_c7uUC0="/>
    <hyperlink ref="Q654" r:id="rId1760" display="https://gld.legislaturacba.gob.ar/_cdd/api/Documento/descargar?guid=d61f942f-5413-46f4-b030-56f69a2c8da0&amp;token=4oQ5dYGgacrp_1YuZUZLTNxoSHUEN4c1Vnk9dOPd1beVpokZqIIQIOGGkwU44Tk0M6H7FddGdUvuQ4AOFlATW8CodsQActh2NlRk5_He1VjKqxRf7GbHU-a_BYHi4DZm5Ax_iVkDyHaODlMw-Y7UVgxqg29zsFC_Mk36UWM84Tf6_QlgEXk0cSIfwJr5DqsvilcGonwIVNT7WSmNgCqKInzpaeuycyT2DXRPKRUD2wc7Xnu3P39r28VV4gyjQwbO"/>
    <hyperlink ref="R654" r:id="rId1761" display="https://www.youtube.com/watch?v=Nf_rtZudFRE"/>
    <hyperlink ref="S654" r:id="rId1762" display="https://gld.legislaturacba.gob.ar/Publics/Actas.aspx?id=G1aVRLDPw6E=;https://gld.legislaturacba.gob.ar/Publics/Actas.aspx?id=B0wXJeW9U8I=;https://gld.legislaturacba.gob.ar/Publics/Actas.aspx?id=4iLiD4bZp0Y="/>
    <hyperlink ref="Q655" r:id="rId1763" display="https://gld.legislaturacba.gob.ar/_cdd/api/Documento/descargar?guid=60d6e697-f6bd-43e4-8c12-d1f95d436ea0&amp;token=4oQ5dYGgacrp_1YuZUZLTNxoSHUEN4c1Vnk9dOPd1beVpokZqIIQIOGGkwU44Tk0M6H7FddGdUvuQ4AOFlATW8CodsQActh2NlRk5_He1VjKqxRf7GbHU-a_BYHi4DZm5Ax_iVkDyHaODlMw-Y7UVgxqg29zsFC_Mk36UWM84Tf6_QlgEXk0cSIfwJr5DqsvilcGonwIVNT7WSmNgCqKInzpaeuycyT2DXRPKRUD2wc7Xnu3P39r28VV4gyjQwbO"/>
    <hyperlink ref="S655" r:id="rId1764" display="https://gld.legislaturacba.gob.ar/Publics/Actas.aspx?id=WkZK3DqQvfM="/>
    <hyperlink ref="Q656" r:id="rId1765" display="https://gld.legislaturacba.gob.ar/_cdd/api/Documento/descargar?guid=74a59137-245f-4a2b-a950-2b10d6fbf88f&amp;token=4oQ5dYGgacrp_1YuZUZLTNxoSHUEN4c1Vnk9dOPd1beVpokZqIIQIOGGkwU44Tk0M6H7FddGdUvuQ4AOFlATW8CodsQActh2NlRk5_He1VjKqxRf7GbHU-a_BYHi4DZm5Ax_iVkDyHaODlMw-Y7UVgxqg29zsFC_Mk36UWM84Tf6_QlgEXk0cSIfwJr5DqsvilcGonwIVNT7WSmNgCqKInzpaeuycyT2DXRPKRUD2wc7Xnu3P39r28VV4gyjQwbO"/>
    <hyperlink ref="R656" r:id="rId1766" display="https://www.youtube.com/watch?v=3Kr_1DAGkkM"/>
    <hyperlink ref="S656" r:id="rId1767" display="https://gld.legislaturacba.gob.ar/Publics/Actas.aspx?id=sDs2CiZeX_s="/>
    <hyperlink ref="Q657" r:id="rId1768" display="https://gld.legislaturacba.gob.ar/_cdd/api/Documento/descargar?guid=e82c5662-67dd-4b75-9281-a490660faf4a&amp;token=4oQ5dYGgacrp_1YuZUZLTNxoSHUEN4c1Vnk9dOPd1beVpokZqIIQIOGGkwU44Tk0M6H7FddGdUvuQ4AOFlATW8CodsQActh2NlRk5_He1VjKqxRf7GbHU-a_BYHi4DZm5Ax_iVkDyHaODlMw-Y7UVgxqg29zsFC_Mk36UWM84Tf6_QlgEXk0cSIfwJr5DqsvilcGonwIVNT7WSmNgCqKInzpaeuycyT2DXRPKRUD2wc7Xnu3P39r28VV4gyjQwbO"/>
    <hyperlink ref="R657" r:id="rId1769" display="https://www.youtube.com/watch?v=9AuJGxQ22hA"/>
    <hyperlink ref="S657" r:id="rId1770" display="https://gld.legislaturacba.gob.ar/Publics/Actas.aspx?id=FDK7kTFmbzk="/>
    <hyperlink ref="Q658" r:id="rId1771" display="https://gld.legislaturacba.gob.ar/_cdd/api/Documento/descargar?guid=819c8c8a-5e82-4768-bd14-d1c711061a33&amp;token=4oQ5dYGgacrp_1YuZUZLTNxoSHUEN4c1Vnk9dOPd1beVpokZqIIQIOGGkwU44Tk0M6H7FddGdUvuQ4AOFlATW8CodsQActh2NlRk5_He1VjKqxRf7GbHU-a_BYHi4DZm5Ax_iVkDyHaODlMw-Y7UVgxqg29zsFC_Mk36UWM84Tf6_QlgEXk0cSIfwJr5DqsvilcGonwIVNT7WSmNgCqKInzpaeuycyT2DXRPKRUD2wc7Xnu3P39r28VV4gyjQwbO"/>
    <hyperlink ref="R658" r:id="rId1772" display="https://www.youtube.com/watch?v=PMPczWSyfxw"/>
    <hyperlink ref="S658" r:id="rId1773" display="https://gld.legislaturacba.gob.ar/Publics/Actas.aspx?id=QeS3-8Coht0="/>
    <hyperlink ref="Q659" r:id="rId1774" display="https://gld.legislaturacba.gob.ar/_cdd/api/Documento/descargar?guid=c62db953-fbac-47d6-b05b-c02321d36686&amp;token=4oQ5dYGgacrp_1YuZUZLTNxoSHUEN4c1Vnk9dOPd1beVpokZqIIQIOGGkwU44Tk0M6H7FddGdUvuQ4AOFlATW8CodsQActh2NlRk5_He1VjKqxRf7GbHU-a_BYHi4DZm5Ax_iVkDyHaODlMw-Y7UVgxqg29zsFC_Mk36UWM84Tf6_QlgEXk0cSIfwJr5DqsvilcGonwIVNT7WSmNgCqKInzpaeuycyT2DXRPKRUD2wc7Xnu3P39r28VV4gyjQwbO"/>
    <hyperlink ref="R659" r:id="rId1775" display="https://www.youtube.com/watch?v=dsCo6pe6g7Q"/>
    <hyperlink ref="S659" r:id="rId1776" display="https://gld.legislaturacba.gob.ar/Publics/Actas.aspx?id=Z8gTtPMo0ms="/>
    <hyperlink ref="Q660" r:id="rId1777" display="https://gld.legislaturacba.gob.ar/_cdd/api/Documento/descargar?guid=b2813e73-fa43-4c3f-9bb0-6e6dc9c88d47&amp;token=4oQ5dYGgacrp_1YuZUZLTNxoSHUEN4c1Vnk9dOPd1beVpokZqIIQIOGGkwU44Tk0M6H7FddGdUvuQ4AOFlATW8CodsQActh2NlRk5_He1VjKqxRf7GbHU-a_BYHi4DZm5Ax_iVkDyHaODlMw-Y7UVgxqg29zsFC_Mk36UWM84Tf6_QlgEXk0cSIfwJr5DqsvilcGonwIVNT7WSmNgCqKInzpaeuycyT2DXRPKRUD2wc7Xnu3P39r28VV4gyjQwbO"/>
    <hyperlink ref="R660" r:id="rId1778" display="https://www.youtube.com/watch?v=Iv7DMUMy-a8"/>
    <hyperlink ref="S660" r:id="rId1779" display="https://gld.legislaturacba.gob.ar/Publics/Actas.aspx?id=V7PkwWLummw="/>
    <hyperlink ref="Q661" r:id="rId1780" display="https://gld.legislaturacba.gob.ar/_cdd/api/Documento/descargar?guid=a6ea3ced-bef5-41fe-95d2-c58b77fb5ad6&amp;token=_StPyoT4g3gzPFLo1yrV3dXBUcJM0GWcGfVipvgJngaHfboZd8bh1CysuzxbSa0_3ewD8f0ta86IIrwLMPVZOzmgs3Cx_VCFsN5Lu6rlo86wCCsewRjP5sO0yQQua59K9sDhi8JbEiyH0sKaWV9TIGe5QKNfea29R_L2lHCNfz6TBTlRg_TPn_898sF80qZQiu6gSk4Yr3L3OTp--ZL79ys2b-Qs35IrabDKKtJ3IxJZ4ElpoAsISrLdzlPiJQLa"/>
    <hyperlink ref="R661" r:id="rId1781" display="https://www.youtube.com/watch?v=P0UD-8wJH0Q"/>
    <hyperlink ref="S661" r:id="rId1782" display="https://gld.legislaturacba.gob.ar/Publics/Actas.aspx?id=r_oY0tkZt7A=;https://gld.legislaturacba.gob.ar/Publics/Actas.aspx?id=B6bcDLYqq0Q="/>
    <hyperlink ref="Q662" r:id="rId1783" display="https://gld.legislaturacba.gob.ar/_cdd/api/Documento/descargar?guid=3877e774-06e7-4615-8f04-cb5857b545dd&amp;token=_StPyoT4g3gzPFLo1yrV3dXBUcJM0GWcGfVipvgJngaHfboZd8bh1CysuzxbSa0_3ewD8f0ta86IIrwLMPVZOzmgs3Cx_VCFsN5Lu6rlo86wCCsewRjP5sO0yQQua59K9sDhi8JbEiyH0sKaWV9TIGe5QKNfea29R_L2lHCNfz6TBTlRg_TPn_898sF80qZQiu6gSk4Yr3L3OTp--ZL79ys2b-Qs35IrabDKKtJ3IxJZ4ElpoAsISrLdzlPiJQLa"/>
    <hyperlink ref="R662" r:id="rId1784" display="https://www.youtube.com/watch?v=bTCR6T4lX84"/>
    <hyperlink ref="S662" r:id="rId1785" display="https://gld.legislaturacba.gob.ar/Publics/Actas.aspx?id=ozd88n9ynXA="/>
    <hyperlink ref="Q663" r:id="rId1786" display="https://gld.legislaturacba.gob.ar/_cdd/api/Documento/descargar?guid=3c9eaa03-ba22-4fcd-a76e-c7199c5afb19&amp;token=4oQ5dYGgacrp_1YuZUZLTNxoSHUEN4c1Vnk9dOPd1beVpokZqIIQIOGGkwU44Tk0M6H7FddGdUvuQ4AOFlATW8CodsQActh2NlRk5_He1VjKqxRf7GbHU-a_BYHi4DZm5Ax_iVkDyHaODlMw-Y7UVgxqg29zsFC_Mk36UWM84Tf6_QlgEXk0cSIfwJr5DqsvilcGonwIVNT7WSmNgCqKInzpaeuycyT2DXRPKRUD2wc7Xnu3P39r28VV4gyjQwbO"/>
    <hyperlink ref="R663" r:id="rId1787" display="https://www.youtube.com/watch?v=Qdy0hq-8z1E"/>
    <hyperlink ref="S663" r:id="rId1788" display="https://gld.legislaturacba.gob.ar/Publics/Actas.aspx?id=ZqO5QdfCCxE="/>
    <hyperlink ref="Q664" r:id="rId1789" display="https://gld.legislaturacba.gob.ar/_cdd/api/Documento/descargar?guid=0ce8c9cd-71a9-4da7-9960-bdb0399bea3a&amp;token=4oQ5dYGgacrp_1YuZUZLTNxoSHUEN4c1Vnk9dOPd1beVpokZqIIQIOGGkwU44Tk0M6H7FddGdUvuQ4AOFlATW8CodsQActh2NlRk5_He1VjKqxRf7GbHU-a_BYHi4DZm5Ax_iVkDyHaODlMw-Y7UVgxqg29zsFC_Mk36UWM84Tf6_QlgEXk0cSIfwJr5DqsvilcGonwIVNT7WSmNgCqKInzpaeuycyT2DXRPKRUD2wc7Xnu3P39r28VV4gyjQwbO"/>
    <hyperlink ref="R664" r:id="rId1790" display="https://www.youtube.com/watch?v=fEl4z4pIa8s"/>
    <hyperlink ref="S664" r:id="rId1791" display="https://gld.legislaturacba.gob.ar/Publics/Actas.aspx?id=0M4tz8lt6qw="/>
    <hyperlink ref="Q665" r:id="rId1792" display="https://gld.legislaturacba.gob.ar/_cdd/api/Documento/descargar?guid=3187770a-d55e-4058-9b36-a14a5b1099a5&amp;token=4oQ5dYGgacrp_1YuZUZLTNxoSHUEN4c1Vnk9dOPd1beVpokZqIIQIOGGkwU44Tk0M6H7FddGdUvuQ4AOFlATW8CodsQActh2NlRk5_He1VjKqxRf7GbHU-a_BYHi4DZm5Ax_iVkDyHaODlMw-Y7UVgxqg29zsFC_Mk36UWM84Tf6_QlgEXk0cSIfwJr5DqsvilcGonwIVNT7WSmNgCqKInzpaeuycyT2DXRPKRUD2wc7Xnu3P39r28VV4gyjQwbO"/>
    <hyperlink ref="R665" r:id="rId1793" display="https://www.youtube.com/watch?v=4KqKguVI5vQ"/>
    <hyperlink ref="S665" r:id="rId1794" display="https://gld.legislaturacba.gob.ar/Publics/Actas.aspx?id=dktoq6sh_3A="/>
    <hyperlink ref="Q666" r:id="rId1795" display="https://gld.legislaturacba.gob.ar/_cdd/api/Documento/descargar?guid=783468e2-bb29-4734-a5ee-e0afb75e9314&amp;token=4oQ5dYGgacrp_1YuZUZLTNxoSHUEN4c1Vnk9dOPd1beVpokZqIIQIOGGkwU44Tk0M6H7FddGdUvuQ4AOFlATW8CodsQActh2NlRk5_He1VjKqxRf7GbHU-a_BYHi4DZm5Ax_iVkDyHaODlMw-Y7UVgxqg29zsFC_Mk36UWM84Tf6_QlgEXk0cSIfwJr5DqsvilcGonwIVNT7WSmNgCqKInzpaeuycyT2DXRPKRUD2wc7Xnu3P39r28VV4gyjQwbO"/>
    <hyperlink ref="R666" r:id="rId1796" display="https://www.youtube.com/watch?v=I_DnH6ZjUkQ"/>
    <hyperlink ref="S666" r:id="rId1797" display="https://gld.legislaturacba.gob.ar/Publics/Actas.aspx?id=3QEtuA80A5U="/>
    <hyperlink ref="Q667" r:id="rId1798" display="https://gld.legislaturacba.gob.ar/_cdd/api/Documento/descargar?guid=78f4a089-f115-4ba1-976d-7e460912507f&amp;token=_StPyoT4g3gzPFLo1yrV3dXBUcJM0GWcGfVipvgJngaHfboZd8bh1CysuzxbSa0_3ewD8f0ta86IIrwLMPVZOzmgs3Cx_VCFsN5Lu6rlo86wCCsewRjP5sO0yQQua59K9sDhi8JbEiyH0sKaWV9TIGe5QKNfea29R_L2lHCNfz6TBTlRg_TPn_898sF80qZQiu6gSk4Yr3L3OTp--ZL79ys2b-Qs35IrabDKKtJ3IxJZ4ElpoAsISrLdzlPiJQLa"/>
    <hyperlink ref="R667" r:id="rId1799" display="https://www.youtube.com/watch?v=mn02SG_zkZg"/>
    <hyperlink ref="S667" r:id="rId1800" display="https://gld.legislaturacba.gob.ar/Publics/Actas.aspx?id=VeylO_3KBTE="/>
    <hyperlink ref="Q668" r:id="rId1801" display="https://gld.legislaturacba.gob.ar/_cdd/api/Documento/descargar?guid=0da34b1d-a465-4946-9982-8e6af3c9425c&amp;token=4oQ5dYGgacrp_1YuZUZLTNxoSHUEN4c1Vnk9dOPd1beVpokZqIIQIOGGkwU44Tk0M6H7FddGdUvuQ4AOFlATW8CodsQActh2NlRk5_He1VjKqxRf7GbHU-a_BYHi4DZm5Ax_iVkDyHaODlMw-Y7UVgxqg29zsFC_Mk36UWM84Tf6_QlgEXk0cSIfwJr5DqsvilcGonwIVNT7WSmNgCqKInzpaeuycyT2DXRPKRUD2wc7Xnu3P39r28VV4gyjQwbO"/>
    <hyperlink ref="R668" r:id="rId1802" display="https://www.youtube.com/watch?v=Nc1KP6_cm-U"/>
    <hyperlink ref="S668" r:id="rId1803" display="https://gld.legislaturacba.gob.ar/Publics/Actas.aspx?id=T-RA1y7D3Ww="/>
    <hyperlink ref="S669" r:id="rId1804" display="https://gld.legislaturacba.gob.ar/Publics/Actas.aspx?id=kvhAyvHGT28=;https://gld.legislaturacba.gob.ar/Publics/Actas.aspx?id=QAMrCSS2804=;https://gld.legislaturacba.gob.ar/Publics/Actas.aspx?id=BCBlV9g1fKE="/>
    <hyperlink ref="Q670" r:id="rId1805" display="https://gld.legislaturacba.gob.ar/_cdd/api/Documento/descargar?guid=f5778049-e4b9-4153-aede-c96c4c379e77&amp;token=_StPyoT4g3gzPFLo1yrV3dXBUcJM0GWcGfVipvgJngaHfboZd8bh1CysuzxbSa0_3ewD8f0ta86IIrwLMPVZOzmgs3Cx_VCFsN5Lu6rlo86wCCsewRjP5sO0yQQua59K9sDhi8JbEiyH0sKaWV9TIGe5QKNfea29R_L2lHCNfz6TBTlRg_TPn_898sF80qZQiu6gSk4Yr3L3OTp--ZL79ys2b-Qs35IrabDKKtJ3IxJZ4ElpoAsISrLdzlPiJQLa"/>
    <hyperlink ref="R670" r:id="rId1806" display="https://www.youtube.com/watch?v=N1mekePlvfU"/>
    <hyperlink ref="S670" r:id="rId1807" display="https://gld.legislaturacba.gob.ar/Publics/Actas.aspx?id=BYe-zBLD-cE="/>
    <hyperlink ref="Q671" r:id="rId1808" display="https://gld.legislaturacba.gob.ar/_cdd/api/Documento/descargar?guid=6e5aa4c0-0634-4bf8-b6ef-9a920f699f07&amp;token=_StPyoT4g3gzPFLo1yrV3dXBUcJM0GWcGfVipvgJngaHfboZd8bh1CysuzxbSa0_3ewD8f0ta86IIrwLMPVZOzmgs3Cx_VCFsN5Lu6rlo86wCCsewRjP5sO0yQQua59K9sDhi8JbEiyH0sKaWV9TIGe5QKNfea29R_L2lHCNfz6TBTlRg_TPn_898sF80qZQiu6gSk4Yr3L3OTp--ZL79ys2b-Qs35IrabDKKtJ3IxJZ4ElpoAsISrLdzlPiJQLa"/>
    <hyperlink ref="R671" r:id="rId1809" display="https://www.youtube.com/watch?v=KTg6feO58e4"/>
    <hyperlink ref="S671" r:id="rId1810" display="https://gld.legislaturacba.gob.ar/Publics/Actas.aspx?id=PWPQHaKv77c="/>
    <hyperlink ref="Q672" r:id="rId1811" display="https://gld.legislaturacba.gob.ar/_cdd/api/Documento/descargar?guid=9dc6a8ca-8b28-4851-94f3-0618a484efbe&amp;token=_StPyoT4g3gzPFLo1yrV3dXBUcJM0GWcGfVipvgJngaHfboZd8bh1CysuzxbSa0_3ewD8f0ta86IIrwLMPVZOzmgs3Cx_VCFsN5Lu6rlo86wCCsewRjP5sO0yQQua59K9sDhi8JbEiyH0sKaWV9TIGe5QKNfea29R_L2lHCNfz6TBTlRg_TPn_898sF80qZQiu6gSk4Yr3L3OTp--ZL79ys2b-Qs35IrabDKKtJ3IxJZ4ElpoAsISrLdzlPiJQLa"/>
    <hyperlink ref="R672" r:id="rId1812" display="https://www.youtube.com/watch?v=q74DYCrTEGc"/>
    <hyperlink ref="S672" r:id="rId1813" display="https://gld.legislaturacba.gob.ar/Publics/Actas.aspx?id=sgu0b_DBy18="/>
    <hyperlink ref="Q673" r:id="rId1814" display="https://gld.legislaturacba.gob.ar/_cdd/api/Documento/descargar?guid=2143f9f1-c869-4ebc-8762-51af559541bb&amp;token=_StPyoT4g3gzPFLo1yrV3dXBUcJM0GWcGfVipvgJngaHfboZd8bh1CysuzxbSa0_3ewD8f0ta86IIrwLMPVZOzmgs3Cx_VCFsN5Lu6rlo86wCCsewRjP5sO0yQQua59K9sDhi8JbEiyH0sKaWV9TIGe5QKNfea29R_L2lHCNfz6TBTlRg_TPn_898sF80qZQiu6gSk4Yr3L3OTp--ZL79ys2b-Qs35IrabDKKtJ3IxJZ4ElpoAsISrLdzlPiJQLa"/>
    <hyperlink ref="R673" r:id="rId1815" display="https://www.youtube.com/watch?v=qrwK4xJ10hs"/>
    <hyperlink ref="S673" r:id="rId1816" display="https://gld.legislaturacba.gob.ar/Publics/Actas.aspx?id=rI-Wju-o9Lw="/>
    <hyperlink ref="Q674" r:id="rId1817" display="https://gld.legislaturacba.gob.ar/_cdd/api/Documento/descargar?guid=0feb474c-55d9-4398-bf4d-599a643cd0b7&amp;token=_StPyoT4g3gzPFLo1yrV3dXBUcJM0GWcGfVipvgJngaHfboZd8bh1CysuzxbSa0_3ewD8f0ta86IIrwLMPVZOzmgs3Cx_VCFsN5Lu6rlo86wCCsewRjP5sO0yQQua59K9sDhi8JbEiyH0sKaWV9TIGe5QKNfea29R_L2lHCNfz6TBTlRg_TPn_898sF80qZQiu6gSk4Yr3L3OTp--ZL79ys2b-Qs35IrabDKKtJ3IxJZ4ElpoAsISrLdzlPiJQLa"/>
    <hyperlink ref="R674" r:id="rId1818" display="https://www.youtube.com/watch?v=0FThba7H7Sk"/>
    <hyperlink ref="S674" r:id="rId1819" display="https://gld.legislaturacba.gob.ar/Publics/Actas.aspx?id=uFx4CgbAQ7s="/>
    <hyperlink ref="Q675" r:id="rId1820" display="https://gld.legislaturacba.gob.ar/_cdd/api/Documento/descargar?guid=8496584f-cb0b-413e-bfae-9078dece3381&amp;token=_StPyoT4g3gzPFLo1yrV3dXBUcJM0GWcGfVipvgJngaHfboZd8bh1CysuzxbSa0_3ewD8f0ta86IIrwLMPVZOzmgs3Cx_VCFsN5Lu6rlo86wCCsewRjP5sO0yQQua59K9sDhi8JbEiyH0sKaWV9TIGe5QKNfea29R_L2lHCNfz6TBTlRg_TPn_898sF80qZQiu6gSk4Yr3L3OTp--ZL79ys2b-Qs35IrabDKKtJ3IxJZ4ElpoAsISrLdzlPiJQLa"/>
    <hyperlink ref="R675" r:id="rId1821" display="https://www.youtube.com/watch?v=atY_oJBj4os"/>
    <hyperlink ref="S675" r:id="rId1822" display="https://gld.legislaturacba.gob.ar/Publics/Actas.aspx?id=pq8n04c-NLQ="/>
    <hyperlink ref="Q676" r:id="rId1823" display="https://gld.legislaturacba.gob.ar/_cdd/api/Documento/descargar?guid=ab024894-5981-4d04-a384-607938f44544&amp;token=_StPyoT4g3gzPFLo1yrV3dXBUcJM0GWcGfVipvgJngaHfboZd8bh1CysuzxbSa0_3ewD8f0ta86IIrwLMPVZOzmgs3Cx_VCFsN5Lu6rlo86wCCsewRjP5sO0yQQua59K9sDhi8JbEiyH0sKaWV9TIGe5QKNfea29R_L2lHCNfz6TBTlRg_TPn_898sF80qZQiu6gSk4Yr3L3OTp--ZL79ys2b-Qs35IrabDKKtJ3IxJZ4ElpoAsISrLdzlPiJQLa"/>
    <hyperlink ref="R676" r:id="rId1824" display="https://www.youtube.com/watch?v=X_WbYExIZ58"/>
    <hyperlink ref="S676" r:id="rId1825" display="https://gld.legislaturacba.gob.ar/Publics/Actas.aspx?id=77akFJ2p7bc="/>
    <hyperlink ref="Q677" r:id="rId1826" display="https://gld.legislaturacba.gob.ar/_cdd/api/Documento/descargar?guid=c4768d39-3806-4311-8987-87ee9ec521e9&amp;token=_StPyoT4g3gzPFLo1yrV3dXBUcJM0GWcGfVipvgJngaHfboZd8bh1CysuzxbSa0_3ewD8f0ta86IIrwLMPVZOzmgs3Cx_VCFsN5Lu6rlo86wCCsewRjP5sO0yQQua59K9sDhi8JbEiyH0sKaWV9TIGe5QKNfea29R_L2lHCNfz6TBTlRg_TPn_898sF80qZQiu6gSk4Yr3L3OTp--ZL79ys2b-Qs35IrabDKKtJ3IxJZ4ElpoAsISrLdzlPiJQLa"/>
    <hyperlink ref="R677" r:id="rId1827" display="https://www.youtube.com/watch?v=nzvTQ6qYE6E"/>
    <hyperlink ref="S677" r:id="rId1828" display="https://gld.legislaturacba.gob.ar/Publics/Actas.aspx?id=cofQnHSqY84="/>
    <hyperlink ref="Q678" r:id="rId1829" display="https://gld.legislaturacba.gob.ar/_cdd/api/Documento/descargar?guid=5dd0259f-946a-4649-83fa-2ea62982bf28&amp;token=_StPyoT4g3gzPFLo1yrV3dXBUcJM0GWcGfVipvgJngaHfboZd8bh1CysuzxbSa0_3ewD8f0ta86IIrwLMPVZOzmgs3Cx_VCFsN5Lu6rlo86wCCsewRjP5sO0yQQua59K9sDhi8JbEiyH0sKaWV9TIGe5QKNfea29R_L2lHCNfz6TBTlRg_TPn_898sF80qZQiu6gSk4Yr3L3OTp--ZL79ys2b-Qs35IrabDKKtJ3IxJZ4ElpoAsISrLdzlPiJQLa"/>
    <hyperlink ref="R678" r:id="rId1830" display="https://www.youtube.com/watch?v=AOtZ9nbt4iA"/>
    <hyperlink ref="S678" r:id="rId1831" display="https://gld.legislaturacba.gob.ar/Publics/Actas.aspx?id=CZn94RQiBpE="/>
    <hyperlink ref="Q679" r:id="rId1832" display="https://gld.legislaturacba.gob.ar/_cdd/api/Documento/descargar?guid=765ca23d-fdad-4f48-9cef-c5ffc3f62767&amp;token=_StPyoT4g3gzPFLo1yrV3dXBUcJM0GWcGfVipvgJngaHfboZd8bh1CysuzxbSa0_3ewD8f0ta86IIrwLMPVZOzmgs3Cx_VCFsN5Lu6rlo86wCCsewRjP5sO0yQQua59K9sDhi8JbEiyH0sKaWV9TIGe5QKNfea29R_L2lHCNfz6TBTlRg_TPn_898sF80qZQiu6gSk4Yr3L3OTp--ZL79ys2b-Qs35IrabDKKtJ3IxJZ4ElpoAsISrLdzlPiJQLa"/>
    <hyperlink ref="R679" r:id="rId1833" display="https://www.youtube.com/watch?v=ej7xQoOqer4"/>
    <hyperlink ref="S679" r:id="rId1834" display="https://gld.legislaturacba.gob.ar/Publics/Actas.aspx?id=CZn94RQiBpE="/>
    <hyperlink ref="R680" r:id="rId1835" display="https://www.youtube.com/watch?v=MqUNEle30J0"/>
    <hyperlink ref="S680" r:id="rId1836" display="https://gld.legislaturacba.gob.ar/Publics/Actas.aspx?id=YJ_CB0jMcr8="/>
    <hyperlink ref="Q681" r:id="rId1837" display="https://gld.legislaturacba.gob.ar/_cdd/api/Documento/descargar?guid=3c2a2ef0-606c-4532-9997-22bfeb6a0366&amp;token=_StPyoT4g3gzPFLo1yrV3dXBUcJM0GWcGfVipvgJngaHfboZd8bh1CysuzxbSa0_3ewD8f0ta86IIrwLMPVZOzmgs3Cx_VCFsN5Lu6rlo86wCCsewRjP5sO0yQQua59K9sDhi8JbEiyH0sKaWV9TIGe5QKNfea29R_L2lHCNfz6TBTlRg_TPn_898sF80qZQiu6gSk4Yr3L3OTp--ZL79ys2b-Qs35IrabDKKtJ3IxJZ4ElpoAsISrLdzlPiJQLa"/>
    <hyperlink ref="R681" r:id="rId1838" display="https://www.youtube.com/watch?v=nKbcyI0ptWI"/>
    <hyperlink ref="S681" r:id="rId1839" display="https://gld.legislaturacba.gob.ar/Publics/Actas.aspx?id=U1pTdO0rcdA="/>
    <hyperlink ref="Q682" r:id="rId1840" display="https://gld.legislaturacba.gob.ar/_cdd/api/Documento/descargar?guid=f60aee21-59bb-4ab6-892b-14c9634ec8b4&amp;token=_StPyoT4g3gzPFLo1yrV3dXBUcJM0GWcGfVipvgJngaHfboZd8bh1CysuzxbSa0_3ewD8f0ta86IIrwLMPVZOzmgs3Cx_VCFsN5Lu6rlo86wCCsewRjP5sO0yQQua59K9sDhi8JbEiyH0sKaWV9TIGe5QKNfea29R_L2lHCNfz6TBTlRg_TPn_898sF80qZQiu6gSk4Yr3L3OTp--ZL79ys2b-Qs35IrabDKKtJ3IxJZ4ElpoAsISrLdzlPiJQLa"/>
    <hyperlink ref="R682" r:id="rId1841" display="https://gld.legislaturacba.gob.ar/Publics/Actas.aspx?id=03kGqwLPde8="/>
    <hyperlink ref="S682" r:id="rId1842" display="https://www.youtube.com/watch?v=rAyQ3lKN55k"/>
    <hyperlink ref="Q683" r:id="rId1843" display="https://gld.legislaturacba.gob.ar/_cdd/api/Documento/descargar?guid=589d1713-fdfb-4fbb-a208-debb5db5d766&amp;token=_StPyoT4g3gzPFLo1yrV3dXBUcJM0GWcGfVipvgJngaHfboZd8bh1CysuzxbSa0_3ewD8f0ta86IIrwLMPVZOzmgs3Cx_VCFsN5Lu6rlo86wCCsewRjP5sO0yQQua59K9sDhi8JbEiyH0sKaWV9TIGe5QKNfea29R_L2lHCNfz6TBTlRg_TPn_898sF80qZQiu6gSk4Yr3L3OTp--ZL79ys2b-Qs35IrabDKKtJ3IxJZ4ElpoAsISrLdzlPiJQLa"/>
    <hyperlink ref="R683" r:id="rId1844" display="https://www.youtube.com/watch?v=P8hU9Mealjk"/>
    <hyperlink ref="S683" r:id="rId1845" display="https://gld.legislaturacba.gob.ar/Publics/Actas.aspx?id=P-CRB3pQlh8="/>
    <hyperlink ref="Q684" r:id="rId1846" display="https://gld.legislaturacba.gob.ar/_cdd/api/Documento/descargar?guid=b4d5d209-2a80-47fa-81b3-cef84ef3b4e7&amp;token=_StPyoT4g3gzPFLo1yrV3dXBUcJM0GWcGfVipvgJngaHfboZd8bh1CysuzxbSa0_3ewD8f0ta86IIrwLMPVZOzmgs3Cx_VCFsN5Lu6rlo86wCCsewRjP5sO0yQQua59K9sDhi8JbEiyH0sKaWV9TIGe5QKNfea29R_L2lHCNfz6TBTlRg_TPn_898sF80qZQiu6gSk4Yr3L3OTp--ZL79ys2b-Qs35IrabDKKtJ3IxJZ4ElpoAsISrLdzlPiJQLa"/>
    <hyperlink ref="R684" r:id="rId1847" display="https://www.youtube.com/watch?v=JKyGDE7Ct9Q"/>
    <hyperlink ref="S684" r:id="rId1848" display="https://gld.legislaturacba.gob.ar/Publics/Actas.aspx?id=wTMQnXOn_A0=;https://gld.legislaturacba.gob.ar/Publics/Actas.aspx?id=XHPgz72QTNk=;https://gld.legislaturacba.gob.ar/Publics/Actas.aspx?id=KYmTUHFV7u8="/>
    <hyperlink ref="Q685" r:id="rId1849" display="https://gld.legislaturacba.gob.ar/_cdd/api/Documento/descargar?guid=2a2871a5-a9b3-4265-a16b-f7f74d193a0f&amp;token=_StPyoT4g3gzPFLo1yrV3dXBUcJM0GWcGfVipvgJngaHfboZd8bh1CysuzxbSa0_3ewD8f0ta86IIrwLMPVZOzmgs3Cx_VCFsN5Lu6rlo86wCCsewRjP5sO0yQQua59K9sDhi8JbEiyH0sKaWV9TIGe5QKNfea29R_L2lHCNfz6TBTlRg_TPn_898sF80qZQiu6gSk4Yr3L3OTp--ZL79ys2b-Qs35IrabDKKtJ3IxJZ4ElpoAsISrLdzlPiJQLa"/>
    <hyperlink ref="S685" r:id="rId1850" display="https://gld.legislaturacba.gob.ar/Publics/Actas.aspx?id=KTpD1SQdoIo="/>
    <hyperlink ref="Q686" r:id="rId1851" display="https://gld.legislaturacba.gob.ar/_cdd/api/Documento/descargar?guid=7ff018d1-129a-4e85-a74c-7b57adbc4be9&amp;token=_StPyoT4g3gzPFLo1yrV3dXBUcJM0GWcGfVipvgJngaHfboZd8bh1CysuzxbSa0_3ewD8f0ta86IIrwLMPVZOzmgs3Cx_VCFsN5Lu6rlo86wCCsewRjP5sO0yQQua59K9sDhi8JbEiyH0sKaWV9TIGe5QKNfea29R_L2lHCNfz6TBTlRg_TPn_898sF80qZQiu6gSk4Yr3L3OTp--ZL79ys2b-Qs35IrabDKKtJ3IxJZ4ElpoAsISrLdzlPiJQLa"/>
    <hyperlink ref="S686" r:id="rId1852" display="https://gld.legislaturacba.gob.ar/Publics/Actas.aspx?id=GqX_5gxYXgM=;https://gld.legislaturacba.gob.ar/Publics/Actas.aspx?id=zXA0wDRcOXg="/>
    <hyperlink ref="Q687" r:id="rId1853" display="https://gld.legislaturacba.gob.ar/_cdd/api/Documento/descargar?guid=1936311f-3a95-4894-b416-b14c266107fd&amp;token=_StPyoT4g3gzPFLo1yrV3dXBUcJM0GWcGfVipvgJngaHfboZd8bh1CysuzxbSa0_3ewD8f0ta86IIrwLMPVZOzmgs3Cx_VCFsN5Lu6rlo86wCCsewRjP5sO0yQQua59K9sDhi8JbEiyH0sKaWV9TIGe5QKNfea29R_L2lHCNfz6TBTlRg_TPn_898sF80qZQiu6gSk4Yr3L3OTp--ZL79ys2b-Qs35IrabDKKtJ3IxJZ4ElpoAsISrLdzlPiJQLa"/>
    <hyperlink ref="R687" r:id="rId1854" display="https://www.youtube.com/watch?v=YALrkPtCwqw"/>
    <hyperlink ref="S687" r:id="rId1855" display="https://gld.legislaturacba.gob.ar/Publics/Actas.aspx?id=jaDcK5HEGuc=;https://gld.legislaturacba.gob.ar/Publics/Actas.aspx?id=OA-PIU3jVlg=;https://gld.legislaturacba.gob.ar/Publics/Actas.aspx?id=SCkf6oRxZhQ="/>
    <hyperlink ref="Q688" r:id="rId1856" display="https://gld.legislaturacba.gob.ar/_cdd/api/Documento/descargar?guid=3bbbbd7d-b4b5-4ef6-86e0-8cfe5ebdff7c&amp;token=_StPyoT4g3gzPFLo1yrV3dXBUcJM0GWcGfVipvgJngaHfboZd8bh1CysuzxbSa0_3ewD8f0ta86IIrwLMPVZOzmgs3Cx_VCFsN5Lu6rlo86wCCsewRjP5sO0yQQua59K9sDhi8JbEiyH0sKaWV9TIGe5QKNfea29R_L2lHCNfz6TBTlRg_TPn_898sF80qZQiu6gSk4Yr3L3OTp--ZL79ys2b-Qs35IrabDKKtJ3IxJZ4ElpoAsISrLdzlPiJQLa"/>
    <hyperlink ref="R688" r:id="rId1857" display="https://www.youtube.com/watch?v=sC1c01fBw8Q"/>
    <hyperlink ref="S688" r:id="rId1858" display="https://gld.legislaturacba.gob.ar/Publics/Actas.aspx?id=dZgwDOdpTcc="/>
    <hyperlink ref="Q689" r:id="rId1859" display="https://gld.legislaturacba.gob.ar/_cdd/api/Documento/descargar?guid=8b60ce30-3c5e-4597-beca-7c00e9f4fba6&amp;token=_StPyoT4g3gzPFLo1yrV3dXBUcJM0GWcGfVipvgJngaHfboZd8bh1CysuzxbSa0_3ewD8f0ta86IIrwLMPVZOzmgs3Cx_VCFsN5Lu6rlo86wCCsewRjP5sO0yQQua59K9sDhi8JbEiyH0sKaWV9TIGe5QKNfea29R_L2lHCNfz6TBTlRg_TPn_898sF80qZQiu6gSk4Yr3L3OTp--ZL79ys2b-Qs35IrabDKKtJ3IxJZ4ElpoAsISrLdzlPiJQLa"/>
    <hyperlink ref="R689" r:id="rId1860" display="https://www.youtube.com/watch?v=AVntnG6Pdxk"/>
    <hyperlink ref="S689" r:id="rId1861" display="https://gld.legislaturacba.gob.ar/Publics/Actas.aspx?id=Mk08PToRx0g=;https://gld.legislaturacba.gob.ar/Publics/Actas.aspx?id=lrBbScnVL1E=;https://gld.legislaturacba.gob.ar/Publics/Actas.aspx?id=Mk08PToRx0g="/>
    <hyperlink ref="Q690" r:id="rId1862" display="https://gld.legislaturacba.gob.ar/_cdd/api/Documento/descargar?guid=cb88de8e-5074-4aad-89f8-01fe0bf0fb3d&amp;token=_StPyoT4g3gzPFLo1yrV3dXBUcJM0GWcGfVipvgJngaHfboZd8bh1CysuzxbSa0_3ewD8f0ta86IIrwLMPVZOzmgs3Cx_VCFsN5Lu6rlo86wCCsewRjP5sO0yQQua59K9sDhi8JbEiyH0sKaWV9TIGe5QKNfea29R_L2lHCNfz6TBTlRg_TPn_898sF80qZQiu6gSk4Yr3L3OTp--ZL79ys2b-Qs35IrabDKKtJ3IxJZ4ElpoAsISrLdzlPiJQLa"/>
    <hyperlink ref="S690" r:id="rId1863" display="https://gld.legislaturacba.gob.ar/Publics/Actas.aspx?id=T_idxx1Wvd4=;https://gld.legislaturacba.gob.ar/Publics/Actas.aspx?id=1l0Zvqti13A="/>
    <hyperlink ref="Q691" r:id="rId1864" display="https://gld.legislaturacba.gob.ar/_cdd/api/Documento/descargar?guid=49677d06-871f-475e-8a5f-b65a9b185b95&amp;token=_StPyoT4g3gzPFLo1yrV3dXBUcJM0GWcGfVipvgJngaHfboZd8bh1CysuzxbSa0_3ewD8f0ta86IIrwLMPVZOzmgs3Cx_VCFsN5Lu6rlo86wCCsewRjP5sO0yQQua59K9sDhi8JbEiyH0sKaWV9TIGe5QKNfea29R_L2lHCNfz6TBTlRg_TPn_898sF80qZQiu6gSk4Yr3L3OTp--ZL79ys2b-Qs35IrabDKKtJ3IxJZ4ElpoAsISrLdzlPiJQLa"/>
    <hyperlink ref="R691" r:id="rId1865" display="https://www.youtube.com/watch?v=2gLsouC5en8"/>
    <hyperlink ref="S691" r:id="rId1866" display="https://gld.legislaturacba.gob.ar/Publics/Actas.aspx?id=hxOLQatsAHI=;https://gld.legislaturacba.gob.ar/Publics/Actas.aspx?id=GiDdtVCTzm8="/>
    <hyperlink ref="Q692" r:id="rId1867" display="https://gld.legislaturacba.gob.ar/_cdd/api/Documento/descargar?guid=d80140e5-cdf6-44f0-83fc-48fdacac66ee&amp;token=_StPyoT4g3gzPFLo1yrV3dXBUcJM0GWcGfVipvgJngaHfboZd8bh1CysuzxbSa0_3ewD8f0ta86IIrwLMPVZOzmgs3Cx_VCFsN5Lu6rlo86wCCsewRjP5sO0yQQua59K9sDhi8JbEiyH0sKaWV9TIGe5QKNfea29R_L2lHCNfz6TBTlRg_TPn_898sF80qZQiu6gSk4Yr3L3OTp--ZL79ys2b-Qs35IrabDKKtJ3IxJZ4ElpoAsISrLdzlPiJQLa"/>
    <hyperlink ref="R692" r:id="rId1868" display="https://www.youtube.com/watch?v=06GVseSwD4w"/>
    <hyperlink ref="S692" r:id="rId1869" display="https://gld.legislaturacba.gob.ar/Publics/Actas.aspx?id=508ZW6emrrk=;https://gld.legislaturacba.gob.ar/Publics/Actas.aspx?id=jAuWtXDRfOg=;https://gld.legislaturacba.gob.ar/Publics/Actas.aspx?id=-ojVCtNQpUY="/>
    <hyperlink ref="Q693" r:id="rId1870" display="https://gld.legislaturacba.gob.ar/_cdd/api/Documento/descargar?guid=3c4af2e1-f021-479d-a36b-5be30817de68&amp;token=_StPyoT4g3gzPFLo1yrV3dXBUcJM0GWcGfVipvgJngaHfboZd8bh1CysuzxbSa0_3ewD8f0ta86IIrwLMPVZOzmgs3Cx_VCFsN5Lu6rlo86wCCsewRjP5sO0yQQua59K9sDhi8JbEiyH0sKaWV9TIGe5QKNfea29R_L2lHCNfz6TBTlRg_TPn_898sF80qZQiu6gSk4Yr3L3OTp--ZL79ys2b-Qs35IrabDKKtJ3IxJZ4ElpoAsISrLdzlPiJQLa"/>
    <hyperlink ref="R693" r:id="rId1871" display="https://www.youtube.com/watch?v=Y8ewZxzBw6w"/>
    <hyperlink ref="S693" r:id="rId1872" display="https://gld.legislaturacba.gob.ar/Publics/Actas.aspx?id=U5gSrD5YMhA=;https://gld.legislaturacba.gob.ar/Publics/Actas.aspx?id=a6OHmrsqL3o="/>
    <hyperlink ref="Q694" r:id="rId1873" display="https://gld.legislaturacba.gob.ar/_cdd/api/Documento/descargar?guid=717df267-e40b-4bb6-8f41-00af27e9adcb&amp;token=_StPyoT4g3gzPFLo1yrV3dXBUcJM0GWcGfVipvgJngaHfboZd8bh1CysuzxbSa0_3ewD8f0ta86IIrwLMPVZOzmgs3Cx_VCFsN5Lu6rlo86wCCsewRjP5sO0yQQua59K9sDhi8JbEiyH0sKaWV9TIGe5QKNfea29R_L2lHCNfz6TBTlRg_TPn_898sF80qZQiu6gSk4Yr3L3OTp--ZL79ys2b-Qs35IrabDKKtJ3IxJZ4ElpoAsISrLdzlPiJQLa"/>
    <hyperlink ref="R694" r:id="rId1874" display="https://www.youtube.com/watch?v=l51lS1cLEWk"/>
    <hyperlink ref="S694" r:id="rId1875" display="https://gld.legislaturacba.gob.ar/Publics/Actas.aspx?id=GXaR9BqpPfk=;https://gld.legislaturacba.gob.ar/Publics/Actas.aspx?id=8iIOthmVQgM=;https://gld.legislaturacba.gob.ar/Publics/Actas.aspx?id=j7_Nd1mnVBc="/>
    <hyperlink ref="Q695" r:id="rId1876" display="https://gld.legislaturacba.gob.ar/_cdd/api/Documento/descargar?guid=78b9d0fa-ee8d-4254-a436-ce3ec46d3693&amp;token=_StPyoT4g3gzPFLo1yrV3dXBUcJM0GWcGfVipvgJngaHfboZd8bh1CysuzxbSa0_3ewD8f0ta86IIrwLMPVZOzmgs3Cx_VCFsN5Lu6rlo86wCCsewRjP5sO0yQQua59K9sDhi8JbEiyH0sKaWV9TIGe5QKNfea29R_L2lHCNfz6TBTlRg_TPn_898sF80qZQiu6gSk4Yr3L3OTp--ZL79ys2b-Qs35IrabDKKtJ3IxJZ4ElpoAsISrLdzlPiJQLa"/>
    <hyperlink ref="R695" r:id="rId1877" display="https://www.youtube.com/watch?v=p5cNu3Z53L0"/>
    <hyperlink ref="S695" r:id="rId1878" display="https://gld.legislaturacba.gob.ar/Publics/Actas.aspx?id=ozPghPo4spM=;https://gld.legislaturacba.gob.ar/Publics/Actas.aspx?id=F0U7XNDlbbw="/>
    <hyperlink ref="Q696" r:id="rId1879" display="https://gld.legislaturacba.gob.ar/_cdd/api/Documento/descargar?guid=a36da000-d58d-48e9-a423-44cfbac15c7f&amp;token=_StPyoT4g3gzPFLo1yrV3dXBUcJM0GWcGfVipvgJngaHfboZd8bh1CysuzxbSa0_3ewD8f0ta86IIrwLMPVZOzmgs3Cx_VCFsN5Lu6rlo86wCCsewRjP5sO0yQQua59K9sDhi8JbEiyH0sKaWV9TIGe5QKNfea29R_L2lHCNfz6TBTlRg_TPn_898sF80qZQiu6gSk4Yr3L3OTp--ZL79ys2b-Qs35IrabDKKtJ3IxJZ4ElpoAsISrLdzlPiJQLa"/>
    <hyperlink ref="S696" r:id="rId1880" display="https://gld.legislaturacba.gob.ar/Publics/Actas.aspx?id=YzxJt8vGEq0="/>
    <hyperlink ref="S697" r:id="rId1881" display="https://gld.legislaturacba.gob.ar/Publics/Actas.aspx?id=eIt4rSiGWnU="/>
    <hyperlink ref="Q698" r:id="rId1882" display="https://gld.legislaturacba.gob.ar/_cdd/api/Documento/descargar?guid=bad921a2-3e9a-4c99-970b-03b812dedef5&amp;token=_StPyoT4g3gzPFLo1yrV3dXBUcJM0GWcGfVipvgJngaHfboZd8bh1CysuzxbSa0_3ewD8f0ta86IIrwLMPVZOzmgs3Cx_VCFsN5Lu6rlo86wCCsewRjP5sO0yQQua59K9sDhi8JbEiyH0sKaWV9TIGe5QKNfea29R_L2lHCNfz6TBTlRg_TPn_898sF80qZQiu6gSk4Yr3L3OTp--ZL79ys2b-Qs35IrabDKKtJ3IxJZ4ElpoAsISrLdzlPiJQLa"/>
    <hyperlink ref="R698" r:id="rId1883" display="https://www.youtube.com/watch?v=O4sN6vpiaaA"/>
    <hyperlink ref="S698" r:id="rId1884" display="https://gld.legislaturacba.gob.ar/Publics/Actas.aspx?id=TgSiiAeUrcg=;https://gld.legislaturacba.gob.ar/Publics/Actas.aspx?id=1XoduSbfkXo=;https://gld.legislaturacba.gob.ar/Publics/Actas.aspx?id=X3Wm8TfEQ54="/>
    <hyperlink ref="Q699" r:id="rId1885" display="https://gld.legislaturacba.gob.ar/_cdd/api/Documento/descargar?guid=0ce04526-990a-45b0-ab81-a748028fd697&amp;token=_StPyoT4g3gzPFLo1yrV3dXBUcJM0GWcGfVipvgJngaHfboZd8bh1CysuzxbSa0_3ewD8f0ta86IIrwLMPVZOzmgs3Cx_VCFsN5Lu6rlo86wCCsewRjP5sO0yQQua59K9sDhi8JbEiyH0sKaWV9TIGe5QKNfea29R_L2lHCNfz6TBTlRg_TPn_898sF80qZQiu6gSk4Yr3L3OTp--ZL79ys2b-Qs35IrabDKKtJ3IxJZ4ElpoAsISrLdzlPiJQLa"/>
    <hyperlink ref="R699" r:id="rId1886" display="https://www.youtube.com/watch?v=Wy911CvDqdk"/>
    <hyperlink ref="S699" r:id="rId1887" display="https://gld.legislaturacba.gob.ar/Publics/Actas.aspx?id=jvFNcpyEgxU="/>
    <hyperlink ref="Q700" r:id="rId1888" display="https://gld.legislaturacba.gob.ar/_cdd/api/Documento/descargar?guid=bc4517c4-676c-488a-afa0-95113fe10b03&amp;token=_StPyoT4g3gzPFLo1yrV3dXBUcJM0GWcGfVipvgJngaHfboZd8bh1CysuzxbSa0_3ewD8f0ta86IIrwLMPVZOzmgs3Cx_VCFsN5Lu6rlo86wCCsewRjP5sO0yQQua59K9sDhi8JbEiyH0sKaWV9TIGe5QKNfea29R_L2lHCNfz6TBTlRg_TPn_898sF80qZQiu6gSk4Yr3L3OTp--ZL79ys2b-Qs35IrabDKKtJ3IxJZ4ElpoAsISrLdzlPiJQLa"/>
    <hyperlink ref="R700" r:id="rId1889" display="https://www.youtube.com/watch?time_continue=1&amp;v=_e02mqg2AMw&amp;feature=emb_logo"/>
    <hyperlink ref="S700" r:id="rId1890" display="https://gld.legislaturacba.gob.ar/Publics/Actas.aspx?id=5vHxuL67dEA=;https://gld.legislaturacba.gob.ar/Publics/Actas.aspx?id=d1H4C305EcY="/>
    <hyperlink ref="Q701" r:id="rId1891" display="https://gld.legislaturacba.gob.ar/_cdd/api/Documento/descargar?guid=0b3f6582-ba3a-4d8f-ae6f-e4a8da9a765b&amp;token=_StPyoT4g3gzPFLo1yrV3dXBUcJM0GWcGfVipvgJngaHfboZd8bh1CysuzxbSa0_3ewD8f0ta86IIrwLMPVZOzmgs3Cx_VCFsN5Lu6rlo86wCCsewRjP5sO0yQQua59K9sDhi8JbEiyH0sKaWV9TIGe5QKNfea29R_L2lHCNfz6TBTlRg_TPn_898sF80qZQiu6gSk4Yr3L3OTp--ZL79ys2b-Qs35IrabDKKtJ3IxJZ4ElpoAsISrLdzlPiJQLa"/>
    <hyperlink ref="R701" r:id="rId1892" display="https://www.youtube.com/watch?v=Da5GuV0dKxc"/>
    <hyperlink ref="S701" r:id="rId1893" display="https://gld.legislaturacba.gob.ar/Publics/Actas.aspx?id=0MEgQYxMuA8="/>
    <hyperlink ref="Q702" r:id="rId1894" display="https://gld.legislaturacba.gob.ar/_cdd/api/Documento/descargar?guid=7b08f31c-6de2-45b5-bea0-cfa27d05dfb8&amp;token=_StPyoT4g3gzPFLo1yrV3dXBUcJM0GWcGfVipvgJngaHfboZd8bh1CysuzxbSa0_3ewD8f0ta86IIrwLMPVZOzmgs3Cx_VCFsN5Lu6rlo86wCCsewRjP5sO0yQQua59K9sDhi8JbEiyH0sKaWV9TIGe5QKNfea29R_L2lHCNfz6TBTlRg_TPn_898sF80qZQiu6gSk4Yr3L3OTp--ZL79ys2b-Qs35IrabDKKtJ3IxJZ4ElpoAsISrLdzlPiJQLa"/>
    <hyperlink ref="S702" r:id="rId1895" display="https://gld.legislaturacba.gob.ar/Publics/Actas.aspx?id=M0MFidCBOXw=;https://gld.legislaturacba.gob.ar/Publics/Actas.aspx?id=wbGYaPKjYvg="/>
    <hyperlink ref="Q703" r:id="rId1896" display="https://gld.legislaturacba.gob.ar/_cdd/api/Documento/descargar?guid=1ebe9031-6da0-46a6-ab92-e6301524aa73&amp;token=_StPyoT4g3gzPFLo1yrV3dXBUcJM0GWcGfVipvgJngaHfboZd8bh1CysuzxbSa0_3ewD8f0ta86IIrwLMPVZOzmgs3Cx_VCFsN5Lu6rlo86wCCsewRjP5sO0yQQua59K9sDhi8JbEiyH0sKaWV9TIGe5QKNfea29R_L2lHCNfz6TBTlRg_TPn_898sF80qZQiu6gSk4Yr3L3OTp--ZL79ys2b-Qs35IrabDKKtJ3IxJZ4ElpoAsISrLdzlPiJQLa"/>
    <hyperlink ref="R703" r:id="rId1897" display="https://www.youtube.com/watch?v=yvwCIoIcgns"/>
    <hyperlink ref="S703" r:id="rId1898" display="https://gld.legislaturacba.gob.ar/Publics/Actas.aspx?id=0El0RZAZIwA="/>
    <hyperlink ref="Q704" r:id="rId1899" display="https://gld.legislaturacba.gob.ar/_cdd/api/Documento/descargar?guid=3a08d3d0-82ac-4381-9d1c-2879772604be&amp;token=_StPyoT4g3gzPFLo1yrV3dXBUcJM0GWcGfVipvgJngaHfboZd8bh1CysuzxbSa0_3ewD8f0ta86IIrwLMPVZOzmgs3Cx_VCFsN5Lu6rlo86wCCsewRjP5sO0yQQua59K9sDhi8JbEiyH0sKaWV9TIGe5QKNfea29R_L2lHCNfz6TBTlRg_TPn_898sF80qZQiu6gSk4Yr3L3OTp--ZL79ys2b-Qs35IrabDKKtJ3IxJZ4ElpoAsISrLdzlPiJQLa"/>
    <hyperlink ref="R704" r:id="rId1900" display="https://www.youtube.com/watch?v=s-lFYTMCcwY"/>
    <hyperlink ref="S704" r:id="rId1901" display="https://gld.legislaturacba.gob.ar/Publics/Actas.aspx?id=6RyHc34pvPQ=;https://gld.legislaturacba.gob.ar/Publics/Actas.aspx?id=lntnUHabJdg=;https://gld.legislaturacba.gob.ar/Publics/Actas.aspx?id=xXJzwDiTwBQ="/>
    <hyperlink ref="Q705" r:id="rId1902" display="https://gld.legislaturacba.gob.ar/_cdd/api/Documento/descargar?guid=e682a8be-00fb-4bb5-b4d7-ef5652a5e342&amp;token=WoR2RJEQksdwSrDvwIPai7S29wrw0dd78Qo3Z5iQpUfSphTHyzib9b6XShCE5o_V8TQk_y3JpxoEcXDQvLQzMmZzhhZcEFUQLLhZncSmpH27Ay93FAWieeYcTGD6Us9OPLLZGcZfI1p4mXizUHn1IbyqAl0KlVfd96mzCrduN6EuGhbwbo1AXyAmTxCfen19l_LGzHzUilKgwzMaeitCnG1ul1DWZpPHcozUL4m4sklqeIWWMEW-uIfmGmlEM5Jx"/>
    <hyperlink ref="S705" r:id="rId1903" display="https://gld.legislaturacba.gob.ar/Publics/Actas.aspx?id=cM-W_H8ab34="/>
    <hyperlink ref="Q706" r:id="rId1904" display="https://gld.legislaturacba.gob.ar/_cdd/api/Documento/descargar?guid=6a401fec-215d-45b1-b13d-af835586b193&amp;token=_StPyoT4g3gzPFLo1yrV3dXBUcJM0GWcGfVipvgJngaHfboZd8bh1CysuzxbSa0_3ewD8f0ta86IIrwLMPVZOzmgs3Cx_VCFsN5Lu6rlo86wCCsewRjP5sO0yQQua59K9sDhi8JbEiyH0sKaWV9TIGe5QKNfea29R_L2lHCNfz6TBTlRg_TPn_898sF80qZQiu6gSk4Yr3L3OTp--ZL79ys2b-Qs35IrabDKKtJ3IxJZ4ElpoAsISrLdzlPiJQLa"/>
    <hyperlink ref="R706" r:id="rId1905" display="https://www.youtube.com/watch?v=uTiJjnZZE_g"/>
    <hyperlink ref="S706" r:id="rId1906" display="https://gld.legislaturacba.gob.ar/Publics/Actas.aspx?id=-x3GAk6A9fE="/>
    <hyperlink ref="Q707" r:id="rId1907" display="https://gld.legislaturacba.gob.ar/_cdd/api/Documento/descargar?guid=112b7111-cde7-4f23-8972-06843d61c13c&amp;token=WoR2RJEQksdwSrDvwIPai7S29wrw0dd78Qo3Z5iQpUfSphTHyzib9b6XShCE5o_V8TQk_y3JpxoEcXDQvLQzMmZzhhZcEFUQLLhZncSmpH27Ay93FAWieeYcTGD6Us9OPLLZGcZfI1p4mXizUHn1IbyqAl0KlVfd96mzCrduN6EuGhbwbo1AXyAmTxCfen19l_LGzHzUilKgwzMaeitCnG1ul1DWZpPHcozUL4m4sklqeIWWMEW-uIfmGmlEM5Jx"/>
    <hyperlink ref="R707" r:id="rId1908" display="https://www.youtube.com/watch?v=608SwmAWfrs"/>
    <hyperlink ref="S707" r:id="rId1909" display="https://gld.legislaturacba.gob.ar/Publics/Actas.aspx?id=axBesQQtQ1g="/>
    <hyperlink ref="Q708" r:id="rId1910" display="https://gld.legislaturacba.gob.ar/_cdd/api/Documento/descargar?guid=005a6d38-889f-4ee6-bd0e-604f0921bc38&amp;token=WoR2RJEQksdwSrDvwIPai7S29wrw0dd78Qo3Z5iQpUfSphTHyzib9b6XShCE5o_V8TQk_y3JpxoEcXDQvLQzMmZzhhZcEFUQLLhZncSmpH27Ay93FAWieeYcTGD6Us9OPLLZGcZfI1p4mXizUHn1IbyqAl0KlVfd96mzCrduN6EuGhbwbo1AXyAmTxCfen19l_LGzHzUilKgwzMaeitCnG1ul1DWZpPHcozUL4m4sklqeIWWMEW-uIfmGmlEM5Jx"/>
    <hyperlink ref="R708" r:id="rId1911" display="https://www.youtube.com/watch?v=5gufZMVmZrU"/>
    <hyperlink ref="S708" r:id="rId1912" display="https://gld.legislaturacba.gob.ar/Publics/Actas.aspx?id=W8-WtYEZo3Y="/>
    <hyperlink ref="Q709" r:id="rId1913" display="https://gld.legislaturacba.gob.ar/Publics/Actas.aspx"/>
    <hyperlink ref="R709" r:id="rId1914" display="https://www.youtube.com/watch?v=ro_2IzPR0WM"/>
    <hyperlink ref="S709" r:id="rId1915" display="https://gld.legislaturacba.gob.ar/Publics/Actas.aspx?id=F6zYpE8Qy9U="/>
    <hyperlink ref="Q710" r:id="rId1916" display="https://gld.legislaturacba.gob.ar/_cdd/api/Documento/descargar?guid=e8b966e1-81f0-4c14-a5d6-bf5b62fea230&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0" r:id="rId1917" display="https://www.youtube.com/watch?v=4lqHyOYEf3c"/>
    <hyperlink ref="S710" r:id="rId1918" display="https://gld.legislaturacba.gob.ar/Publics/Actas.aspx?id=V-u35MzYZ3g="/>
    <hyperlink ref="Q711" r:id="rId1919" display="https://gld.legislaturacba.gob.ar/_cdd/api/Documento/descargar?guid=f8b66516-4a0b-4cbb-ada8-9864cdf82e4f&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1" r:id="rId1920" display="https://www.youtube.com/watch?v=FjC-m8cj4sY"/>
    <hyperlink ref="S711" r:id="rId1921" display="https://gld.legislaturacba.gob.ar/Publics/Actas.aspx?id=A6oGqZj-pg0="/>
    <hyperlink ref="Q712" r:id="rId1922" display="https://gld.legislaturacba.gob.ar/Publics/Actas.aspx"/>
    <hyperlink ref="R712" r:id="rId1923" display="https://www.youtube.com/watch?v=BemX7HhBQAk"/>
    <hyperlink ref="S712" r:id="rId1924" display="https://gld.legislaturacba.gob.ar/Publics/Actas.aspx?id=iPFMQmxbd4o="/>
    <hyperlink ref="Q713" r:id="rId1925" display="https://gld.legislaturacba.gob.ar/_cdd/api/Documento/descargar?guid=5bfe4695-1c07-48b7-a87b-cdbbb6a31d98&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3" r:id="rId1926" display="https://www.youtube.com/watch?v=Zw-EU1uE4Yw"/>
    <hyperlink ref="S713" r:id="rId1927" display="https://gld.legislaturacba.gob.ar/Publics/Actas.aspx?id=xMidq6EBdhc="/>
    <hyperlink ref="Q714" r:id="rId1928" display="https://gld.legislaturacba.gob.ar/_cdd/api/Documento/descargar?guid=43c2ec5b-d080-4038-880e-0b19e0b0e455&amp;token=WoR2RJEQksdwSrDvwIPai7S29wrw0dd78Qo3Z5iQpUfSphTHyzib9b6XShCE5o_V8TQk_y3JpxoEcXDQvLQzMmZzhhZcEFUQLLhZncSmpH27Ay93FAWieeYcTGD6Us9OPLLZGcZfI1p4mXizUHn1IbyqAl0KlVfd96mzCrduN6EuGhbwbo1AXyAmTxCfen19l_LGzHzUilKgwzMaeitCnG1ul1DWZpPHcozUL4m4sklqeIWWMEW-uIfmGmlEM5Jx"/>
    <hyperlink ref="S714" r:id="rId1929" display="https://gld.legislaturacba.gob.ar/Publics/Actas.aspx?id=5d_Q6uo9uww="/>
    <hyperlink ref="Q715" r:id="rId1930" display="https://gld.legislaturacba.gob.ar/_cdd/api/Documento/descargar?guid=6793f3da-6343-45eb-87b0-e8d38df101cb&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5" r:id="rId1931" display="https://www.youtube.com/watch?v=bmn0OD-gkXQ"/>
    <hyperlink ref="S715" r:id="rId1932" display="https://gld.legislaturacba.gob.ar/Publics/Actas.aspx?id=2r17P9AK8X4="/>
    <hyperlink ref="S716" r:id="rId1933" display="https://gld.legislaturacba.gob.ar/Publics/Actas.aspx?id=nULR_fOlIeY=;https://gld.legislaturacba.gob.ar/Publics/Actas.aspx?id=86PvTo4tIM0=;https://gld.legislaturacba.gob.ar/Publics/Actas.aspx?id=0K7jLVqcwm4=;https://gld.legislaturacba.gob.ar/Publics/Actas.aspx?id=ZrjN6rhiK4U="/>
    <hyperlink ref="Q717" r:id="rId1934" display="https://gld.legislaturacba.gob.ar/_cdd/api/Documento/descargar?guid=f7f61028-1ba0-42d9-9b82-1c0146cfd5e4&amp;token=WoR2RJEQksdwSrDvwIPai7S29wrw0dd78Qo3Z5iQpUfSphTHyzib9b6XShCE5o_V8TQk_y3JpxoEcXDQvLQzMmZzhhZcEFUQLLhZncSmpH27Ay93FAWieeYcTGD6Us9OPLLZGcZfI1p4mXizUHn1IbyqAl0KlVfd96mzCrduN6EuGhbwbo1AXyAmTxCfen19l_LGzHzUilKgwzMaeitCnG1ul1DWZpPHcozUL4m4sklqeIWWMEW-uIfmGmlEM5Jx"/>
    <hyperlink ref="S717" r:id="rId1935" display="https://gld.legislaturacba.gob.ar/Publics/Actas.aspx?id=bcKQ9fOHpgM="/>
    <hyperlink ref="Q718" r:id="rId1936" display="https://gld.legislaturacba.gob.ar/_cdd/api/Documento/descargar?guid=a222acf7-651c-4f07-816a-045198609d26&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8" r:id="rId1937" display="https://www.youtube.com/watch?v=jZhrwfp-dV8"/>
    <hyperlink ref="S718" r:id="rId1938" display="https://gld.legislaturacba.gob.ar/Publics/Actas.aspx?id=qPxCrPMhmEY="/>
    <hyperlink ref="Q719" r:id="rId1939" display="https://gld.legislaturacba.gob.ar/_cdd/api/Documento/descargar?guid=1bf7c3dd-cd8d-48eb-89d3-e8a0fdf544f3&amp;token=WoR2RJEQksdwSrDvwIPai7S29wrw0dd78Qo3Z5iQpUfSphTHyzib9b6XShCE5o_V8TQk_y3JpxoEcXDQvLQzMmZzhhZcEFUQLLhZncSmpH27Ay93FAWieeYcTGD6Us9OPLLZGcZfI1p4mXizUHn1IbyqAl0KlVfd96mzCrduN6EuGhbwbo1AXyAmTxCfen19l_LGzHzUilKgwzMaeitCnG1ul1DWZpPHcozUL4m4sklqeIWWMEW-uIfmGmlEM5Jx"/>
    <hyperlink ref="R719" r:id="rId1940" display="https://www.youtube.com/watch?v=UAvt1047MTk"/>
    <hyperlink ref="S719" r:id="rId1941" display="https://gld.legislaturacba.gob.ar/Publics/Actas.aspx?id=yguNm2F5GB8=;https://gld.legislaturacba.gob.ar/Publics/Actas.aspx?id=25A-vpkbhok=;https://gld.legislaturacba.gob.ar/Publics/Actas.aspx?id=U0DLw5__tFw="/>
    <hyperlink ref="Q720" r:id="rId1942" display="https://gld.legislaturacba.gob.ar/_cdd/api/Documento/descargar?guid=783f61cd-5b65-4c64-b5ab-9bdc115e5c6d&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0" r:id="rId1943" display="https://www.youtube.com/watch?v=LOEISRMcIaE"/>
    <hyperlink ref="S720" r:id="rId1944" display="https://gld.legislaturacba.gob.ar/Publics/Actas.aspx?id=53LSrSe3RL8="/>
    <hyperlink ref="Q721" r:id="rId1945" display="https://gld.legislaturacba.gob.ar/_cdd/api/Documento/descargar?guid=a86e9a3c-85e6-4c06-8f12-a40e91f202cc&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1" r:id="rId1946" display="https://www.youtube.com/watch?v=kxIc9HnZJX8"/>
    <hyperlink ref="S721" r:id="rId1947" display="https://gld.legislaturacba.gob.ar/Publics/Actas.aspx?id=pUjg1CubuL0="/>
    <hyperlink ref="Q722" r:id="rId1948" display="https://gld.legislaturacba.gob.ar/_cdd/api/Documento/descargar?guid=971f0d1c-2eb3-4f3d-8c81-81cc9ef9d6ba&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2" r:id="rId1949" display="https://www.youtube.com/watch?v=fXjIrFzDPjU"/>
    <hyperlink ref="S722" r:id="rId1950" display="https://gld.legislaturacba.gob.ar/Publics/Actas.aspx?id=dZ7dhF731Fc="/>
    <hyperlink ref="Q723" r:id="rId1951" display="https://gld.legislaturacba.gob.ar/_cdd/api/Documento/descargar?guid=fe404af4-c52f-450e-aa3a-a06017e786a6&amp;token=WoR2RJEQksdwSrDvwIPai7S29wrw0dd78Qo3Z5iQpUfSphTHyzib9b6XShCE5o_V8TQk_y3JpxoEcXDQvLQzMmZzhhZcEFUQLLhZncSmpH27Ay93FAWieeYcTGD6Us9OPLLZGcZfI1p4mXizUHn1IbyqAl0KlVfd96mzCrduN6EuGhbwbo1AXyAmTxCfen19l_LGzHzUilKgwzMaeitCnG1ul1DWZpPHcozUL4m4sklqeIWWMEW-uIfmGmlEM5Jx"/>
    <hyperlink ref="S723" r:id="rId1952" display="https://gld.legislaturacba.gob.ar/Publics/Actas.aspx?id=H4ptXP01yok="/>
    <hyperlink ref="Q724" r:id="rId1953" display="https://gld.legislaturacba.gob.ar/_cdd/api/Documento/descargar?guid=2b0047f1-af67-4225-a70a-814360caa433&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4" r:id="rId1954" display="https://www.youtube.com/watch?v=22izjlbs6Dc"/>
    <hyperlink ref="S724" r:id="rId1955" display="https://gld.legislaturacba.gob.ar/Publics/Actas.aspx?id=R5xpynoVFVg="/>
    <hyperlink ref="Q725" r:id="rId1956" display="https://gld.legislaturacba.gob.ar/_cdd/api/Documento/descargar?guid=8b55bb3c-03f0-45d1-8a5d-7edf79eb039f&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5" r:id="rId1957" display="https://www.youtube.com/watch?v=tClob1QsRQI"/>
    <hyperlink ref="S725" r:id="rId1958" display="https://gld.legislaturacba.gob.ar/Publics/Actas.aspx?id=-ZiT8_-kK1k=;https://gld.legislaturacba.gob.ar/Publics/Actas.aspx?id=pHOomACeSls=;https://gld.legislaturacba.gob.ar/Publics/Actas.aspx?id=AxR35nrgJfI="/>
    <hyperlink ref="Q726" r:id="rId1959" display="https://gld.legislaturacba.gob.ar/_cdd/api/Documento/descargar?guid=b5ba7233-0e15-435f-b971-1db5385c9080&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6" r:id="rId1960" display="https://www.youtube.com/watch?v=E36n8h7c1CA"/>
    <hyperlink ref="S726" r:id="rId1961" display="https://gld.legislaturacba.gob.ar/Publics/Actas.aspx?id=-ZiT8_-kK1k="/>
    <hyperlink ref="Q727" r:id="rId1962" display="https://gld.legislaturacba.gob.ar/_cdd/api/Documento/descargar?guid=5da57fe2-6f09-4dec-bdab-02241c26af0f&amp;token=WoR2RJEQksdwSrDvwIPai7S29wrw0dd78Qo3Z5iQpUfSphTHyzib9b6XShCE5o_V8TQk_y3JpxoEcXDQvLQzMmZzhhZcEFUQLLhZncSmpH27Ay93FAWieeYcTGD6Us9OPLLZGcZfI1p4mXizUHn1IbyqAl0KlVfd96mzCrduN6EuGhbwbo1AXyAmTxCfen19l_LGzHzUilKgwzMaeitCnG1ul1DWZpPHcozUL4m4sklqeIWWMEW-uIfmGmlEM5Jx"/>
    <hyperlink ref="R727" r:id="rId1963" display="https://www.youtube.com/watch?v=UGbZ-T87atw"/>
    <hyperlink ref="S727" r:id="rId1964" display="https://gld.legislaturacba.gob.ar/Publics/Actas.aspx?id=r0iJea1MX0I="/>
    <hyperlink ref="Q728" r:id="rId1965" display="https://gld.legislaturacba.gob.ar/_cdd/api/Documento/descargar?guid=f17d1326-791f-4099-ab0b-b7c44fa663fb&amp;token=ZP42TsOpSxg3XDd4AZoTZb1YnQlsWxEdpQOHFt44jAWa7sEFY_KcYxUIzrAsq_-aHs7h7pSUYB42pZvI5G6kJIM0h5gXVurM9obMMGrsecyToimrtuyYFwuUQr1BBF2JlPepcdN9IJSsjXrh0icFNF0Wgn9AMAsn4qGZ2mVhTnnAfXBRspDyHD0XNa3GAkxH_QmgZS6DrGacf-SHIs2yB-8-XkA6ojznsRfK9bD_28A_7vW6_fgraOEZ49Gy5PYh"/>
    <hyperlink ref="R728" r:id="rId1966" display="https://www.youtube.com/watch?v=BOr8zB7xM7w"/>
    <hyperlink ref="S728" r:id="rId1967" display="https://gld.legislaturacba.gob.ar/Publics/Actas.aspx?id=8ragWnSsIEM="/>
    <hyperlink ref="Q729" r:id="rId1968" display="https://gld.legislaturacba.gob.ar/_cdd/api/Documento/descargar?guid=81429eaa-126a-4230-9cab-8245a967726e&amp;token=ZP42TsOpSxg3XDd4AZoTZb1YnQlsWxEdpQOHFt44jAWa7sEFY_KcYxUIzrAsq_-aHs7h7pSUYB42pZvI5G6kJIM0h5gXVurM9obMMGrsecyToimrtuyYFwuUQr1BBF2JlPepcdN9IJSsjXrh0icFNF0Wgn9AMAsn4qGZ2mVhTnnAfXBRspDyHD0XNa3GAkxH_QmgZS6DrGacf-SHIs2yB-8-XkA6ojznsRfK9bD_28A_7vW6_fgraOEZ49Gy5PYh"/>
    <hyperlink ref="R729" r:id="rId1969" display="https://www.youtube.com/watch?v=YxkXZ0kydyA"/>
    <hyperlink ref="S729" r:id="rId1970" display="https://gld.legislaturacba.gob.ar/Publics/Actas.aspx?id=3H3EtxsQShU=;NA"/>
    <hyperlink ref="Q730" r:id="rId1971" display="https://gld.legislaturacba.gob.ar/_cdd/api/Documento/descargar?guid=ce34961f-1f5d-4cbc-b7dd-e10358a6087a&amp;token=ZP42TsOpSxg3XDd4AZoTZb1YnQlsWxEdpQOHFt44jAWa7sEFY_KcYxUIzrAsq_-aHs7h7pSUYB42pZvI5G6kJIM0h5gXVurM9obMMGrsecyToimrtuyYFwuUQr1BBF2JlPepcdN9IJSsjXrh0icFNF0Wgn9AMAsn4qGZ2mVhTnnAfXBRspDyHD0XNa3GAkxH_QmgZS6DrGacf-SHIs2yB-8-XkA6ojznsRfK9bD_28A_7vW6_fgraOEZ49Gy5PYh"/>
    <hyperlink ref="R730" r:id="rId1972" display="https://www.youtube.com/watch?v=tMptCfzJO3w"/>
    <hyperlink ref="S730" r:id="rId1973" display="https://gld.legislaturacba.gob.ar/Publics/Actas.aspx?id=yB1BgeQePNE=;https://gld.legislaturacba.gob.ar/Publics/Actas.aspx?id=z6fk_alVdKc=;https://gld.legislaturacba.gob.ar/Publics/Actas.aspx?id=z6fk_alVdKc="/>
    <hyperlink ref="Q731" r:id="rId1974" display="https://gld.legislaturacba.gob.ar/_cdd/api/Documento/descargar?guid=1d0d2349-d316-4562-b200-e6a055ae0566&amp;token=ZP42TsOpSxg3XDd4AZoTZb1YnQlsWxEdpQOHFt44jAWa7sEFY_KcYxUIzrAsq_-aHs7h7pSUYB42pZvI5G6kJIM0h5gXVurM9obMMGrsecyToimrtuyYFwuUQr1BBF2JlPepcdN9IJSsjXrh0icFNF0Wgn9AMAsn4qGZ2mVhTnnAfXBRspDyHD0XNa3GAkxH_QmgZS6DrGacf-SHIs2yB-8-XkA6ojznsRfK9bD_28A_7vW6_fgraOEZ49Gy5PYh"/>
    <hyperlink ref="R731" r:id="rId1975" display="https://www.youtube.com/watch?v=AhwQDRRprbo"/>
    <hyperlink ref="S731" r:id="rId1976" display="https://gld.legislaturacba.gob.ar/Publics/Actas.aspx?id=vZ07Tij7Eco=;NA;https://gld.legislaturacba.gob.ar/Publics/Actas.aspx?id=0xFk-ftoloo="/>
    <hyperlink ref="Q732" r:id="rId1977" display="https://gld.legislaturacba.gob.ar/_cdd/api/Documento/descargar?guid=087db906-b4a9-4b44-9ad8-e89d2f7f1e31&amp;token=ZP42TsOpSxg3XDd4AZoTZb1YnQlsWxEdpQOHFt44jAWa7sEFY_KcYxUIzrAsq_-aHs7h7pSUYB42pZvI5G6kJIM0h5gXVurM9obMMGrsecyToimrtuyYFwuUQr1BBF2JlPepcdN9IJSsjXrh0icFNF0Wgn9AMAsn4qGZ2mVhTnnAfXBRspDyHD0XNa3GAkxH_QmgZS6DrGacf-SHIs2yB-8-XkA6ojznsRfK9bD_28A_7vW6_fgraOEZ49Gy5PYh"/>
    <hyperlink ref="R732" r:id="rId1978" display="https://www.youtube.com/watch?v=AqXQAEvypZQ"/>
    <hyperlink ref="S732" r:id="rId1979" display="https://gld.legislaturacba.gob.ar/Publics/Actas.aspx?id=LfQStOnRqW8="/>
    <hyperlink ref="Q733" r:id="rId1980" display="https://gld.legislaturacba.gob.ar/_cdd/api/Documento/descargar?guid=83cac38e-888a-4fa3-9fe0-6dee4403245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33" r:id="rId1981" display="https://www.youtube.com/watch?v=voiuoW8J0k8"/>
    <hyperlink ref="S733" r:id="rId1982" display="https://gld.legislaturacba.gob.ar/Publics/Actas.aspx?id=g4Xe8DGapFs="/>
    <hyperlink ref="Q734" r:id="rId1983" display="https://gld.legislaturacba.gob.ar/_cdd/api/Documento/descargar?guid=6545e1fd-a7c3-4da9-b7ca-500d9e4cefd9&amp;token=ZP42TsOpSxg3XDd4AZoTZb1YnQlsWxEdpQOHFt44jAWa7sEFY_KcYxUIzrAsq_-aHs7h7pSUYB42pZvI5G6kJIM0h5gXVurM9obMMGrsecyToimrtuyYFwuUQr1BBF2JlPepcdN9IJSsjXrh0icFNF0Wgn9AMAsn4qGZ2mVhTnnAfXBRspDyHD0XNa3GAkxH_QmgZS6DrGacf-SHIs2yB-8-XkA6ojznsRfK9bD_28A_7vW6_fgraOEZ49Gy5PYh"/>
    <hyperlink ref="R734" r:id="rId1984" display="https://www.youtube.com/watch?v=EVfE8nbUAu0"/>
    <hyperlink ref="S734" r:id="rId1985" display="https://gld.legislaturacba.gob.ar/Publics/Actas.aspx?id=eEqLbVh_yIM="/>
    <hyperlink ref="Q735" r:id="rId1986" display="https://gld.legislaturacba.gob.ar/_cdd/api/Documento/descargar?guid=ee3469e6-3e62-467b-a49f-f9fa90744a13&amp;token=ZP42TsOpSxg3XDd4AZoTZb1YnQlsWxEdpQOHFt44jAWa7sEFY_KcYxUIzrAsq_-aHs7h7pSUYB42pZvI5G6kJIM0h5gXVurM9obMMGrsecyToimrtuyYFwuUQr1BBF2JlPepcdN9IJSsjXrh0icFNF0Wgn9AMAsn4qGZ2mVhTnnAfXBRspDyHD0XNa3GAkxH_QmgZS6DrGacf-SHIs2yB-8-XkA6ojznsRfK9bD_28A_7vW6_fgraOEZ49Gy5PYh"/>
    <hyperlink ref="R735" r:id="rId1987" display="https://www.youtube.com/watch?v=EqzZWSD-0gQ"/>
    <hyperlink ref="S735" r:id="rId1988" display="https://gld.legislaturacba.gob.ar/Publics/Actas.aspx?id=5Piti9k-yKQ="/>
    <hyperlink ref="Q736" r:id="rId1989" display="https://gld.legislaturacba.gob.ar/_cdd/api/Documento/descargar?guid=076f176c-432b-4bd0-b3fb-2bc1e7361928&amp;token=ZP42TsOpSxg3XDd4AZoTZb1YnQlsWxEdpQOHFt44jAWa7sEFY_KcYxUIzrAsq_-aHs7h7pSUYB42pZvI5G6kJIM0h5gXVurM9obMMGrsecyToimrtuyYFwuUQr1BBF2JlPepcdN9IJSsjXrh0icFNF0Wgn9AMAsn4qGZ2mVhTnnAfXBRspDyHD0XNa3GAkxH_QmgZS6DrGacf-SHIs2yB-8-XkA6ojznsRfK9bD_28A_7vW6_fgraOEZ49Gy5PYh"/>
    <hyperlink ref="R736" r:id="rId1990" display="https://www.youtube.com/watch?v=uBmUm4iU7K0"/>
    <hyperlink ref="S736" r:id="rId1991" display="https://gld.legislaturacba.gob.ar/Publics/Actas.aspx?id=Rzk097U0deg="/>
    <hyperlink ref="R737" r:id="rId1992" display="https://www.youtube.com/watch?v=dDW4OWYaxcw"/>
    <hyperlink ref="Q738" r:id="rId1993" display="https://gld.legislaturacba.gob.ar/_cdd/api/Documento/descargar?guid=a2b5a55f-ff40-4ea6-92bc-314321267468&amp;token=ZP42TsOpSxg3XDd4AZoTZb1YnQlsWxEdpQOHFt44jAWa7sEFY_KcYxUIzrAsq_-aHs7h7pSUYB42pZvI5G6kJIM0h5gXVurM9obMMGrsecyToimrtuyYFwuUQr1BBF2JlPepcdN9IJSsjXrh0icFNF0Wgn9AMAsn4qGZ2mVhTnnAfXBRspDyHD0XNa3GAkxH_QmgZS6DrGacf-SHIs2yB-8-XkA6ojznsRfK9bD_28A_7vW6_fgraOEZ49Gy5PYh"/>
    <hyperlink ref="R738" r:id="rId1994" display="https://www.youtube.com/watch?v=uBmUm4iU7K0"/>
    <hyperlink ref="S738" r:id="rId1995" display="https://gld.legislaturacba.gob.ar/Publics/Actas.aspx?id=dqHyPnrDPqI=;NA;https://gld.legislaturacba.gob.ar/Publics/Actas.aspx?id=R1RXFTLfAXY="/>
    <hyperlink ref="Q739" r:id="rId1996" display="https://gld.legislaturacba.gob.ar/_cdd/api/Documento/descargar?guid=723c96f5-2da4-4e35-85a6-30b4a66ae19b&amp;token=ZP42TsOpSxg3XDd4AZoTZb1YnQlsWxEdpQOHFt44jAWa7sEFY_KcYxUIzrAsq_-aHs7h7pSUYB42pZvI5G6kJIM0h5gXVurM9obMMGrsecyToimrtuyYFwuUQr1BBF2JlPepcdN9IJSsjXrh0icFNF0Wgn9AMAsn4qGZ2mVhTnnAfXBRspDyHD0XNa3GAkxH_QmgZS6DrGacf-SHIs2yB-8-XkA6ojznsRfK9bD_28A_7vW6_fgraOEZ49Gy5PYh"/>
    <hyperlink ref="R739" r:id="rId1997" display="https://www.youtube.com/watch?v=dCE8tE28b9A"/>
    <hyperlink ref="S739" r:id="rId1998" display="https://gld.legislaturacba.gob.ar/Publics/Actas.aspx?id=W0WrHTEhpkg="/>
    <hyperlink ref="Q740" r:id="rId1999" display="https://gld.legislaturacba.gob.ar/_cdd/api/Documento/descargar?guid=b4f36615-3583-48a5-955c-84a9b25cc99b&amp;token=ZP42TsOpSxg3XDd4AZoTZb1YnQlsWxEdpQOHFt44jAWa7sEFY_KcYxUIzrAsq_-aHs7h7pSUYB42pZvI5G6kJIM0h5gXVurM9obMMGrsecyToimrtuyYFwuUQr1BBF2JlPepcdN9IJSsjXrh0icFNF0Wgn9AMAsn4qGZ2mVhTnnAfXBRspDyHD0XNa3GAkxH_QmgZS6DrGacf-SHIs2yB-8-XkA6ojznsRfK9bD_28A_7vW6_fgraOEZ49Gy5PYh"/>
    <hyperlink ref="R740" r:id="rId2000" display="https://www.youtube.com/watch?v=oltHJqJYgVk"/>
    <hyperlink ref="S740" r:id="rId2001" display="https://gld.legislaturacba.gob.ar/Publics/Actas.aspx?id=xxosVBwE1no="/>
    <hyperlink ref="Q741" r:id="rId2002" display="https://gld.legislaturacba.gob.ar/_cdd/api/Documento/descargar?guid=f1437c3f-d988-41c8-b230-46b4d1b45cd5&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41" r:id="rId2003" display="https://www.youtube.com/watch?v=Wny_UzQbXIk"/>
    <hyperlink ref="S741" r:id="rId2004" display="https://gld.legislaturacba.gob.ar/Publics/Actas.aspx?id=9llPjy8V0Wk=;NA"/>
    <hyperlink ref="R742" r:id="rId2005" display="https://www.youtube.com/watch?v=Yz9EmnkqJ9o"/>
    <hyperlink ref="S742" r:id="rId2006" display="https://gld.legislaturacba.gob.ar/Publics/Actas.aspx?id=66G43huGb7E=;https://gld.legislaturacba.gob.ar/Publics/Actas.aspx?id=8fNONWsiq2U="/>
    <hyperlink ref="Q743" r:id="rId2007" display="https://gld.legislaturacba.gob.ar/_cdd/api/Documento/descargar?guid=51181627-dd94-4370-9423-04e34d0bdba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43" r:id="rId2008" display="https://www.youtube.com/watch?v=klPnxClitwc"/>
    <hyperlink ref="S743" r:id="rId2009" display="https://gld.legislaturacba.gob.ar/Publics/Actas.aspx?id=JJl1JSRcjxE="/>
    <hyperlink ref="R744" r:id="rId2010" display="https://www.youtube.com/watch?v=KxBx6Ls0HoQ"/>
    <hyperlink ref="Q745" r:id="rId2011" display="https://gld.legislaturacba.gob.ar/_cdd/api/Documento/descargar?guid=e980124a-c12e-4321-a834-0f6976f0cbdf&amp;token=ZP42TsOpSxg3XDd4AZoTZb1YnQlsWxEdpQOHFt44jAWa7sEFY_KcYxUIzrAsq_-aHs7h7pSUYB42pZvI5G6kJIM0h5gXVurM9obMMGrsecyToimrtuyYFwuUQr1BBF2JlPepcdN9IJSsjXrh0icFNF0Wgn9AMAsn4qGZ2mVhTnnAfXBRspDyHD0XNa3GAkxH_QmgZS6DrGacf-SHIs2yB-8-XkA6ojznsRfK9bD_28A_7vW6_fgraOEZ49Gy5PYh"/>
    <hyperlink ref="R745" r:id="rId2012" display="https://www.youtube.com/watch?v=WDa5YwNGN4E"/>
    <hyperlink ref="S745" r:id="rId2013" display="https://gld.legislaturacba.gob.ar/Publics/Actas.aspx?id=rbSgSP7bGdg=;https://gld.legislaturacba.gob.ar/Publics/Actas.aspx?id=TT8zCPO3Crk="/>
    <hyperlink ref="R746" r:id="rId2014" display="https://www.youtube.com/watch?v=TZWHxpf4wxk"/>
    <hyperlink ref="Q747" r:id="rId2015" display="https://gld.legislaturacba.gob.ar/Publics/Actas.aspx?id=41mYgvB1B-E="/>
    <hyperlink ref="R747" r:id="rId2016" display="https://www.youtube.com/watch?v=RH2aYnkn1UU"/>
    <hyperlink ref="S747" r:id="rId2017" display="https://gld.legislaturacba.gob.ar/_cdd/api/Documento/descargar?guid=23059487-e88a-4a56-93f0-293fc171c414&amp;token=ZP42TsOpSxg3XDd4AZoTZb1YnQlsWxEdpQOHFt44jAWa7sEFY_KcYxUIzrAsq_-aHs7h7pSUYB42pZvI5G6kJIM0h5gXVurM9obMMGrsecyToimrtuyYFwuUQr1BBF2JlPepcdN9IJSsjXrh0icFNF0Wgn9AMAsn4qGZ2mVhTnnAfXBRspDyHD0XNa3GAkxH_QmgZS6DrGacf-SHIs2yB-8-XkA6ojznsRfK9bD_28A_7vW6_fgraOEZ49Gy5PYh"/>
    <hyperlink ref="Q748" r:id="rId2018" display="https://gld.legislaturacba.gob.ar/Publics/Actas.aspx?id=QN7SSRE6Xt8="/>
    <hyperlink ref="R748" r:id="rId2019" display="https://www.youtube.com/watch?v=ZLMIJOJ29tU"/>
    <hyperlink ref="S748" r:id="rId2020" display="https://gld.legislaturacba.gob.ar/_cdd/api/Documento/descargar?guid=c4a1cd28-b4e4-4a34-abfa-66dda2480e6c&amp;token=ZP42TsOpSxg3XDd4AZoTZb1YnQlsWxEdpQOHFt44jAWa7sEFY_KcYxUIzrAsq_-aHs7h7pSUYB42pZvI5G6kJIM0h5gXVurM9obMMGrsecyToimrtuyYFwuUQr1BBF2JlPepcdN9IJSsjXrh0icFNF0Wgn9AMAsn4qGZ2mVhTnnAfXBRspDyHD0XNa3GAkxH_QmgZS6DrGacf-SHIs2yB-8-XkA6ojznsRfK9bD_28A_7vW6_fgraOEZ49Gy5PYh"/>
    <hyperlink ref="Q749" r:id="rId2021" display="https://gld.legislaturacba.gob.ar/_cdd/api/Documento/descargar?guid=5dd28aa7-1c85-4987-b9ae-8df241e9845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49" r:id="rId2022" display="https://www.youtube.com/watch?v=10cGrFgWJ4Y"/>
    <hyperlink ref="R750" r:id="rId2023" display="https://www.youtube.com/watch?v=GxBEFobw4ZA"/>
    <hyperlink ref="S750" r:id="rId2024" display="https://gld.legislaturacba.gob.ar/Publics/Actas.aspx?id=1gSqRiE1Wb4="/>
    <hyperlink ref="Q751" r:id="rId2025" display="https://gld.legislaturacba.gob.ar/Publics/Actas.aspx?id=zU6RcUBrNjQ=;https://gld.legislaturacba.gob.ar/Publics/Actas.aspx?id=i9PE2gnwrNY="/>
    <hyperlink ref="R751" r:id="rId2026" display="https://www.youtube.com/watch?v=ZGIJwUSasIA"/>
    <hyperlink ref="S751" r:id="rId2027" display="https://gld.legislaturacba.gob.ar/Publics/Actas.aspx?id=zU6RcUBrNjQ=;https://gld.legislaturacba.gob.ar/Publics/Actas.aspx?id=i9PE2gnwrNY="/>
    <hyperlink ref="Q752" r:id="rId2028" display="https://gld.legislaturacba.gob.ar/_cdd/api/Documento/descargar?guid=b5502451-360a-43d3-a37d-c563406a5418&amp;token=ZP42TsOpSxg3XDd4AZoTZb1YnQlsWxEdpQOHFt44jAWa7sEFY_KcYxUIzrAsq_-aHs7h7pSUYB42pZvI5G6kJIM0h5gXVurM9obMMGrsecyToimrtuyYFwuUQr1BBF2JlPepcdN9IJSsjXrh0icFNF0Wgn9AMAsn4qGZ2mVhTnnAfXBRspDyHD0XNa3GAkxH_QmgZS6DrGacf-SHIs2yB-8-XkA6ojznsRfK9bD_28A_7vW6_fgraOEZ49Gy5PYh"/>
    <hyperlink ref="R752" r:id="rId2029" display="https://www.youtube.com/watch?v=5ck83Zn7iPc"/>
    <hyperlink ref="S752" r:id="rId2030" display="https://gld.legislaturacba.gob.ar/Publics/Actas.aspx?id=St7UBev-UhQ="/>
    <hyperlink ref="Q753" r:id="rId2031" display="https://gld.legislaturacba.gob.ar/_cdd/api/Documento/descargar?guid=505df074-ef5c-4263-a9fe-582c70127cc4&amp;token=ZP42TsOpSxg3XDd4AZoTZb1YnQlsWxEdpQOHFt44jAWa7sEFY_KcYxUIzrAsq_-aHs7h7pSUYB42pZvI5G6kJIM0h5gXVurM9obMMGrsecyToimrtuyYFwuUQr1BBF2JlPepcdN9IJSsjXrh0icFNF0Wgn9AMAsn4qGZ2mVhTnnAfXBRspDyHD0XNa3GAkxH_QmgZS6DrGacf-SHIs2yB-8-XkA6ojznsRfK9bD_28A_7vW6_fgraOEZ49Gy5PYh"/>
    <hyperlink ref="R753" r:id="rId2032" display="https://www.youtube.com/watch?v=khhrY2rrHiQ"/>
    <hyperlink ref="S753" r:id="rId2033" display="https://gld.legislaturacba.gob.ar/Publics/Actas.aspx?id=4lEUYpZoBZE=;https://gld.legislaturacba.gob.ar/Publics/Actas.aspx?id=K2V9kQcjT2k=;https://gld.legislaturacba.gob.ar/Publics/Actas.aspx?id=wP3IkK_pR4o="/>
    <hyperlink ref="Q754" r:id="rId2034" display="https://gld.legislaturacba.gob.ar/_cdd/api/Documento/descargar?guid=ca71e0f0-fc45-486b-81f5-45540daaa390&amp;token=ZP42TsOpSxg3XDd4AZoTZb1YnQlsWxEdpQOHFt44jAWa7sEFY_KcYxUIzrAsq_-aHs7h7pSUYB42pZvI5G6kJIM0h5gXVurM9obMMGrsecyToimrtuyYFwuUQr1BBF2JlPepcdN9IJSsjXrh0icFNF0Wgn9AMAsn4qGZ2mVhTnnAfXBRspDyHD0XNa3GAkxH_QmgZS6DrGacf-SHIs2yB-8-XkA6ojznsRfK9bD_28A_7vW6_fgraOEZ49Gy5PYh"/>
    <hyperlink ref="R754" r:id="rId2035" display="https://www.youtube.com/watch?v=M4MKoqkyiEA"/>
    <hyperlink ref="S754" r:id="rId2036" display="https://gld.legislaturacba.gob.ar/Publics/Actas.aspx?id=2LRGDNbzyew="/>
    <hyperlink ref="Q755" r:id="rId2037" display="https://gld.legislaturacba.gob.ar/_cdd/api/Documento/descargar?guid=caecc454-9ee3-453b-b03d-6995b86ce5b6&amp;token=ZP42TsOpSxg3XDd4AZoTZb1YnQlsWxEdpQOHFt44jAWa7sEFY_KcYxUIzrAsq_-aHs7h7pSUYB42pZvI5G6kJIM0h5gXVurM9obMMGrsecyToimrtuyYFwuUQr1BBF2JlPepcdN9IJSsjXrh0icFNF0Wgn9AMAsn4qGZ2mVhTnnAfXBRspDyHD0XNa3GAkxH_QmgZS6DrGacf-SHIs2yB-8-XkA6ojznsRfK9bD_28A_7vW6_fgraOEZ49Gy5PYh"/>
    <hyperlink ref="R755" r:id="rId2038" display="https://www.youtube.com/watch?v=2jO3NiGJ57A"/>
    <hyperlink ref="S755" r:id="rId2039" display="https://gld.legislaturacba.gob.ar/Publics/Actas.aspx?id=HDWF62FDAVA=;https://gld.legislaturacba.gob.ar/Publics/Actas.aspx?id=KR5xX2tYn4w=;https://gld.legislaturacba.gob.ar/Publics/Actas.aspx?id=V9L5SXdgjog="/>
    <hyperlink ref="R756" r:id="rId2040" display="https://www.youtube.com/watch?v=jsae9ad_cY8"/>
    <hyperlink ref="Q757" r:id="rId2041" display="https://gld.legislaturacba.gob.ar/_cdd/api/Documento/descargar?guid=533d17c3-0b0d-4e81-a8ec-90da20fb92e4&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57" r:id="rId2042" display="https://www.youtube.com/watch?v=oPz1VLQY_HY"/>
    <hyperlink ref="S757" r:id="rId2043" display="https://gld.legislaturacba.gob.ar/Publics/Actas.aspx?id=wzMmH5wG9FA="/>
    <hyperlink ref="Q758" r:id="rId2044" display="https://gld.legislaturacba.gob.ar/_cdd/api/Documento/descargar?guid=70143a06-8291-4865-9a0f-2aa7c67608f1&amp;token=ZP42TsOpSxg3XDd4AZoTZb1YnQlsWxEdpQOHFt44jAWa7sEFY_KcYxUIzrAsq_-aHs7h7pSUYB42pZvI5G6kJIM0h5gXVurM9obMMGrsecyToimrtuyYFwuUQr1BBF2JlPepcdN9IJSsjXrh0icFNF0Wgn9AMAsn4qGZ2mVhTnnAfXBRspDyHD0XNa3GAkxH_QmgZS6DrGacf-SHIs2yB-8-XkA6ojznsRfK9bD_28A_7vW6_fgraOEZ49Gy5PYh"/>
    <hyperlink ref="R758" r:id="rId2045" display="https://www.youtube.com/watch?v=pRmlcIL_haE"/>
    <hyperlink ref="S758" r:id="rId2046" display="https://gld.legislaturacba.gob.ar/Publics/Actas.aspx?id=1qYqXjWrf3M=;https://gld.legislaturacba.gob.ar/Publics/Actas.aspx?id=M5KKACBVueM=;https://gld.legislaturacba.gob.ar/Publics/Actas.aspx?id=WH489q1hhDg="/>
    <hyperlink ref="R759" r:id="rId2047" display="https://www.youtube.com/watch?v=Fz_DxWVNEm0"/>
    <hyperlink ref="Q760" r:id="rId2048" display="https://gld.legislaturacba.gob.ar/_cdd/api/Documento/descargar?guid=b378f46f-48c7-49a3-97a0-d78488a1667e&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0" r:id="rId2049" display="https://www.youtube.com/watch?v=Dkk5syaQm7s"/>
    <hyperlink ref="S760" r:id="rId2050" display="https://gld.legislaturacba.gob.ar/Publics/Actas.aspx?id=JogCi8832KI=;https://gld.legislaturacba.gob.ar/Publics/Actas.aspx?id=GR2UAU6hhcM=;https://gld.legislaturacba.gob.ar/Publics/Actas.aspx?id=RHHlKix1G3Q="/>
    <hyperlink ref="Q761" r:id="rId2051" display="https://gld.legislaturacba.gob.ar/_cdd/api/Documento/descargar?guid=7f65a44c-fd34-4e73-9cca-0c99af22731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1" r:id="rId2052" display="https://www.youtube.com/watch?v=Dkk5syaQm7s"/>
    <hyperlink ref="S761" r:id="rId2053" display="https://gld.legislaturacba.gob.ar/Publics/Actas.aspx?id=hTNrwCIyGW8="/>
    <hyperlink ref="S762" r:id="rId2054" display="https://gld.legislaturacba.gob.ar/Publics/Actas.aspx?id=7qijYLHbHtk=;NA;https://gld.legislaturacba.gob.ar/Publics/Actas.aspx?id=LXI1h9zoY44="/>
    <hyperlink ref="Q763" r:id="rId2055" display="https://gld.legislaturacba.gob.ar/_cdd/api/Documento/descargar?guid=6c180e59-0c8b-4658-98bd-651d27ca36d9&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3" r:id="rId2056" display="https://www.youtube.com/watch?v=cPfcQbDAMXQ"/>
    <hyperlink ref="S763" r:id="rId2057" display="https://gld.legislaturacba.gob.ar/Publics/Actas.aspx?id=4_2MUNai5ro=;https://gld.legislaturacba.gob.ar/Publics/Actas.aspx?id=DhhOQNr1ljM=;https://gld.legislaturacba.gob.ar/Publics/Actas.aspx?id=HsyMNzMnh7M="/>
    <hyperlink ref="Q764" r:id="rId2058" display="https://gld.legislaturacba.gob.ar/_cdd/api/Documento/descargar?guid=cea286d1-5e6f-4f05-83d2-54a1a6b555a5&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4" r:id="rId2059" display="https://www.youtube.com/watch?v=ZHvaRIWNx1A"/>
    <hyperlink ref="S764" r:id="rId2060" display="https://gld.legislaturacba.gob.ar/Publics/Actas.aspx?id=aqoyc-_D1kw="/>
    <hyperlink ref="S765" r:id="rId2061" display="https://gld.legislaturacba.gob.ar/Publics/Actas.aspx?id=6mBtBdMW8F0=;NA"/>
    <hyperlink ref="Q766" r:id="rId2062" display="https://gld.legislaturacba.gob.ar/_cdd/api/Documento/descargar?guid=c27f23c7-ee2a-48ad-ac42-07f40b3bfc5c&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6" r:id="rId2063" display="https://www.youtube.com/watch?v=1SYL1SHERdo"/>
    <hyperlink ref="S766" r:id="rId2064" display="https://gld.legislaturacba.gob.ar/Publics/Actas.aspx?id=UqsHMMQwe0c="/>
    <hyperlink ref="R767" r:id="rId2065" display="https://www.youtube.com/watch?v=-ZPNsYFFtjc"/>
    <hyperlink ref="S767" r:id="rId2066" display="https://gld.legislaturacba.gob.ar/Publics/Actas.aspx?id=BIuBmm8Xvcc="/>
    <hyperlink ref="R768" r:id="rId2067" display="https://www.youtube.com/watch?v=7dBO7mX9ldk"/>
    <hyperlink ref="Q769" r:id="rId2068" display="https://gld.legislaturacba.gob.ar/_cdd/api/Documento/descargar?guid=567f0cdf-2ec8-4312-adbf-313553405933&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69" r:id="rId2069" display="https://www.youtube.com/watch?v=lbGhKv-szg8"/>
    <hyperlink ref="S769" r:id="rId2070" display="https://gld.legislaturacba.gob.ar/Publics/Actas.aspx?id=2VCXbTtVbek=;https://gld.legislaturacba.gob.ar/Publics/Actas.aspx?id=jbz25Hj9nZ8="/>
    <hyperlink ref="Q770" r:id="rId2071" display="https://gld.legislaturacba.gob.ar/_cdd/api/Documento/descargar?guid=671d8a76-698f-4262-8ef4-79edd6d8fe19&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0" r:id="rId2072" display="https://www.youtube.com/watch?v=uYDcJ3nX-Lw"/>
    <hyperlink ref="S770" r:id="rId2073" display="https://gld.legislaturacba.gob.ar/Publics/Actas.aspx?id=z53Rrp7htu4="/>
    <hyperlink ref="Q771" r:id="rId2074" display="https://gld.legislaturacba.gob.ar/_cdd/api/Documento/descargar?guid=364c87ee-1ce7-4bd2-a6b9-a1288d44caec&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1" r:id="rId2075" display="https://www.youtube.com/watch?v=2NndQ7Rs4_Q"/>
    <hyperlink ref="S771" r:id="rId2076" display="https://gld.legislaturacba.gob.ar/Publics/Actas.aspx?id=EUoaNV2S6XA=;https://gld.legislaturacba.gob.ar/Publics/Actas.aspx?id=IrjW9v0gpp8="/>
    <hyperlink ref="Q772" r:id="rId2077" display="https://gld.legislaturacba.gob.ar/_cdd/api/Documento/descargar?guid=0cb7134d-b421-475a-b503-1a6a1b24f626&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2" r:id="rId2078" display="https://www.youtube.com/watch?v=DhMRl6lnldc"/>
    <hyperlink ref="S772" r:id="rId2079" display="https://gld.legislaturacba.gob.ar/Publics/Actas.aspx?id=XaBPEz762kg=;https://gld.legislaturacba.gob.ar/Publics/Actas.aspx?id=86Dwn3jxFag="/>
    <hyperlink ref="Q773" r:id="rId2080" display="https://gld.legislaturacba.gob.ar/_cdd/api/Documento/descargar?guid=ff5dbecb-c83c-4e6c-8324-6fe3234b5453&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3" r:id="rId2081" display="https://www.youtube.com/watch?v=KJ68Ku-0Zg8"/>
    <hyperlink ref="Q774" r:id="rId2082" display="https://gld.legislaturacba.gob.ar/_cdd/api/Documento/descargar?guid=d72b8a10-2e2b-435d-8f0f-ac389b113f94&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4" r:id="rId2083" display="https://www.youtube.com/watch?v=_8yPdVPR2Wc"/>
    <hyperlink ref="S774" r:id="rId2084" display="https://gld.legislaturacba.gob.ar/Publics/Actas.aspx?id=KKt9FaC1DbY=;https://gld.legislaturacba.gob.ar/Publics/Actas.aspx?id=HWi34EiabZM="/>
    <hyperlink ref="Q775" r:id="rId2085" display="https://gld.legislaturacba.gob.ar/_cdd/api/Documento/descargar?guid=707bc116-7cca-44e0-b423-1b5290db6b47&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5" r:id="rId2086" display="https://www.youtube.com/watch?v=LOCJvGd0Bsc"/>
    <hyperlink ref="S775" r:id="rId2087" display="https://gld.legislaturacba.gob.ar/Publics/Actas.aspx?id=2pyGhT8Y67Y="/>
    <hyperlink ref="R776" r:id="rId2088" display="https://www.youtube.com/watch?v=ZW4ZeuiWDgw"/>
    <hyperlink ref="R777" r:id="rId2089" display="https://www.youtube.com/watch?v=CW2mETQ4XhM"/>
    <hyperlink ref="Q778" r:id="rId2090" display="https://gld.legislaturacba.gob.ar/_cdd/api/Documento/descargar?guid=f5e32884-86a4-43a0-98a8-9475abc9a5dd&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78" r:id="rId2091" display="https://www.youtube.com/watch?v=dw7tK5QFQes"/>
    <hyperlink ref="S778" r:id="rId2092" display="https://gld.legislaturacba.gob.ar/Publics/Actas.aspx?id=WUY20FbWsYA="/>
    <hyperlink ref="Q779" r:id="rId2093" display="https://gld.legislaturacba.gob.ar/_cdd/api/Documento/descargar?guid=57a24869-00fd-4d1e-bffe-1f9dac9fb5ae&amp;token=SlgPxFH4sC9E1SuVeHIiYuicGzR9yP_FWqEblZOU2AFk2IhZb68PR7poYgYAFoTR3CoxRunsfND0nKMq4PQrCZAcnIsbmPe7582qFe3uhxgcSfJyFLq4jradEo5qDWBmt4eh2RggEVb3GGi3Q6wWs7at87QHyRSwubBoMpVocAY_2W2IaTbCmS-GFnsRSQWuTkYPoNNaXl26ESgu78Zc9gQ4I4FqsVOXGQyGlvQFFZ-OubDVwXIG2Y9ETeuOVUuw"/>
    <hyperlink ref="R779" r:id="rId2094" display="https://www.youtube.com/watch?v=7GRY1HLT-ic"/>
    <hyperlink ref="Q780" r:id="rId2095" display="https://gld.legislaturacba.gob.ar/_cdd/api/Documento/descargar?guid=12736860-0e67-49e7-8e52-b5ee4f12f1a5&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80" r:id="rId2096" display="https://www.youtube.com/watch?v=jGHmdHnE3qo"/>
    <hyperlink ref="S780" r:id="rId2097" display="https://gld.legislaturacba.gob.ar/Publics/Actas.aspx?id=ShIHVN8G-nE="/>
    <hyperlink ref="Q781" r:id="rId2098" display="https://gld.legislaturacba.gob.ar/_cdd/api/Documento/descargar?guid=c09af349-1c44-4f41-b32b-2f1a9831c849&amp;token=426zcG29hYW2wzLKQ4kXXIcq2YVSR4F7SERQxHjm7UgOKN7QzvDT9AP9C8B8EE74iR2VlVU6anFhi2_kOx97afTDgn9dcd27puTyllNl6_hWBIwjAhXRoNqgyYeqDmUXQSOoGFyQucP1NmYyALsN6OyPNC48KFchH3aT7w5R4ID1IaP0xdYO0dhz9TA92CkKqEEAJCYswNgO92vWpQgIeTkqR72BCbTFC2FmjgJGi0PuqrepsaE7WhmQySYTJfJi"/>
    <hyperlink ref="S781" r:id="rId2099" display="https://gld.legislaturacba.gob.ar/Publics/Actas.aspx?id=HOuDYrZrxAU="/>
    <hyperlink ref="Q782" r:id="rId2100" display="https://gld.legislaturacba.gob.ar/_cdd/api/Documento/descargar?guid=987434b6-5ce8-446a-a4c7-f4abc1e43e18&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82" r:id="rId2101" display="https://www.youtube.com/watch?v=LmLzZ6mSmYA"/>
    <hyperlink ref="Q783" r:id="rId2102" display="https://gld.legislaturacba.gob.ar/_cdd/api/Documento/descargar?guid=3df71896-9cc7-4149-a7c8-0edb57edc5d3&amp;token=426zcG29hYW2wzLKQ4kXXIcq2YVSR4F7SERQxHjm7UgOKN7QzvDT9AP9C8B8EE74iR2VlVU6anFhi2_kOx97afTDgn9dcd27puTyllNl6_hWBIwjAhXRoNqgyYeqDmUXQSOoGFyQucP1NmYyALsN6OyPNC48KFchH3aT7w5R4ID1IaP0xdYO0dhz9TA92CkKqEEAJCYswNgO92vWpQgIeTkqR72BCbTFC2FmjgJGi0PuqrepsaE7WhmQySYTJfJi"/>
    <hyperlink ref="R783" r:id="rId2103" display="https://www.youtube.com/watch?v=tZ_K77v7gzc"/>
    <hyperlink ref="S783" r:id="rId2104" display="https://gld.legislaturacba.gob.ar/Publics/Actas.aspx?id=zgCGuFulQeQ="/>
    <hyperlink ref="Q784" r:id="rId2105" display="https://gld.legislaturacba.gob.ar/_cdd/api/Documento/descargar?guid=44a778d5-6418-4c6c-b4c8-ec2da28d15eb&amp;token=SlgPxFH4sC9E1SuVeHIiYuicGzR9yP_FWqEblZOU2AFk2IhZb68PR7poYgYAFoTR3CoxRunsfND0nKMq4PQrCZAcnIsbmPe7582qFe3uhxgcSfJyFLq4jradEo5qDWBmt4eh2RggEVb3GGi3Q6wWs7at87QHyRSwubBoMpVocAY_2W2IaTbCmS-GFnsRSQWuTkYPoNNaXl26ESgu78Zc9gQ4I4FqsVOXGQyGlvQFFZ-OubDVwXIG2Y9ETeuOVUuw"/>
    <hyperlink ref="R784" r:id="rId2106" display="https://www.youtube.com/watch?v=QtYfChZuWww"/>
    <hyperlink ref="Q785" r:id="rId2107" display="https://gld.legislaturacba.gob.ar/_cdd/api/Documento/descargar?guid=6ecc4204-cf9d-48ea-a192-8d8c4b2b6fd4&amp;token=SlgPxFH4sC9E1SuVeHIiYuicGzR9yP_FWqEblZOU2AFk2IhZb68PR7poYgYAFoTR3CoxRunsfND0nKMq4PQrCZAcnIsbmPe7582qFe3uhxgcSfJyFLq4jradEo5qDWBmt4eh2RggEVb3GGi3Q6wWs7at87QHyRSwubBoMpVocAY_2W2IaTbCmS-GFnsRSQWuTkYPoNNaXl26ESgu78Zc9gQ4I4FqsVOXGQyGlvQFFZ-OubDVwXIG2Y9ETeuOVUuw"/>
    <hyperlink ref="R785" r:id="rId2108" display="https://www.youtube.com/watch?v=rnmKGBS1A7Y"/>
    <hyperlink ref="R786" r:id="rId2109" display="https://www.youtube.com/watch?v=gAqsZ8pDNrE"/>
    <hyperlink ref="R787" r:id="rId2110" display="https://www.youtube.com/watch?v=mxzmjGCbTCo"/>
    <hyperlink ref="Q788" r:id="rId2111" display="https://gld.legislaturacba.gob.ar/_cdd/api/Documento/descargar?guid=6e13098a-a76d-4e97-a44c-d16bf2a2ec3c&amp;token=SlgPxFH4sC9E1SuVeHIiYuicGzR9yP_FWqEblZOU2AFk2IhZb68PR7poYgYAFoTR3CoxRunsfND0nKMq4PQrCZAcnIsbmPe7582qFe3uhxgcSfJyFLq4jradEo5qDWBmt4eh2RggEVb3GGi3Q6wWs7at87QHyRSwubBoMpVocAY_2W2IaTbCmS-GFnsRSQWuTkYPoNNaXl26ESgu78Zc9gQ4I4FqsVOXGQyGlvQFFZ-OubDVwXIG2Y9ETeuOVUuw"/>
    <hyperlink ref="R788" r:id="rId2112" display="https://www.youtube.com/watch?v=My8XfhDvm-8"/>
    <hyperlink ref="R789" r:id="rId2113" display="https://www.youtube.com/watch?v=opO--2cSNUo"/>
    <hyperlink ref="Q790" r:id="rId2114" display="https://gld.legislaturacba.gob.ar/_cdd/api/Documento/descargar?guid=d428156a-33ba-4705-9a81-45cb9e08664e&amp;token=SlgPxFH4sC9E1SuVeHIiYuicGzR9yP_FWqEblZOU2AFk2IhZb68PR7poYgYAFoTR3CoxRunsfND0nKMq4PQrCZAcnIsbmPe7582qFe3uhxgcSfJyFLq4jradEo5qDWBmt4eh2RggEVb3GGi3Q6wWs7at87QHyRSwubBoMpVocAY_2W2IaTbCmS-GFnsRSQWuTkYPoNNaXl26ESgu78Zc9gQ4I4FqsVOXGQyGlvQFFZ-OubDVwXIG2Y9ETeuOVUuw"/>
    <hyperlink ref="R790" r:id="rId2115" display="https://www.youtube.com/watch?v=eBGUoXIUGYU"/>
    <hyperlink ref="Q791" r:id="rId2116" display="https://gld.legislaturacba.gob.ar/_cdd/api/Documento/descargar?guid=1551b1ef-6818-431f-a312-4657d024172f&amp;token=SlgPxFH4sC9E1SuVeHIiYuicGzR9yP_FWqEblZOU2AFk2IhZb68PR7poYgYAFoTR3CoxRunsfND0nKMq4PQrCZAcnIsbmPe7582qFe3uhxgcSfJyFLq4jradEo5qDWBmt4eh2RggEVb3GGi3Q6wWs7at87QHyRSwubBoMpVocAY_2W2IaTbCmS-GFnsRSQWuTkYPoNNaXl26ESgu78Zc9gQ4I4FqsVOXGQyGlvQFFZ-OubDVwXIG2Y9ETeuOVUuw"/>
    <hyperlink ref="R791" r:id="rId2117" display="https://www.youtube.com/watch?v=QTcbsOFN3z0"/>
    <hyperlink ref="S791" r:id="rId2118" display="https://gld.legislaturacba.gob.ar/Publics/Actas.aspx?id=lIUfKXi9S1E="/>
    <hyperlink ref="Q792" r:id="rId2119" display="https://gld.legislaturacba.gob.ar/_cdd/api/Documento/descargar?guid=773ef972-7441-4b5c-ba96-5d0752c49372&amp;token=SlgPxFH4sC9E1SuVeHIiYuicGzR9yP_FWqEblZOU2AFk2IhZb68PR7poYgYAFoTR3CoxRunsfND0nKMq4PQrCZAcnIsbmPe7582qFe3uhxgcSfJyFLq4jradEo5qDWBmt4eh2RggEVb3GGi3Q6wWs7at87QHyRSwubBoMpVocAY_2W2IaTbCmS-GFnsRSQWuTkYPoNNaXl26ESgu78Zc9gQ4I4FqsVOXGQyGlvQFFZ-OubDVwXIG2Y9ETeuOVUuw"/>
    <hyperlink ref="R792" r:id="rId2120" display="https://www.youtube.com/watch?v=nTDdKyrIU34"/>
    <hyperlink ref="S792" r:id="rId2121" display="https://gld.legislaturacba.gob.ar/Publics/Actas.aspx?id=XrjdqrDNRLk="/>
    <hyperlink ref="R793" r:id="rId2122" display="https://www.youtube.com/watch?v=_YtrhgTGiSU"/>
    <hyperlink ref="Q794" r:id="rId2123" display="https://gld.legislaturacba.gob.ar/_cdd/api/Documento/descargar?guid=3a68b32a-8f57-4415-b3c0-a77892283e40&amp;token=SlgPxFH4sC9E1SuVeHIiYuicGzR9yP_FWqEblZOU2AFk2IhZb68PR7poYgYAFoTR3CoxRunsfND0nKMq4PQrCZAcnIsbmPe7582qFe3uhxgcSfJyFLq4jradEo5qDWBmt4eh2RggEVb3GGi3Q6wWs7at87QHyRSwubBoMpVocAY_2W2IaTbCmS-GFnsRSQWuTkYPoNNaXl26ESgu78Zc9gQ4I4FqsVOXGQyGlvQFFZ-OubDVwXIG2Y9ETeuOVUuw"/>
    <hyperlink ref="R794" r:id="rId2124" display="https://www.youtube.com/watch?v=5nkOG7vy1sI"/>
    <hyperlink ref="S794" r:id="rId2125" display="https://gld.legislaturacba.gob.ar/Publics/Actas.aspx?id=K8aIKiJ0wZw="/>
    <hyperlink ref="R795" r:id="rId2126" display="https://www.youtube.com/watch?v=aMhIlX3dwVU"/>
    <hyperlink ref="R796" r:id="rId2127" display="https://www.youtube.com/watch?v=uW5UAHZps6A"/>
    <hyperlink ref="R797" r:id="rId2128" display="https://www.youtube.com/watch?v=6jC6n3GJlf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3"/>
  <sheetViews>
    <sheetView workbookViewId="0"/>
  </sheetViews>
  <sheetFormatPr baseColWidth="10" defaultColWidth="12.5703125" defaultRowHeight="15.75" customHeight="1"/>
  <sheetData>
    <row r="1" spans="1:2">
      <c r="A1" s="9" t="s">
        <v>5333</v>
      </c>
      <c r="B1" s="9" t="s">
        <v>5334</v>
      </c>
    </row>
    <row r="2" spans="1:2">
      <c r="A2" s="20" t="s">
        <v>53</v>
      </c>
      <c r="B2" s="20">
        <f ca="1">IFERROR(__xludf.DUMMYFUNCTION("COUNTUNIQUE(filter('Reuniones Comisiones'!$K:$K,'Reuniones Comisiones'!$B:$B=2023,SEARCH(A2,'Reuniones Comisiones'!$F:$F)&lt;&gt;0,'Reuniones Comisiones'!$J:$J=""Ley""))"),42)</f>
        <v>42</v>
      </c>
    </row>
    <row r="3" spans="1:2">
      <c r="A3" s="20" t="s">
        <v>37</v>
      </c>
      <c r="B3" s="20">
        <f ca="1">IFERROR(__xludf.DUMMYFUNCTION("COUNTUNIQUE(filter('Reuniones Comisiones'!$K:$K,'Reuniones Comisiones'!$B:$B=2023,SEARCH(A3,'Reuniones Comisiones'!$F:$F)&lt;&gt;0,'Reuniones Comisiones'!$J:$J=""Ley""))"),10)</f>
        <v>10</v>
      </c>
    </row>
    <row r="4" spans="1:2">
      <c r="A4" s="20" t="s">
        <v>47</v>
      </c>
      <c r="B4" s="20">
        <f ca="1">IFERROR(__xludf.DUMMYFUNCTION("COUNTUNIQUE(filter('Reuniones Comisiones'!$K:$K,'Reuniones Comisiones'!$B:$B=2023,SEARCH(A4,'Reuniones Comisiones'!$F:$F)&lt;&gt;0,'Reuniones Comisiones'!$J:$J=""Ley""))"),26)</f>
        <v>26</v>
      </c>
    </row>
    <row r="5" spans="1:2">
      <c r="A5" s="20" t="s">
        <v>51</v>
      </c>
      <c r="B5" s="20">
        <f ca="1">IFERROR(__xludf.DUMMYFUNCTION("COUNTUNIQUE(filter('Reuniones Comisiones'!$K:$K,'Reuniones Comisiones'!$B:$B=2023,SEARCH(A5,'Reuniones Comisiones'!$F:$F)&lt;&gt;0,'Reuniones Comisiones'!$J:$J=""Ley""))"),3)</f>
        <v>3</v>
      </c>
    </row>
    <row r="6" spans="1:2">
      <c r="A6" s="20" t="s">
        <v>26</v>
      </c>
      <c r="B6" s="20">
        <f ca="1">IFERROR(__xludf.DUMMYFUNCTION("COUNTUNIQUE(filter('Reuniones Comisiones'!$K:$K,'Reuniones Comisiones'!$B:$B=2023,SEARCH(A6,'Reuniones Comisiones'!$F:$F)&lt;&gt;0,'Reuniones Comisiones'!$J:$J=""Ley""))"),4)</f>
        <v>4</v>
      </c>
    </row>
    <row r="7" spans="1:2">
      <c r="A7" s="20" t="s">
        <v>49</v>
      </c>
      <c r="B7" s="20">
        <f ca="1">IFERROR(__xludf.DUMMYFUNCTION("COUNTUNIQUE(filter('Reuniones Comisiones'!$K:$K,'Reuniones Comisiones'!$B:$B=2023,SEARCH(A7,'Reuniones Comisiones'!$F:$F)&lt;&gt;0,'Reuniones Comisiones'!$J:$J=""Ley""))"),1)</f>
        <v>1</v>
      </c>
    </row>
    <row r="8" spans="1:2">
      <c r="A8" s="20" t="s">
        <v>39</v>
      </c>
      <c r="B8" s="20">
        <f ca="1">IFERROR(__xludf.DUMMYFUNCTION("COUNTUNIQUE(filter('Reuniones Comisiones'!$K:$K,'Reuniones Comisiones'!$B:$B=2023,SEARCH(A8,'Reuniones Comisiones'!$F:$F)&lt;&gt;0,'Reuniones Comisiones'!$J:$J=""Ley""))"),12)</f>
        <v>12</v>
      </c>
    </row>
    <row r="9" spans="1:2">
      <c r="A9" s="20" t="s">
        <v>370</v>
      </c>
      <c r="B9" s="20">
        <f ca="1">IFERROR(__xludf.DUMMYFUNCTION("COUNTUNIQUE(filter('Reuniones Comisiones'!$K:$K,'Reuniones Comisiones'!$B:$B=2023,SEARCH(A9,'Reuniones Comisiones'!$F:$F)&lt;&gt;0,'Reuniones Comisiones'!$J:$J=""Ley""))"),2)</f>
        <v>2</v>
      </c>
    </row>
    <row r="10" spans="1:2">
      <c r="A10" s="20" t="s">
        <v>55</v>
      </c>
      <c r="B10" s="20">
        <f ca="1">IFERROR(__xludf.DUMMYFUNCTION("COUNTUNIQUE(filter('Reuniones Comisiones'!$K:$K,'Reuniones Comisiones'!$B:$B=2023,SEARCH(A10,'Reuniones Comisiones'!$F:$F)&lt;&gt;0,'Reuniones Comisiones'!$J:$J=""Ley""))"),7)</f>
        <v>7</v>
      </c>
    </row>
    <row r="11" spans="1:2">
      <c r="A11" s="20" t="s">
        <v>28</v>
      </c>
      <c r="B11" s="20">
        <f ca="1">IFERROR(__xludf.DUMMYFUNCTION("COUNTUNIQUE(filter('Reuniones Comisiones'!$K:$K,'Reuniones Comisiones'!$B:$B=2023,SEARCH(A11,'Reuniones Comisiones'!$F:$F)&lt;&gt;0,'Reuniones Comisiones'!$J:$J=""Ley""))"),2)</f>
        <v>2</v>
      </c>
    </row>
    <row r="12" spans="1:2">
      <c r="A12" s="20" t="s">
        <v>148</v>
      </c>
      <c r="B12" s="20">
        <f ca="1">IFERROR(__xludf.DUMMYFUNCTION("COUNTUNIQUE(filter('Reuniones Comisiones'!$K:$K,'Reuniones Comisiones'!$B:$B=2023,SEARCH(A12,'Reuniones Comisiones'!$F:$F)&lt;&gt;0,'Reuniones Comisiones'!$J:$J=""Ley""))"),1)</f>
        <v>1</v>
      </c>
    </row>
    <row r="13" spans="1:2">
      <c r="A13" s="20" t="s">
        <v>45</v>
      </c>
      <c r="B13" s="20">
        <f ca="1">IFERROR(__xludf.DUMMYFUNCTION("COUNTUNIQUE(filter('Reuniones Comisiones'!$K:$K,'Reuniones Comisiones'!$B:$B=2023,SEARCH(A13,'Reuniones Comisiones'!$F:$F)&lt;&gt;0,'Reuniones Comisiones'!$J:$J=""Ley""))"),1)</f>
        <v>1</v>
      </c>
    </row>
    <row r="14" spans="1:2">
      <c r="A14" s="20" t="s">
        <v>175</v>
      </c>
      <c r="B14" s="20">
        <f ca="1">IFERROR(__xludf.DUMMYFUNCTION("COUNTUNIQUE(filter('Reuniones Comisiones'!$K:$K,'Reuniones Comisiones'!$B:$B=2023,SEARCH(A14,'Reuniones Comisiones'!$F:$F)&lt;&gt;0,'Reuniones Comisiones'!$J:$J=""Ley""))"),1)</f>
        <v>1</v>
      </c>
    </row>
    <row r="15" spans="1:2">
      <c r="A15" s="20" t="s">
        <v>43</v>
      </c>
      <c r="B15" s="20">
        <f ca="1">IFERROR(__xludf.DUMMYFUNCTION("COUNTUNIQUE(filter('Reuniones Comisiones'!$K:$K,'Reuniones Comisiones'!$B:$B=2023,SEARCH(A15,'Reuniones Comisiones'!$F:$F)&lt;&gt;0,'Reuniones Comisiones'!$J:$J=""Ley""))"),1)</f>
        <v>1</v>
      </c>
    </row>
    <row r="16" spans="1:2">
      <c r="A16" s="20" t="s">
        <v>73</v>
      </c>
      <c r="B16" s="20">
        <f ca="1">IFERROR(__xludf.DUMMYFUNCTION("COUNTUNIQUE(filter('Reuniones Comisiones'!$K:$K,'Reuniones Comisiones'!$B:$B=2023,SEARCH(A16,'Reuniones Comisiones'!$F:$F)&lt;&gt;0,'Reuniones Comisiones'!$J:$J=""Ley""))"),2)</f>
        <v>2</v>
      </c>
    </row>
    <row r="17" spans="1:2">
      <c r="A17" s="20" t="s">
        <v>21</v>
      </c>
      <c r="B17" s="20">
        <f ca="1">IFERROR(__xludf.DUMMYFUNCTION("COUNTUNIQUE(filter('Reuniones Comisiones'!$K:$K,'Reuniones Comisiones'!$B:$B=2023,SEARCH(A17,'Reuniones Comisiones'!$F:$F)&lt;&gt;0,'Reuniones Comisiones'!$J:$J=""Ley""))"),1)</f>
        <v>1</v>
      </c>
    </row>
    <row r="18" spans="1:2">
      <c r="A18" s="20" t="s">
        <v>67</v>
      </c>
      <c r="B18" s="20">
        <f ca="1">IFERROR(__xludf.DUMMYFUNCTION("COUNTUNIQUE(filter('Reuniones Comisiones'!$K:$K,'Reuniones Comisiones'!$B:$B=2023,SEARCH(A18,'Reuniones Comisiones'!$F:$F)&lt;&gt;0,'Reuniones Comisiones'!$J:$J=""Ley""))"),1)</f>
        <v>1</v>
      </c>
    </row>
    <row r="19" spans="1:2">
      <c r="A19" s="20" t="s">
        <v>471</v>
      </c>
      <c r="B19" s="20">
        <f ca="1">IFERROR(__xludf.DUMMYFUNCTION("COUNTUNIQUE(filter('Reuniones Comisiones'!$K:$K,'Reuniones Comisiones'!$B:$B=2023,SEARCH(A19,'Reuniones Comisiones'!$F:$F)&lt;&gt;0,'Reuniones Comisiones'!$J:$J=""Ley""))"),2)</f>
        <v>2</v>
      </c>
    </row>
    <row r="20" spans="1:2">
      <c r="A20" s="20" t="s">
        <v>41</v>
      </c>
      <c r="B20" s="20">
        <f ca="1">IFERROR(__xludf.DUMMYFUNCTION("COUNTUNIQUE(filter('Reuniones Comisiones'!$K:$K,'Reuniones Comisiones'!$B:$B=2023,SEARCH(A20,'Reuniones Comisiones'!$F:$F)&lt;&gt;0,'Reuniones Comisiones'!$J:$J=""Ley""))"),1)</f>
        <v>1</v>
      </c>
    </row>
    <row r="21" spans="1:2">
      <c r="A21" s="20" t="s">
        <v>124</v>
      </c>
      <c r="B21" s="20">
        <f ca="1">IFERROR(__xludf.DUMMYFUNCTION("COUNTUNIQUE(filter('Reuniones Comisiones'!$K:$K,'Reuniones Comisiones'!$B:$B=2023,SEARCH(A21,'Reuniones Comisiones'!$F:$F)&lt;&gt;0,'Reuniones Comisiones'!$J:$J=""Ley""))"),1)</f>
        <v>1</v>
      </c>
    </row>
    <row r="22" spans="1:2">
      <c r="A22" s="20" t="s">
        <v>190</v>
      </c>
      <c r="B22" s="20">
        <f ca="1">IFERROR(__xludf.DUMMYFUNCTION("COUNTUNIQUE(filter('Reuniones Comisiones'!$K:$K,'Reuniones Comisiones'!$B:$B=2023,SEARCH(A22,'Reuniones Comisiones'!$F:$F)&lt;&gt;0,'Reuniones Comisiones'!$J:$J=""Ley""))"),9)</f>
        <v>9</v>
      </c>
    </row>
    <row r="23" spans="1:2">
      <c r="A23" s="20" t="s">
        <v>96</v>
      </c>
      <c r="B23" s="20">
        <f ca="1">IFERROR(__xludf.DUMMYFUNCTION("COUNTUNIQUE(filter('Reuniones Comisiones'!$K:$K,'Reuniones Comisiones'!$B:$B=2023,SEARCH(A23,'Reuniones Comisiones'!$F:$F)&lt;&gt;0,'Reuniones Comisiones'!$J:$J=""Ley""))"),1)</f>
        <v>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87"/>
  <sheetViews>
    <sheetView workbookViewId="0"/>
  </sheetViews>
  <sheetFormatPr baseColWidth="10" defaultColWidth="12.5703125" defaultRowHeight="15.75" customHeight="1"/>
  <cols>
    <col min="1" max="1" width="4.7109375" customWidth="1"/>
    <col min="2" max="2" width="11.42578125" customWidth="1"/>
    <col min="5" max="9" width="18.85546875" customWidth="1"/>
  </cols>
  <sheetData>
    <row r="1" spans="1:9">
      <c r="A1" s="115" t="s">
        <v>5335</v>
      </c>
      <c r="B1" s="116" t="s">
        <v>5336</v>
      </c>
      <c r="C1" s="116" t="s">
        <v>5337</v>
      </c>
      <c r="D1" s="116" t="s">
        <v>5338</v>
      </c>
      <c r="E1" s="147" t="s">
        <v>5339</v>
      </c>
      <c r="F1" s="148"/>
      <c r="G1" s="148"/>
      <c r="H1" s="148"/>
      <c r="I1" s="149"/>
    </row>
    <row r="2" spans="1:9">
      <c r="A2" s="117">
        <v>2020</v>
      </c>
      <c r="B2" s="118" t="s">
        <v>102</v>
      </c>
      <c r="C2" s="119">
        <v>43970</v>
      </c>
      <c r="D2" s="118" t="s">
        <v>33</v>
      </c>
      <c r="E2" s="120" t="s">
        <v>28</v>
      </c>
      <c r="F2" s="120" t="s">
        <v>55</v>
      </c>
      <c r="G2" s="120"/>
      <c r="H2" s="120"/>
      <c r="I2" s="120"/>
    </row>
    <row r="3" spans="1:9">
      <c r="A3" s="121">
        <v>2020</v>
      </c>
      <c r="B3" s="122" t="s">
        <v>102</v>
      </c>
      <c r="C3" s="123">
        <v>43970</v>
      </c>
      <c r="D3" s="122" t="s">
        <v>20</v>
      </c>
      <c r="E3" s="124" t="s">
        <v>148</v>
      </c>
      <c r="F3" s="124"/>
      <c r="G3" s="124"/>
      <c r="H3" s="124"/>
      <c r="I3" s="124"/>
    </row>
    <row r="4" spans="1:9">
      <c r="A4" s="117">
        <v>2020</v>
      </c>
      <c r="B4" s="118" t="s">
        <v>102</v>
      </c>
      <c r="C4" s="119">
        <v>43971</v>
      </c>
      <c r="D4" s="118" t="s">
        <v>20</v>
      </c>
      <c r="E4" s="120" t="s">
        <v>21</v>
      </c>
      <c r="F4" s="120"/>
      <c r="G4" s="120"/>
      <c r="H4" s="120"/>
      <c r="I4" s="120"/>
    </row>
    <row r="5" spans="1:9">
      <c r="A5" s="121">
        <v>2020</v>
      </c>
      <c r="B5" s="122" t="s">
        <v>102</v>
      </c>
      <c r="C5" s="123">
        <v>43977</v>
      </c>
      <c r="D5" s="122" t="s">
        <v>20</v>
      </c>
      <c r="E5" s="124" t="s">
        <v>79</v>
      </c>
      <c r="F5" s="124"/>
      <c r="G5" s="124"/>
      <c r="H5" s="124"/>
      <c r="I5" s="124"/>
    </row>
    <row r="6" spans="1:9">
      <c r="A6" s="117">
        <v>2020</v>
      </c>
      <c r="B6" s="118" t="s">
        <v>102</v>
      </c>
      <c r="C6" s="119">
        <v>43979</v>
      </c>
      <c r="D6" s="118" t="s">
        <v>20</v>
      </c>
      <c r="E6" s="120" t="s">
        <v>175</v>
      </c>
      <c r="F6" s="120"/>
      <c r="G6" s="120"/>
      <c r="H6" s="120"/>
      <c r="I6" s="120"/>
    </row>
    <row r="7" spans="1:9">
      <c r="A7" s="121">
        <v>2020</v>
      </c>
      <c r="B7" s="122" t="s">
        <v>102</v>
      </c>
      <c r="C7" s="123">
        <v>43984</v>
      </c>
      <c r="D7" s="122" t="s">
        <v>33</v>
      </c>
      <c r="E7" s="124" t="s">
        <v>5340</v>
      </c>
      <c r="F7" s="124" t="s">
        <v>55</v>
      </c>
      <c r="G7" s="124"/>
      <c r="H7" s="124"/>
      <c r="I7" s="124"/>
    </row>
    <row r="8" spans="1:9">
      <c r="A8" s="117">
        <v>2020</v>
      </c>
      <c r="B8" s="118" t="s">
        <v>102</v>
      </c>
      <c r="C8" s="119">
        <v>43993</v>
      </c>
      <c r="D8" s="118" t="s">
        <v>33</v>
      </c>
      <c r="E8" s="120" t="s">
        <v>67</v>
      </c>
      <c r="F8" s="120" t="s">
        <v>190</v>
      </c>
      <c r="G8" s="120"/>
      <c r="H8" s="120"/>
      <c r="I8" s="120"/>
    </row>
    <row r="9" spans="1:9">
      <c r="A9" s="121">
        <v>2020</v>
      </c>
      <c r="B9" s="122" t="s">
        <v>102</v>
      </c>
      <c r="C9" s="123">
        <v>43998</v>
      </c>
      <c r="D9" s="122" t="s">
        <v>33</v>
      </c>
      <c r="E9" s="124" t="s">
        <v>39</v>
      </c>
      <c r="F9" s="124" t="s">
        <v>53</v>
      </c>
      <c r="G9" s="124"/>
      <c r="H9" s="124"/>
      <c r="I9" s="124"/>
    </row>
    <row r="10" spans="1:9">
      <c r="A10" s="117">
        <v>2020</v>
      </c>
      <c r="B10" s="118" t="s">
        <v>102</v>
      </c>
      <c r="C10" s="119">
        <v>43999</v>
      </c>
      <c r="D10" s="118" t="s">
        <v>20</v>
      </c>
      <c r="E10" s="120" t="s">
        <v>45</v>
      </c>
      <c r="F10" s="120"/>
      <c r="G10" s="120"/>
      <c r="H10" s="120"/>
      <c r="I10" s="120"/>
    </row>
    <row r="11" spans="1:9">
      <c r="A11" s="121">
        <v>2020</v>
      </c>
      <c r="B11" s="122" t="s">
        <v>102</v>
      </c>
      <c r="C11" s="123">
        <v>44000</v>
      </c>
      <c r="D11" s="122" t="s">
        <v>20</v>
      </c>
      <c r="E11" s="124" t="s">
        <v>37</v>
      </c>
      <c r="F11" s="124"/>
      <c r="G11" s="124"/>
      <c r="H11" s="124"/>
      <c r="I11" s="124"/>
    </row>
    <row r="12" spans="1:9">
      <c r="A12" s="117">
        <v>2020</v>
      </c>
      <c r="B12" s="118" t="s">
        <v>102</v>
      </c>
      <c r="C12" s="119">
        <v>44005</v>
      </c>
      <c r="D12" s="118" t="s">
        <v>20</v>
      </c>
      <c r="E12" s="120" t="s">
        <v>3491</v>
      </c>
      <c r="F12" s="120"/>
      <c r="G12" s="120"/>
      <c r="H12" s="120"/>
      <c r="I12" s="120"/>
    </row>
    <row r="13" spans="1:9">
      <c r="A13" s="121">
        <v>2020</v>
      </c>
      <c r="B13" s="122" t="s">
        <v>102</v>
      </c>
      <c r="C13" s="123">
        <v>44005</v>
      </c>
      <c r="D13" s="122" t="s">
        <v>33</v>
      </c>
      <c r="E13" s="124" t="s">
        <v>55</v>
      </c>
      <c r="F13" s="124" t="s">
        <v>148</v>
      </c>
      <c r="G13" s="124"/>
      <c r="H13" s="124"/>
      <c r="I13" s="124"/>
    </row>
    <row r="14" spans="1:9">
      <c r="A14" s="117">
        <v>2020</v>
      </c>
      <c r="B14" s="118" t="s">
        <v>102</v>
      </c>
      <c r="C14" s="119">
        <v>44006</v>
      </c>
      <c r="D14" s="118" t="s">
        <v>20</v>
      </c>
      <c r="E14" s="120" t="s">
        <v>41</v>
      </c>
      <c r="F14" s="120"/>
      <c r="G14" s="120"/>
      <c r="H14" s="120"/>
      <c r="I14" s="120"/>
    </row>
    <row r="15" spans="1:9">
      <c r="A15" s="121">
        <v>2020</v>
      </c>
      <c r="B15" s="122" t="s">
        <v>102</v>
      </c>
      <c r="C15" s="123">
        <v>44007</v>
      </c>
      <c r="D15" s="122" t="s">
        <v>20</v>
      </c>
      <c r="E15" s="124" t="s">
        <v>35</v>
      </c>
      <c r="F15" s="124"/>
      <c r="G15" s="124"/>
      <c r="H15" s="124"/>
      <c r="I15" s="124"/>
    </row>
    <row r="16" spans="1:9">
      <c r="A16" s="117">
        <v>2020</v>
      </c>
      <c r="B16" s="118" t="s">
        <v>102</v>
      </c>
      <c r="C16" s="119">
        <v>44019</v>
      </c>
      <c r="D16" s="118" t="s">
        <v>20</v>
      </c>
      <c r="E16" s="120" t="s">
        <v>37</v>
      </c>
      <c r="F16" s="120"/>
      <c r="G16" s="120"/>
      <c r="H16" s="120"/>
      <c r="I16" s="120"/>
    </row>
    <row r="17" spans="1:9">
      <c r="A17" s="121">
        <v>2020</v>
      </c>
      <c r="B17" s="122" t="s">
        <v>102</v>
      </c>
      <c r="C17" s="123">
        <v>44019</v>
      </c>
      <c r="D17" s="122" t="s">
        <v>33</v>
      </c>
      <c r="E17" s="124" t="s">
        <v>3491</v>
      </c>
      <c r="F17" s="124" t="s">
        <v>175</v>
      </c>
      <c r="G17" s="124"/>
      <c r="H17" s="124"/>
      <c r="I17" s="124"/>
    </row>
    <row r="18" spans="1:9">
      <c r="A18" s="117">
        <v>2020</v>
      </c>
      <c r="B18" s="118" t="s">
        <v>102</v>
      </c>
      <c r="C18" s="119">
        <v>44026</v>
      </c>
      <c r="D18" s="118" t="s">
        <v>20</v>
      </c>
      <c r="E18" s="120" t="s">
        <v>79</v>
      </c>
      <c r="F18" s="120"/>
      <c r="G18" s="120"/>
      <c r="H18" s="120"/>
      <c r="I18" s="120"/>
    </row>
    <row r="19" spans="1:9">
      <c r="A19" s="121">
        <v>2020</v>
      </c>
      <c r="B19" s="122" t="s">
        <v>102</v>
      </c>
      <c r="C19" s="123">
        <v>44033</v>
      </c>
      <c r="D19" s="122" t="s">
        <v>20</v>
      </c>
      <c r="E19" s="124" t="s">
        <v>41</v>
      </c>
      <c r="F19" s="124"/>
      <c r="G19" s="124"/>
      <c r="H19" s="124"/>
      <c r="I19" s="124"/>
    </row>
    <row r="20" spans="1:9">
      <c r="A20" s="117">
        <v>2020</v>
      </c>
      <c r="B20" s="118" t="s">
        <v>102</v>
      </c>
      <c r="C20" s="119">
        <v>44040</v>
      </c>
      <c r="D20" s="118" t="s">
        <v>20</v>
      </c>
      <c r="E20" s="120" t="s">
        <v>28</v>
      </c>
      <c r="F20" s="120"/>
      <c r="G20" s="120"/>
      <c r="H20" s="120"/>
      <c r="I20" s="120"/>
    </row>
    <row r="21" spans="1:9">
      <c r="A21" s="121">
        <v>2020</v>
      </c>
      <c r="B21" s="122" t="s">
        <v>102</v>
      </c>
      <c r="C21" s="123">
        <v>44042</v>
      </c>
      <c r="D21" s="122" t="s">
        <v>20</v>
      </c>
      <c r="E21" s="124" t="s">
        <v>41</v>
      </c>
      <c r="F21" s="124"/>
      <c r="G21" s="124"/>
      <c r="H21" s="124"/>
      <c r="I21" s="124"/>
    </row>
    <row r="22" spans="1:9">
      <c r="A22" s="117">
        <v>2020</v>
      </c>
      <c r="B22" s="118" t="s">
        <v>102</v>
      </c>
      <c r="C22" s="119">
        <v>44047</v>
      </c>
      <c r="D22" s="118" t="s">
        <v>20</v>
      </c>
      <c r="E22" s="120" t="s">
        <v>41</v>
      </c>
      <c r="F22" s="120"/>
      <c r="G22" s="120"/>
      <c r="H22" s="120"/>
      <c r="I22" s="120"/>
    </row>
    <row r="23" spans="1:9">
      <c r="A23" s="121">
        <v>2020</v>
      </c>
      <c r="B23" s="122" t="s">
        <v>102</v>
      </c>
      <c r="C23" s="123">
        <v>44056</v>
      </c>
      <c r="D23" s="122" t="s">
        <v>20</v>
      </c>
      <c r="E23" s="124" t="s">
        <v>55</v>
      </c>
      <c r="F23" s="124"/>
      <c r="G23" s="124"/>
      <c r="H23" s="124"/>
      <c r="I23" s="124"/>
    </row>
    <row r="24" spans="1:9">
      <c r="A24" s="117">
        <v>2020</v>
      </c>
      <c r="B24" s="118" t="s">
        <v>102</v>
      </c>
      <c r="C24" s="119">
        <v>44063</v>
      </c>
      <c r="D24" s="118" t="s">
        <v>20</v>
      </c>
      <c r="E24" s="120" t="s">
        <v>39</v>
      </c>
      <c r="F24" s="120"/>
      <c r="G24" s="120"/>
      <c r="H24" s="120"/>
      <c r="I24" s="120"/>
    </row>
    <row r="25" spans="1:9">
      <c r="A25" s="121">
        <v>2020</v>
      </c>
      <c r="B25" s="122" t="s">
        <v>102</v>
      </c>
      <c r="C25" s="123">
        <v>44068</v>
      </c>
      <c r="D25" s="122" t="s">
        <v>33</v>
      </c>
      <c r="E25" s="124" t="s">
        <v>26</v>
      </c>
      <c r="F25" s="124" t="s">
        <v>175</v>
      </c>
      <c r="G25" s="124"/>
      <c r="H25" s="124"/>
      <c r="I25" s="124"/>
    </row>
    <row r="26" spans="1:9">
      <c r="A26" s="117">
        <v>2020</v>
      </c>
      <c r="B26" s="118" t="s">
        <v>102</v>
      </c>
      <c r="C26" s="119">
        <v>44068</v>
      </c>
      <c r="D26" s="118" t="s">
        <v>33</v>
      </c>
      <c r="E26" s="120" t="s">
        <v>28</v>
      </c>
      <c r="F26" s="120" t="s">
        <v>55</v>
      </c>
      <c r="G26" s="120"/>
      <c r="H26" s="120"/>
      <c r="I26" s="120"/>
    </row>
    <row r="27" spans="1:9">
      <c r="A27" s="121">
        <v>2020</v>
      </c>
      <c r="B27" s="122" t="s">
        <v>102</v>
      </c>
      <c r="C27" s="123">
        <v>44068</v>
      </c>
      <c r="D27" s="122" t="s">
        <v>20</v>
      </c>
      <c r="E27" s="124" t="s">
        <v>43</v>
      </c>
      <c r="F27" s="124"/>
      <c r="G27" s="124"/>
      <c r="H27" s="124"/>
      <c r="I27" s="124"/>
    </row>
    <row r="28" spans="1:9">
      <c r="A28" s="117">
        <v>2020</v>
      </c>
      <c r="B28" s="118" t="s">
        <v>102</v>
      </c>
      <c r="C28" s="119">
        <v>44070</v>
      </c>
      <c r="D28" s="118" t="s">
        <v>20</v>
      </c>
      <c r="E28" s="120" t="s">
        <v>73</v>
      </c>
      <c r="F28" s="120"/>
      <c r="G28" s="120"/>
      <c r="H28" s="120"/>
      <c r="I28" s="120"/>
    </row>
    <row r="29" spans="1:9">
      <c r="A29" s="121">
        <v>2020</v>
      </c>
      <c r="B29" s="122" t="s">
        <v>102</v>
      </c>
      <c r="C29" s="123">
        <v>44076</v>
      </c>
      <c r="D29" s="122" t="s">
        <v>20</v>
      </c>
      <c r="E29" s="124" t="s">
        <v>51</v>
      </c>
      <c r="F29" s="124"/>
      <c r="G29" s="124"/>
      <c r="H29" s="124"/>
      <c r="I29" s="124"/>
    </row>
    <row r="30" spans="1:9">
      <c r="A30" s="117">
        <v>2020</v>
      </c>
      <c r="B30" s="118" t="s">
        <v>102</v>
      </c>
      <c r="C30" s="119">
        <v>44082</v>
      </c>
      <c r="D30" s="118" t="s">
        <v>33</v>
      </c>
      <c r="E30" s="120" t="s">
        <v>26</v>
      </c>
      <c r="F30" s="120" t="s">
        <v>28</v>
      </c>
      <c r="G30" s="120"/>
      <c r="H30" s="120"/>
      <c r="I30" s="120"/>
    </row>
    <row r="31" spans="1:9">
      <c r="A31" s="121">
        <v>2020</v>
      </c>
      <c r="B31" s="122" t="s">
        <v>102</v>
      </c>
      <c r="C31" s="123">
        <v>44083</v>
      </c>
      <c r="D31" s="122" t="s">
        <v>33</v>
      </c>
      <c r="E31" s="124" t="s">
        <v>21</v>
      </c>
      <c r="F31" s="124" t="s">
        <v>53</v>
      </c>
      <c r="G31" s="124" t="s">
        <v>43</v>
      </c>
      <c r="H31" s="124"/>
      <c r="I31" s="124"/>
    </row>
    <row r="32" spans="1:9">
      <c r="A32" s="117">
        <v>2020</v>
      </c>
      <c r="B32" s="118" t="s">
        <v>102</v>
      </c>
      <c r="C32" s="125">
        <v>44083</v>
      </c>
      <c r="D32" s="118" t="s">
        <v>20</v>
      </c>
      <c r="E32" s="120" t="s">
        <v>41</v>
      </c>
      <c r="F32" s="120"/>
      <c r="G32" s="120"/>
      <c r="H32" s="120"/>
      <c r="I32" s="120"/>
    </row>
    <row r="33" spans="1:9">
      <c r="A33" s="121">
        <v>2020</v>
      </c>
      <c r="B33" s="122" t="s">
        <v>102</v>
      </c>
      <c r="C33" s="123">
        <v>44096</v>
      </c>
      <c r="D33" s="122" t="s">
        <v>33</v>
      </c>
      <c r="E33" s="124" t="s">
        <v>51</v>
      </c>
      <c r="F33" s="124" t="s">
        <v>148</v>
      </c>
      <c r="G33" s="124"/>
      <c r="H33" s="124"/>
      <c r="I33" s="124"/>
    </row>
    <row r="34" spans="1:9">
      <c r="A34" s="117">
        <v>2020</v>
      </c>
      <c r="B34" s="118" t="s">
        <v>102</v>
      </c>
      <c r="C34" s="119">
        <v>44098</v>
      </c>
      <c r="D34" s="118" t="s">
        <v>33</v>
      </c>
      <c r="E34" s="120" t="s">
        <v>175</v>
      </c>
      <c r="F34" s="120" t="s">
        <v>3491</v>
      </c>
      <c r="G34" s="120"/>
      <c r="H34" s="120"/>
      <c r="I34" s="120"/>
    </row>
    <row r="35" spans="1:9">
      <c r="A35" s="121">
        <v>2020</v>
      </c>
      <c r="B35" s="122" t="s">
        <v>102</v>
      </c>
      <c r="C35" s="126">
        <v>44067</v>
      </c>
      <c r="D35" s="122" t="s">
        <v>20</v>
      </c>
      <c r="E35" s="124" t="s">
        <v>190</v>
      </c>
      <c r="F35" s="124"/>
      <c r="G35" s="124"/>
      <c r="H35" s="124"/>
      <c r="I35" s="124"/>
    </row>
    <row r="36" spans="1:9">
      <c r="A36" s="117">
        <v>2020</v>
      </c>
      <c r="B36" s="118" t="s">
        <v>102</v>
      </c>
      <c r="C36" s="119">
        <v>44103</v>
      </c>
      <c r="D36" s="118" t="s">
        <v>20</v>
      </c>
      <c r="E36" s="120" t="s">
        <v>51</v>
      </c>
      <c r="F36" s="120"/>
      <c r="G36" s="120"/>
      <c r="H36" s="120"/>
      <c r="I36" s="120"/>
    </row>
    <row r="37" spans="1:9">
      <c r="A37" s="121">
        <v>2020</v>
      </c>
      <c r="B37" s="122" t="s">
        <v>102</v>
      </c>
      <c r="C37" s="123">
        <v>44105</v>
      </c>
      <c r="D37" s="122" t="s">
        <v>20</v>
      </c>
      <c r="E37" s="124" t="s">
        <v>41</v>
      </c>
      <c r="F37" s="124"/>
      <c r="G37" s="124"/>
      <c r="H37" s="124"/>
      <c r="I37" s="124"/>
    </row>
    <row r="38" spans="1:9">
      <c r="A38" s="127">
        <v>2020</v>
      </c>
      <c r="B38" s="128" t="s">
        <v>102</v>
      </c>
      <c r="C38" s="129">
        <v>44109</v>
      </c>
      <c r="D38" s="128" t="s">
        <v>20</v>
      </c>
      <c r="E38" s="130" t="s">
        <v>45</v>
      </c>
      <c r="F38" s="130"/>
      <c r="G38" s="130"/>
      <c r="H38" s="130"/>
      <c r="I38" s="130"/>
    </row>
    <row r="39" spans="1:9">
      <c r="A39" s="121">
        <v>2020</v>
      </c>
      <c r="B39" s="122" t="s">
        <v>102</v>
      </c>
      <c r="C39" s="123">
        <v>44110</v>
      </c>
      <c r="D39" s="122" t="s">
        <v>33</v>
      </c>
      <c r="E39" s="124" t="s">
        <v>47</v>
      </c>
      <c r="F39" s="124" t="s">
        <v>53</v>
      </c>
      <c r="G39" s="124"/>
      <c r="H39" s="124"/>
      <c r="I39" s="124"/>
    </row>
    <row r="40" spans="1:9">
      <c r="A40" s="117">
        <v>2020</v>
      </c>
      <c r="B40" s="118" t="s">
        <v>102</v>
      </c>
      <c r="C40" s="119">
        <v>44112</v>
      </c>
      <c r="D40" s="118" t="s">
        <v>33</v>
      </c>
      <c r="E40" s="120" t="s">
        <v>26</v>
      </c>
      <c r="F40" s="120" t="s">
        <v>37</v>
      </c>
      <c r="G40" s="120"/>
      <c r="H40" s="120"/>
      <c r="I40" s="120"/>
    </row>
    <row r="41" spans="1:9">
      <c r="A41" s="121">
        <v>2020</v>
      </c>
      <c r="B41" s="122" t="s">
        <v>102</v>
      </c>
      <c r="C41" s="123">
        <v>44112</v>
      </c>
      <c r="D41" s="122" t="s">
        <v>20</v>
      </c>
      <c r="E41" s="124" t="s">
        <v>471</v>
      </c>
      <c r="F41" s="124"/>
      <c r="G41" s="124"/>
      <c r="H41" s="124"/>
      <c r="I41" s="124"/>
    </row>
    <row r="42" spans="1:9">
      <c r="A42" s="117">
        <v>2020</v>
      </c>
      <c r="B42" s="118" t="s">
        <v>102</v>
      </c>
      <c r="C42" s="119">
        <v>44117</v>
      </c>
      <c r="D42" s="118" t="s">
        <v>20</v>
      </c>
      <c r="E42" s="120" t="s">
        <v>39</v>
      </c>
      <c r="F42" s="120"/>
      <c r="G42" s="120"/>
      <c r="H42" s="120"/>
      <c r="I42" s="120"/>
    </row>
    <row r="43" spans="1:9">
      <c r="A43" s="121">
        <v>2020</v>
      </c>
      <c r="B43" s="122" t="s">
        <v>102</v>
      </c>
      <c r="C43" s="123">
        <v>44119</v>
      </c>
      <c r="D43" s="122" t="s">
        <v>20</v>
      </c>
      <c r="E43" s="124" t="s">
        <v>190</v>
      </c>
      <c r="F43" s="124"/>
      <c r="G43" s="124"/>
      <c r="H43" s="124"/>
      <c r="I43" s="124"/>
    </row>
    <row r="44" spans="1:9">
      <c r="A44" s="117">
        <v>2020</v>
      </c>
      <c r="B44" s="118" t="s">
        <v>102</v>
      </c>
      <c r="C44" s="119">
        <v>44124</v>
      </c>
      <c r="D44" s="118" t="s">
        <v>33</v>
      </c>
      <c r="E44" s="120" t="s">
        <v>190</v>
      </c>
      <c r="F44" s="120" t="s">
        <v>53</v>
      </c>
      <c r="G44" s="120"/>
      <c r="H44" s="120"/>
      <c r="I44" s="120"/>
    </row>
    <row r="45" spans="1:9">
      <c r="A45" s="121">
        <v>2020</v>
      </c>
      <c r="B45" s="122" t="s">
        <v>102</v>
      </c>
      <c r="C45" s="123">
        <v>44126</v>
      </c>
      <c r="D45" s="122" t="s">
        <v>20</v>
      </c>
      <c r="E45" s="124" t="s">
        <v>41</v>
      </c>
      <c r="F45" s="124"/>
      <c r="G45" s="124"/>
      <c r="H45" s="124"/>
      <c r="I45" s="124"/>
    </row>
    <row r="46" spans="1:9">
      <c r="A46" s="117">
        <v>2020</v>
      </c>
      <c r="B46" s="118" t="s">
        <v>102</v>
      </c>
      <c r="C46" s="119">
        <v>44126</v>
      </c>
      <c r="D46" s="118" t="s">
        <v>20</v>
      </c>
      <c r="E46" s="120" t="s">
        <v>43</v>
      </c>
      <c r="F46" s="120"/>
      <c r="G46" s="120"/>
      <c r="H46" s="120"/>
      <c r="I46" s="120"/>
    </row>
    <row r="47" spans="1:9">
      <c r="A47" s="121">
        <v>2020</v>
      </c>
      <c r="B47" s="122" t="s">
        <v>102</v>
      </c>
      <c r="C47" s="123">
        <v>44131</v>
      </c>
      <c r="D47" s="122" t="s">
        <v>33</v>
      </c>
      <c r="E47" s="124" t="s">
        <v>41</v>
      </c>
      <c r="F47" s="124" t="s">
        <v>53</v>
      </c>
      <c r="G47" s="124"/>
      <c r="H47" s="124"/>
      <c r="I47" s="124"/>
    </row>
    <row r="48" spans="1:9">
      <c r="A48" s="117">
        <v>2020</v>
      </c>
      <c r="B48" s="118" t="s">
        <v>102</v>
      </c>
      <c r="C48" s="119">
        <v>44131</v>
      </c>
      <c r="D48" s="118" t="s">
        <v>20</v>
      </c>
      <c r="E48" s="120" t="s">
        <v>21</v>
      </c>
      <c r="F48" s="120"/>
      <c r="G48" s="120"/>
      <c r="H48" s="120"/>
      <c r="I48" s="120"/>
    </row>
    <row r="49" spans="1:9">
      <c r="A49" s="121">
        <v>2020</v>
      </c>
      <c r="B49" s="122" t="s">
        <v>102</v>
      </c>
      <c r="C49" s="123">
        <v>44133</v>
      </c>
      <c r="D49" s="122" t="s">
        <v>20</v>
      </c>
      <c r="E49" s="124" t="s">
        <v>55</v>
      </c>
      <c r="F49" s="124"/>
      <c r="G49" s="124"/>
      <c r="H49" s="124"/>
      <c r="I49" s="124"/>
    </row>
    <row r="50" spans="1:9">
      <c r="A50" s="117">
        <v>2020</v>
      </c>
      <c r="B50" s="118" t="s">
        <v>102</v>
      </c>
      <c r="C50" s="119">
        <v>44145</v>
      </c>
      <c r="D50" s="118" t="s">
        <v>33</v>
      </c>
      <c r="E50" s="120" t="s">
        <v>55</v>
      </c>
      <c r="F50" s="120" t="s">
        <v>53</v>
      </c>
      <c r="G50" s="120"/>
      <c r="H50" s="120"/>
      <c r="I50" s="120"/>
    </row>
    <row r="51" spans="1:9">
      <c r="A51" s="121">
        <v>2020</v>
      </c>
      <c r="B51" s="122" t="s">
        <v>102</v>
      </c>
      <c r="C51" s="123">
        <v>44147</v>
      </c>
      <c r="D51" s="122" t="s">
        <v>33</v>
      </c>
      <c r="E51" s="124" t="s">
        <v>148</v>
      </c>
      <c r="F51" s="124" t="s">
        <v>47</v>
      </c>
      <c r="G51" s="124"/>
      <c r="H51" s="124"/>
      <c r="I51" s="124"/>
    </row>
    <row r="52" spans="1:9">
      <c r="A52" s="117">
        <v>2020</v>
      </c>
      <c r="B52" s="118" t="s">
        <v>102</v>
      </c>
      <c r="C52" s="119">
        <v>44147</v>
      </c>
      <c r="D52" s="118" t="s">
        <v>20</v>
      </c>
      <c r="E52" s="120" t="s">
        <v>67</v>
      </c>
      <c r="F52" s="120"/>
      <c r="G52" s="120"/>
      <c r="H52" s="120"/>
      <c r="I52" s="120"/>
    </row>
    <row r="53" spans="1:9">
      <c r="A53" s="121">
        <v>2020</v>
      </c>
      <c r="B53" s="122" t="s">
        <v>102</v>
      </c>
      <c r="C53" s="123">
        <v>44168</v>
      </c>
      <c r="D53" s="122" t="s">
        <v>33</v>
      </c>
      <c r="E53" s="124" t="s">
        <v>37</v>
      </c>
      <c r="F53" s="124" t="s">
        <v>53</v>
      </c>
      <c r="G53" s="124"/>
      <c r="H53" s="124"/>
      <c r="I53" s="124"/>
    </row>
    <row r="54" spans="1:9">
      <c r="A54" s="117">
        <v>2020</v>
      </c>
      <c r="B54" s="118" t="s">
        <v>102</v>
      </c>
      <c r="C54" s="119">
        <v>44168</v>
      </c>
      <c r="D54" s="118" t="s">
        <v>20</v>
      </c>
      <c r="E54" s="120" t="s">
        <v>73</v>
      </c>
      <c r="F54" s="120"/>
      <c r="G54" s="120"/>
      <c r="H54" s="120"/>
      <c r="I54" s="120"/>
    </row>
    <row r="55" spans="1:9">
      <c r="A55" s="121">
        <v>2020</v>
      </c>
      <c r="B55" s="122" t="s">
        <v>102</v>
      </c>
      <c r="C55" s="123">
        <v>44168</v>
      </c>
      <c r="D55" s="122" t="s">
        <v>33</v>
      </c>
      <c r="E55" s="124" t="s">
        <v>55</v>
      </c>
      <c r="F55" s="124" t="s">
        <v>53</v>
      </c>
      <c r="G55" s="124" t="s">
        <v>37</v>
      </c>
      <c r="H55" s="124"/>
      <c r="I55" s="124"/>
    </row>
    <row r="56" spans="1:9">
      <c r="A56" s="117">
        <v>2020</v>
      </c>
      <c r="B56" s="118" t="s">
        <v>102</v>
      </c>
      <c r="C56" s="119">
        <v>44175</v>
      </c>
      <c r="D56" s="118" t="s">
        <v>33</v>
      </c>
      <c r="E56" s="120" t="s">
        <v>37</v>
      </c>
      <c r="F56" s="120" t="s">
        <v>53</v>
      </c>
      <c r="G56" s="120"/>
      <c r="H56" s="120"/>
      <c r="I56" s="120"/>
    </row>
    <row r="57" spans="1:9">
      <c r="A57" s="121">
        <v>2020</v>
      </c>
      <c r="B57" s="122" t="s">
        <v>102</v>
      </c>
      <c r="C57" s="123">
        <v>44180</v>
      </c>
      <c r="D57" s="122" t="s">
        <v>20</v>
      </c>
      <c r="E57" s="124" t="s">
        <v>21</v>
      </c>
      <c r="F57" s="124"/>
      <c r="G57" s="124"/>
      <c r="H57" s="124"/>
      <c r="I57" s="124"/>
    </row>
    <row r="58" spans="1:9">
      <c r="A58" s="117">
        <v>2020</v>
      </c>
      <c r="B58" s="118" t="s">
        <v>102</v>
      </c>
      <c r="C58" s="119">
        <v>44181</v>
      </c>
      <c r="D58" s="118" t="s">
        <v>20</v>
      </c>
      <c r="E58" s="120" t="s">
        <v>73</v>
      </c>
      <c r="F58" s="120"/>
      <c r="G58" s="120"/>
      <c r="H58" s="120"/>
      <c r="I58" s="120"/>
    </row>
    <row r="59" spans="1:9">
      <c r="A59" s="121">
        <v>2020</v>
      </c>
      <c r="B59" s="122" t="s">
        <v>102</v>
      </c>
      <c r="C59" s="123">
        <v>44182</v>
      </c>
      <c r="D59" s="122" t="s">
        <v>20</v>
      </c>
      <c r="E59" s="124" t="s">
        <v>28</v>
      </c>
      <c r="F59" s="124"/>
      <c r="G59" s="124"/>
      <c r="H59" s="124"/>
      <c r="I59" s="124"/>
    </row>
    <row r="60" spans="1:9">
      <c r="A60" s="117">
        <v>2020</v>
      </c>
      <c r="B60" s="118" t="s">
        <v>102</v>
      </c>
      <c r="C60" s="119">
        <v>44182</v>
      </c>
      <c r="D60" s="118" t="s">
        <v>33</v>
      </c>
      <c r="E60" s="120" t="s">
        <v>37</v>
      </c>
      <c r="F60" s="120" t="s">
        <v>53</v>
      </c>
      <c r="G60" s="120"/>
      <c r="H60" s="120"/>
      <c r="I60" s="120"/>
    </row>
    <row r="61" spans="1:9">
      <c r="A61" s="121">
        <v>2020</v>
      </c>
      <c r="B61" s="122" t="s">
        <v>102</v>
      </c>
      <c r="C61" s="123">
        <v>44182</v>
      </c>
      <c r="D61" s="122" t="s">
        <v>20</v>
      </c>
      <c r="E61" s="124" t="s">
        <v>41</v>
      </c>
      <c r="F61" s="124"/>
      <c r="G61" s="124"/>
      <c r="H61" s="124"/>
      <c r="I61" s="124"/>
    </row>
    <row r="62" spans="1:9">
      <c r="A62" s="117">
        <v>2020</v>
      </c>
      <c r="B62" s="118" t="s">
        <v>102</v>
      </c>
      <c r="C62" s="126">
        <v>44154</v>
      </c>
      <c r="D62" s="118" t="s">
        <v>20</v>
      </c>
      <c r="E62" s="120" t="s">
        <v>148</v>
      </c>
      <c r="F62" s="120"/>
      <c r="G62" s="120"/>
      <c r="H62" s="120"/>
      <c r="I62" s="120"/>
    </row>
    <row r="63" spans="1:9">
      <c r="A63" s="121">
        <v>2020</v>
      </c>
      <c r="B63" s="122" t="s">
        <v>102</v>
      </c>
      <c r="C63" s="123">
        <v>44187</v>
      </c>
      <c r="D63" s="122" t="s">
        <v>33</v>
      </c>
      <c r="E63" s="124" t="s">
        <v>28</v>
      </c>
      <c r="F63" s="124"/>
      <c r="G63" s="124"/>
      <c r="H63" s="124"/>
      <c r="I63" s="124"/>
    </row>
    <row r="64" spans="1:9">
      <c r="A64" s="117">
        <v>2020</v>
      </c>
      <c r="B64" s="118" t="s">
        <v>102</v>
      </c>
      <c r="C64" s="119">
        <v>44194</v>
      </c>
      <c r="D64" s="118" t="s">
        <v>20</v>
      </c>
      <c r="E64" s="120" t="s">
        <v>21</v>
      </c>
      <c r="F64" s="120"/>
      <c r="G64" s="120"/>
      <c r="H64" s="120"/>
      <c r="I64" s="120"/>
    </row>
    <row r="65" spans="1:9">
      <c r="A65" s="121">
        <v>2020</v>
      </c>
      <c r="B65" s="122" t="s">
        <v>102</v>
      </c>
      <c r="C65" s="123">
        <v>44194</v>
      </c>
      <c r="D65" s="122" t="s">
        <v>33</v>
      </c>
      <c r="E65" s="124" t="s">
        <v>28</v>
      </c>
      <c r="F65" s="124" t="s">
        <v>73</v>
      </c>
      <c r="G65" s="124" t="s">
        <v>49</v>
      </c>
      <c r="H65" s="124" t="s">
        <v>53</v>
      </c>
      <c r="I65" s="124"/>
    </row>
    <row r="66" spans="1:9">
      <c r="A66" s="117">
        <v>2021</v>
      </c>
      <c r="B66" s="118" t="s">
        <v>102</v>
      </c>
      <c r="C66" s="119">
        <v>44244</v>
      </c>
      <c r="D66" s="118" t="s">
        <v>20</v>
      </c>
      <c r="E66" s="120" t="s">
        <v>53</v>
      </c>
      <c r="F66" s="120"/>
      <c r="G66" s="120"/>
      <c r="H66" s="120"/>
      <c r="I66" s="120"/>
    </row>
    <row r="67" spans="1:9">
      <c r="A67" s="121">
        <v>2021</v>
      </c>
      <c r="B67" s="122" t="s">
        <v>102</v>
      </c>
      <c r="C67" s="123">
        <v>44259</v>
      </c>
      <c r="D67" s="122" t="s">
        <v>20</v>
      </c>
      <c r="E67" s="124" t="s">
        <v>41</v>
      </c>
      <c r="F67" s="124"/>
      <c r="G67" s="124"/>
      <c r="H67" s="124"/>
      <c r="I67" s="124"/>
    </row>
    <row r="68" spans="1:9">
      <c r="A68" s="117">
        <v>2021</v>
      </c>
      <c r="B68" s="118" t="s">
        <v>102</v>
      </c>
      <c r="C68" s="119">
        <v>44266</v>
      </c>
      <c r="D68" s="118" t="s">
        <v>20</v>
      </c>
      <c r="E68" s="120" t="s">
        <v>370</v>
      </c>
      <c r="F68" s="120"/>
      <c r="G68" s="120"/>
      <c r="H68" s="120"/>
      <c r="I68" s="120"/>
    </row>
    <row r="69" spans="1:9">
      <c r="A69" s="121">
        <v>2021</v>
      </c>
      <c r="B69" s="122" t="s">
        <v>102</v>
      </c>
      <c r="C69" s="123">
        <v>44364</v>
      </c>
      <c r="D69" s="122" t="s">
        <v>20</v>
      </c>
      <c r="E69" s="124" t="s">
        <v>47</v>
      </c>
      <c r="F69" s="124"/>
      <c r="G69" s="124"/>
      <c r="H69" s="124"/>
      <c r="I69" s="124"/>
    </row>
    <row r="70" spans="1:9">
      <c r="A70" s="117">
        <v>2021</v>
      </c>
      <c r="B70" s="118" t="s">
        <v>102</v>
      </c>
      <c r="C70" s="119">
        <v>44371</v>
      </c>
      <c r="D70" s="118" t="s">
        <v>20</v>
      </c>
      <c r="E70" s="120" t="s">
        <v>39</v>
      </c>
      <c r="F70" s="120"/>
      <c r="G70" s="120"/>
      <c r="H70" s="120"/>
      <c r="I70" s="120"/>
    </row>
    <row r="71" spans="1:9">
      <c r="A71" s="121">
        <v>2021</v>
      </c>
      <c r="B71" s="122" t="s">
        <v>102</v>
      </c>
      <c r="C71" s="123">
        <v>44378</v>
      </c>
      <c r="D71" s="122" t="s">
        <v>20</v>
      </c>
      <c r="E71" s="124" t="s">
        <v>41</v>
      </c>
      <c r="F71" s="124"/>
      <c r="G71" s="124"/>
      <c r="H71" s="124"/>
      <c r="I71" s="124"/>
    </row>
    <row r="72" spans="1:9">
      <c r="A72" s="117">
        <v>2021</v>
      </c>
      <c r="B72" s="118" t="s">
        <v>102</v>
      </c>
      <c r="C72" s="119">
        <v>44406</v>
      </c>
      <c r="D72" s="118" t="s">
        <v>20</v>
      </c>
      <c r="E72" s="120" t="s">
        <v>37</v>
      </c>
      <c r="F72" s="120"/>
      <c r="G72" s="120"/>
      <c r="H72" s="120"/>
      <c r="I72" s="120"/>
    </row>
    <row r="73" spans="1:9">
      <c r="A73" s="121">
        <v>2021</v>
      </c>
      <c r="B73" s="122" t="s">
        <v>102</v>
      </c>
      <c r="C73" s="123">
        <v>44413</v>
      </c>
      <c r="D73" s="122" t="s">
        <v>20</v>
      </c>
      <c r="E73" s="124" t="s">
        <v>41</v>
      </c>
      <c r="F73" s="124"/>
      <c r="G73" s="124"/>
      <c r="H73" s="124"/>
      <c r="I73" s="124"/>
    </row>
    <row r="74" spans="1:9">
      <c r="A74" s="117">
        <v>2021</v>
      </c>
      <c r="B74" s="118" t="s">
        <v>102</v>
      </c>
      <c r="C74" s="119">
        <v>44418</v>
      </c>
      <c r="D74" s="118" t="s">
        <v>20</v>
      </c>
      <c r="E74" s="120" t="s">
        <v>28</v>
      </c>
      <c r="F74" s="120"/>
      <c r="G74" s="120"/>
      <c r="H74" s="120"/>
      <c r="I74" s="120"/>
    </row>
    <row r="75" spans="1:9">
      <c r="A75" s="121">
        <v>2021</v>
      </c>
      <c r="B75" s="122" t="s">
        <v>102</v>
      </c>
      <c r="C75" s="123">
        <v>44420</v>
      </c>
      <c r="D75" s="122" t="s">
        <v>20</v>
      </c>
      <c r="E75" s="124" t="s">
        <v>190</v>
      </c>
      <c r="F75" s="124"/>
      <c r="G75" s="124"/>
      <c r="H75" s="124"/>
      <c r="I75" s="124"/>
    </row>
    <row r="76" spans="1:9">
      <c r="A76" s="117">
        <v>2021</v>
      </c>
      <c r="B76" s="118" t="s">
        <v>102</v>
      </c>
      <c r="C76" s="119">
        <v>44425</v>
      </c>
      <c r="D76" s="118" t="s">
        <v>20</v>
      </c>
      <c r="E76" s="120" t="s">
        <v>51</v>
      </c>
      <c r="F76" s="120"/>
      <c r="G76" s="120"/>
      <c r="H76" s="120"/>
      <c r="I76" s="120"/>
    </row>
    <row r="77" spans="1:9">
      <c r="A77" s="121">
        <v>2021</v>
      </c>
      <c r="B77" s="122" t="s">
        <v>102</v>
      </c>
      <c r="C77" s="123">
        <v>44432</v>
      </c>
      <c r="D77" s="122" t="s">
        <v>20</v>
      </c>
      <c r="E77" s="124" t="s">
        <v>190</v>
      </c>
      <c r="F77" s="124"/>
      <c r="G77" s="124"/>
      <c r="H77" s="124"/>
      <c r="I77" s="124"/>
    </row>
    <row r="78" spans="1:9">
      <c r="A78" s="117">
        <v>2021</v>
      </c>
      <c r="B78" s="118" t="s">
        <v>102</v>
      </c>
      <c r="C78" s="119">
        <v>44432</v>
      </c>
      <c r="D78" s="118" t="s">
        <v>33</v>
      </c>
      <c r="E78" s="120" t="s">
        <v>370</v>
      </c>
      <c r="F78" s="120" t="s">
        <v>47</v>
      </c>
      <c r="G78" s="120" t="s">
        <v>53</v>
      </c>
      <c r="H78" s="120" t="s">
        <v>96</v>
      </c>
      <c r="I78" s="120" t="s">
        <v>43</v>
      </c>
    </row>
    <row r="79" spans="1:9">
      <c r="A79" s="121">
        <v>2021</v>
      </c>
      <c r="B79" s="122" t="s">
        <v>102</v>
      </c>
      <c r="C79" s="123">
        <v>44455</v>
      </c>
      <c r="D79" s="122" t="s">
        <v>20</v>
      </c>
      <c r="E79" s="124" t="s">
        <v>47</v>
      </c>
      <c r="F79" s="124"/>
      <c r="G79" s="124"/>
      <c r="H79" s="124"/>
      <c r="I79" s="124"/>
    </row>
    <row r="80" spans="1:9">
      <c r="A80" s="117">
        <v>2021</v>
      </c>
      <c r="B80" s="118" t="s">
        <v>102</v>
      </c>
      <c r="C80" s="119">
        <v>44476</v>
      </c>
      <c r="D80" s="118" t="s">
        <v>20</v>
      </c>
      <c r="E80" s="120" t="s">
        <v>41</v>
      </c>
      <c r="F80" s="120"/>
      <c r="G80" s="120"/>
      <c r="H80" s="120"/>
      <c r="I80" s="120"/>
    </row>
    <row r="81" spans="1:9">
      <c r="A81" s="121">
        <v>2021</v>
      </c>
      <c r="B81" s="122" t="s">
        <v>102</v>
      </c>
      <c r="C81" s="123">
        <v>44524</v>
      </c>
      <c r="D81" s="122" t="s">
        <v>33</v>
      </c>
      <c r="E81" s="124" t="s">
        <v>175</v>
      </c>
      <c r="F81" s="124" t="s">
        <v>53</v>
      </c>
      <c r="G81" s="124" t="s">
        <v>96</v>
      </c>
      <c r="H81" s="124" t="s">
        <v>3491</v>
      </c>
      <c r="I81" s="124"/>
    </row>
    <row r="82" spans="1:9">
      <c r="A82" s="117">
        <v>2021</v>
      </c>
      <c r="B82" s="118" t="s">
        <v>102</v>
      </c>
      <c r="C82" s="119">
        <v>44551</v>
      </c>
      <c r="D82" s="118" t="s">
        <v>33</v>
      </c>
      <c r="E82" s="120" t="s">
        <v>370</v>
      </c>
      <c r="F82" s="120" t="s">
        <v>55</v>
      </c>
      <c r="G82" s="120" t="s">
        <v>175</v>
      </c>
      <c r="H82" s="120" t="s">
        <v>3491</v>
      </c>
      <c r="I82" s="120"/>
    </row>
    <row r="83" spans="1:9">
      <c r="A83" s="121">
        <v>2021</v>
      </c>
      <c r="B83" s="122" t="s">
        <v>102</v>
      </c>
      <c r="C83" s="123">
        <v>44551</v>
      </c>
      <c r="D83" s="122" t="s">
        <v>33</v>
      </c>
      <c r="E83" s="124" t="s">
        <v>51</v>
      </c>
      <c r="F83" s="124" t="s">
        <v>26</v>
      </c>
      <c r="G83" s="124"/>
      <c r="H83" s="124"/>
      <c r="I83" s="124"/>
    </row>
    <row r="84" spans="1:9">
      <c r="A84" s="117">
        <v>2021</v>
      </c>
      <c r="B84" s="118" t="s">
        <v>102</v>
      </c>
      <c r="C84" s="119">
        <v>44553</v>
      </c>
      <c r="D84" s="118" t="s">
        <v>33</v>
      </c>
      <c r="E84" s="120" t="s">
        <v>53</v>
      </c>
      <c r="F84" s="120" t="s">
        <v>43</v>
      </c>
      <c r="G84" s="120"/>
      <c r="H84" s="120"/>
      <c r="I84" s="120"/>
    </row>
    <row r="85" spans="1:9">
      <c r="A85" s="121">
        <v>2022</v>
      </c>
      <c r="B85" s="122" t="s">
        <v>102</v>
      </c>
      <c r="C85" s="123">
        <v>44656</v>
      </c>
      <c r="D85" s="122" t="s">
        <v>33</v>
      </c>
      <c r="E85" s="124" t="s">
        <v>55</v>
      </c>
      <c r="F85" s="124" t="s">
        <v>73</v>
      </c>
      <c r="G85" s="124"/>
      <c r="H85" s="124"/>
      <c r="I85" s="124"/>
    </row>
    <row r="86" spans="1:9">
      <c r="A86" s="117">
        <v>2022</v>
      </c>
      <c r="B86" s="118" t="s">
        <v>102</v>
      </c>
      <c r="C86" s="119">
        <v>44658</v>
      </c>
      <c r="D86" s="118" t="s">
        <v>33</v>
      </c>
      <c r="E86" s="120" t="s">
        <v>175</v>
      </c>
      <c r="F86" s="120" t="s">
        <v>3491</v>
      </c>
      <c r="G86" s="120"/>
      <c r="H86" s="120"/>
      <c r="I86" s="120"/>
    </row>
    <row r="87" spans="1:9">
      <c r="A87" s="121">
        <v>2022</v>
      </c>
      <c r="B87" s="122" t="s">
        <v>102</v>
      </c>
      <c r="C87" s="123">
        <v>44678</v>
      </c>
      <c r="D87" s="122" t="s">
        <v>20</v>
      </c>
      <c r="E87" s="124" t="s">
        <v>53</v>
      </c>
      <c r="F87" s="124"/>
      <c r="G87" s="124"/>
      <c r="H87" s="124"/>
      <c r="I87" s="124"/>
    </row>
  </sheetData>
  <mergeCells count="1">
    <mergeCell ref="E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40"/>
  <sheetViews>
    <sheetView workbookViewId="0"/>
  </sheetViews>
  <sheetFormatPr baseColWidth="10" defaultColWidth="12.5703125" defaultRowHeight="15.75" customHeight="1"/>
  <cols>
    <col min="1" max="2" width="10.7109375" customWidth="1"/>
    <col min="4" max="4" width="21.28515625" customWidth="1"/>
    <col min="5" max="5" width="22.42578125" customWidth="1"/>
    <col min="6" max="6" width="21.28515625" customWidth="1"/>
    <col min="7" max="7" width="15.42578125" customWidth="1"/>
  </cols>
  <sheetData>
    <row r="1" spans="1:7" ht="25.5">
      <c r="A1" s="64" t="s">
        <v>1</v>
      </c>
      <c r="B1" s="64" t="s">
        <v>0</v>
      </c>
      <c r="C1" s="131" t="s">
        <v>3</v>
      </c>
      <c r="D1" s="68" t="s">
        <v>3282</v>
      </c>
      <c r="E1" s="67" t="s">
        <v>3283</v>
      </c>
      <c r="F1" s="68" t="s">
        <v>3284</v>
      </c>
      <c r="G1" s="68" t="s">
        <v>3285</v>
      </c>
    </row>
    <row r="2" spans="1:7" ht="12.75">
      <c r="A2" s="132">
        <v>2021</v>
      </c>
      <c r="B2" s="132">
        <v>8</v>
      </c>
      <c r="C2" s="133">
        <v>44244</v>
      </c>
      <c r="D2" s="134" t="s">
        <v>3312</v>
      </c>
      <c r="E2" s="134" t="s">
        <v>3302</v>
      </c>
      <c r="F2" s="134" t="s">
        <v>3313</v>
      </c>
      <c r="G2" s="134" t="s">
        <v>3292</v>
      </c>
    </row>
    <row r="3" spans="1:7" ht="12.75">
      <c r="A3" s="132">
        <v>2021</v>
      </c>
      <c r="B3" s="132">
        <v>8</v>
      </c>
      <c r="C3" s="133">
        <v>44244</v>
      </c>
      <c r="D3" s="134" t="s">
        <v>3842</v>
      </c>
      <c r="E3" s="134" t="s">
        <v>3843</v>
      </c>
      <c r="F3" s="134" t="s">
        <v>3313</v>
      </c>
      <c r="G3" s="134" t="s">
        <v>3292</v>
      </c>
    </row>
    <row r="4" spans="1:7" ht="12.75">
      <c r="A4" s="132">
        <v>2021</v>
      </c>
      <c r="B4" s="132">
        <v>8</v>
      </c>
      <c r="C4" s="133">
        <v>44244</v>
      </c>
      <c r="D4" s="134" t="s">
        <v>3844</v>
      </c>
      <c r="E4" s="134" t="s">
        <v>3845</v>
      </c>
      <c r="F4" s="134" t="s">
        <v>3313</v>
      </c>
      <c r="G4" s="134" t="s">
        <v>3292</v>
      </c>
    </row>
    <row r="5" spans="1:7" ht="12.75">
      <c r="A5" s="132">
        <v>2021</v>
      </c>
      <c r="B5" s="132">
        <v>8</v>
      </c>
      <c r="C5" s="133">
        <v>44244</v>
      </c>
      <c r="D5" s="134" t="s">
        <v>3846</v>
      </c>
      <c r="E5" s="134" t="s">
        <v>3355</v>
      </c>
      <c r="F5" s="134" t="s">
        <v>3313</v>
      </c>
      <c r="G5" s="134" t="s">
        <v>3292</v>
      </c>
    </row>
    <row r="6" spans="1:7" ht="12.75">
      <c r="A6" s="132">
        <v>2021</v>
      </c>
      <c r="B6" s="132">
        <v>9</v>
      </c>
      <c r="C6" s="133">
        <v>44245</v>
      </c>
      <c r="D6" s="134" t="s">
        <v>5341</v>
      </c>
      <c r="E6" s="134" t="s">
        <v>5342</v>
      </c>
      <c r="F6" s="134" t="s">
        <v>3512</v>
      </c>
      <c r="G6" s="134" t="s">
        <v>3513</v>
      </c>
    </row>
    <row r="7" spans="1:7" ht="12.75">
      <c r="A7" s="132">
        <v>2021</v>
      </c>
      <c r="B7" s="132">
        <v>9</v>
      </c>
      <c r="C7" s="133">
        <v>44245</v>
      </c>
      <c r="D7" s="134" t="s">
        <v>5343</v>
      </c>
      <c r="E7" s="134" t="s">
        <v>5344</v>
      </c>
      <c r="F7" s="134" t="s">
        <v>3512</v>
      </c>
      <c r="G7" s="134" t="s">
        <v>3513</v>
      </c>
    </row>
    <row r="8" spans="1:7" ht="12.75">
      <c r="A8" s="132">
        <v>2021</v>
      </c>
      <c r="B8" s="132">
        <v>9</v>
      </c>
      <c r="C8" s="133">
        <v>44245</v>
      </c>
      <c r="D8" s="134" t="s">
        <v>5345</v>
      </c>
      <c r="E8" s="134" t="s">
        <v>5346</v>
      </c>
      <c r="F8" s="134" t="s">
        <v>3512</v>
      </c>
      <c r="G8" s="134" t="s">
        <v>3513</v>
      </c>
    </row>
    <row r="9" spans="1:7" ht="12.75">
      <c r="A9" s="132">
        <v>2021</v>
      </c>
      <c r="B9" s="132">
        <v>11</v>
      </c>
      <c r="C9" s="133">
        <v>44245</v>
      </c>
      <c r="D9" s="134" t="s">
        <v>3847</v>
      </c>
      <c r="E9" s="134" t="s">
        <v>3848</v>
      </c>
      <c r="F9" s="134" t="s">
        <v>3469</v>
      </c>
      <c r="G9" s="134" t="s">
        <v>3288</v>
      </c>
    </row>
    <row r="10" spans="1:7" ht="12.75">
      <c r="A10" s="132">
        <v>2021</v>
      </c>
      <c r="B10" s="132">
        <v>11</v>
      </c>
      <c r="C10" s="133">
        <v>44245</v>
      </c>
      <c r="D10" s="134" t="s">
        <v>3849</v>
      </c>
      <c r="E10" s="134" t="s">
        <v>3848</v>
      </c>
      <c r="F10" s="134" t="s">
        <v>3469</v>
      </c>
      <c r="G10" s="134" t="s">
        <v>3288</v>
      </c>
    </row>
    <row r="11" spans="1:7" ht="12.75">
      <c r="A11" s="132">
        <v>2021</v>
      </c>
      <c r="B11" s="132">
        <v>11</v>
      </c>
      <c r="C11" s="133">
        <v>44245</v>
      </c>
      <c r="D11" s="134" t="s">
        <v>3850</v>
      </c>
      <c r="E11" s="134" t="s">
        <v>3848</v>
      </c>
      <c r="F11" s="134" t="s">
        <v>3469</v>
      </c>
      <c r="G11" s="134" t="s">
        <v>3288</v>
      </c>
    </row>
    <row r="12" spans="1:7" ht="12.75">
      <c r="A12" s="132">
        <v>2021</v>
      </c>
      <c r="B12" s="132">
        <v>15</v>
      </c>
      <c r="C12" s="133">
        <v>44250</v>
      </c>
      <c r="D12" s="134" t="s">
        <v>3851</v>
      </c>
      <c r="E12" s="134" t="s">
        <v>3852</v>
      </c>
      <c r="F12" s="134" t="s">
        <v>3309</v>
      </c>
      <c r="G12" s="134" t="s">
        <v>3292</v>
      </c>
    </row>
    <row r="13" spans="1:7" ht="12.75">
      <c r="A13" s="132">
        <v>2021</v>
      </c>
      <c r="B13" s="132">
        <v>15</v>
      </c>
      <c r="C13" s="133">
        <v>44250</v>
      </c>
      <c r="D13" s="134" t="s">
        <v>3853</v>
      </c>
      <c r="E13" s="134" t="s">
        <v>3854</v>
      </c>
      <c r="F13" s="134" t="s">
        <v>3309</v>
      </c>
      <c r="G13" s="134" t="s">
        <v>3292</v>
      </c>
    </row>
    <row r="14" spans="1:7" ht="12.75">
      <c r="A14" s="132">
        <v>2021</v>
      </c>
      <c r="B14" s="132">
        <v>17</v>
      </c>
      <c r="C14" s="133">
        <v>44252</v>
      </c>
      <c r="D14" s="134" t="s">
        <v>5347</v>
      </c>
      <c r="E14" s="135" t="s">
        <v>3856</v>
      </c>
      <c r="F14" s="134" t="s">
        <v>1319</v>
      </c>
      <c r="G14" s="134" t="s">
        <v>3288</v>
      </c>
    </row>
    <row r="15" spans="1:7" ht="12.75">
      <c r="A15" s="132">
        <v>2021</v>
      </c>
      <c r="B15" s="132">
        <v>17</v>
      </c>
      <c r="C15" s="133">
        <v>44252</v>
      </c>
      <c r="D15" s="134" t="s">
        <v>5348</v>
      </c>
      <c r="E15" s="135" t="s">
        <v>3856</v>
      </c>
      <c r="F15" s="134" t="s">
        <v>1319</v>
      </c>
      <c r="G15" s="134" t="s">
        <v>3288</v>
      </c>
    </row>
    <row r="16" spans="1:7" ht="12.75">
      <c r="A16" s="132">
        <v>2021</v>
      </c>
      <c r="B16" s="132">
        <v>18</v>
      </c>
      <c r="C16" s="133">
        <v>44252</v>
      </c>
      <c r="D16" s="134" t="s">
        <v>3855</v>
      </c>
      <c r="E16" s="135" t="s">
        <v>3856</v>
      </c>
      <c r="F16" s="134" t="s">
        <v>1319</v>
      </c>
      <c r="G16" s="134" t="s">
        <v>3288</v>
      </c>
    </row>
    <row r="17" spans="1:7" ht="12.75">
      <c r="A17" s="132">
        <v>2021</v>
      </c>
      <c r="B17" s="132">
        <v>20</v>
      </c>
      <c r="C17" s="133">
        <v>44257</v>
      </c>
      <c r="D17" s="134" t="s">
        <v>3857</v>
      </c>
      <c r="E17" s="134" t="s">
        <v>3858</v>
      </c>
      <c r="F17" s="134" t="s">
        <v>3446</v>
      </c>
      <c r="G17" s="134" t="s">
        <v>3288</v>
      </c>
    </row>
    <row r="18" spans="1:7" ht="12.75">
      <c r="A18" s="132">
        <v>2021</v>
      </c>
      <c r="B18" s="132">
        <v>20</v>
      </c>
      <c r="C18" s="133">
        <v>44257</v>
      </c>
      <c r="D18" s="134" t="s">
        <v>3859</v>
      </c>
      <c r="E18" s="134" t="s">
        <v>3860</v>
      </c>
      <c r="F18" s="134" t="s">
        <v>3446</v>
      </c>
      <c r="G18" s="134" t="s">
        <v>3288</v>
      </c>
    </row>
    <row r="19" spans="1:7" ht="12.75">
      <c r="A19" s="132">
        <v>2021</v>
      </c>
      <c r="B19" s="132">
        <v>20</v>
      </c>
      <c r="C19" s="133">
        <v>44257</v>
      </c>
      <c r="D19" s="134" t="s">
        <v>3861</v>
      </c>
      <c r="E19" s="134" t="s">
        <v>3862</v>
      </c>
      <c r="F19" s="134" t="s">
        <v>3446</v>
      </c>
      <c r="G19" s="134" t="s">
        <v>3288</v>
      </c>
    </row>
    <row r="20" spans="1:7" ht="12.75">
      <c r="A20" s="132">
        <v>2021</v>
      </c>
      <c r="B20" s="132">
        <v>20</v>
      </c>
      <c r="C20" s="133">
        <v>44257</v>
      </c>
      <c r="D20" s="134" t="s">
        <v>3863</v>
      </c>
      <c r="E20" s="134" t="s">
        <v>3864</v>
      </c>
      <c r="F20" s="134" t="s">
        <v>3439</v>
      </c>
      <c r="G20" s="134" t="s">
        <v>3288</v>
      </c>
    </row>
    <row r="21" spans="1:7" ht="12.75">
      <c r="A21" s="132">
        <v>2021</v>
      </c>
      <c r="B21" s="132">
        <v>20</v>
      </c>
      <c r="C21" s="133">
        <v>44257</v>
      </c>
      <c r="D21" s="134" t="s">
        <v>3865</v>
      </c>
      <c r="E21" s="134" t="s">
        <v>3866</v>
      </c>
      <c r="F21" s="134" t="s">
        <v>3439</v>
      </c>
      <c r="G21" s="134" t="s">
        <v>3288</v>
      </c>
    </row>
    <row r="22" spans="1:7" ht="12.75">
      <c r="A22" s="132">
        <v>2021</v>
      </c>
      <c r="B22" s="132">
        <v>20</v>
      </c>
      <c r="C22" s="133">
        <v>44257</v>
      </c>
      <c r="D22" s="134" t="s">
        <v>3502</v>
      </c>
      <c r="E22" s="134" t="s">
        <v>3867</v>
      </c>
      <c r="F22" s="134" t="s">
        <v>3446</v>
      </c>
      <c r="G22" s="134" t="s">
        <v>3288</v>
      </c>
    </row>
    <row r="23" spans="1:7" ht="12.75">
      <c r="A23" s="132">
        <v>2021</v>
      </c>
      <c r="B23" s="132">
        <v>20</v>
      </c>
      <c r="C23" s="133">
        <v>44257</v>
      </c>
      <c r="D23" s="134" t="s">
        <v>3676</v>
      </c>
      <c r="E23" s="134" t="s">
        <v>3868</v>
      </c>
      <c r="F23" s="134" t="s">
        <v>3446</v>
      </c>
      <c r="G23" s="134" t="s">
        <v>3288</v>
      </c>
    </row>
    <row r="24" spans="1:7" ht="12.75">
      <c r="A24" s="132">
        <v>2021</v>
      </c>
      <c r="B24" s="132">
        <v>20</v>
      </c>
      <c r="C24" s="133">
        <v>44257</v>
      </c>
      <c r="D24" s="134" t="s">
        <v>3869</v>
      </c>
      <c r="E24" s="134" t="s">
        <v>3870</v>
      </c>
      <c r="F24" s="134" t="s">
        <v>3446</v>
      </c>
      <c r="G24" s="134" t="s">
        <v>3288</v>
      </c>
    </row>
    <row r="25" spans="1:7" ht="12.75">
      <c r="A25" s="132">
        <v>2021</v>
      </c>
      <c r="B25" s="132">
        <v>20</v>
      </c>
      <c r="C25" s="133">
        <v>44257</v>
      </c>
      <c r="D25" s="134" t="s">
        <v>3871</v>
      </c>
      <c r="E25" s="134" t="s">
        <v>3872</v>
      </c>
      <c r="F25" s="134" t="s">
        <v>3446</v>
      </c>
      <c r="G25" s="134" t="s">
        <v>3288</v>
      </c>
    </row>
    <row r="26" spans="1:7" ht="12.75">
      <c r="A26" s="132">
        <v>2021</v>
      </c>
      <c r="B26" s="132">
        <v>20</v>
      </c>
      <c r="C26" s="133">
        <v>44257</v>
      </c>
      <c r="D26" s="134" t="s">
        <v>3669</v>
      </c>
      <c r="E26" s="134" t="s">
        <v>3873</v>
      </c>
      <c r="F26" s="134" t="s">
        <v>3446</v>
      </c>
      <c r="G26" s="134" t="s">
        <v>3288</v>
      </c>
    </row>
    <row r="27" spans="1:7" ht="12.75">
      <c r="A27" s="132">
        <v>2021</v>
      </c>
      <c r="B27" s="132">
        <v>21</v>
      </c>
      <c r="C27" s="133">
        <v>44257</v>
      </c>
      <c r="D27" s="134" t="s">
        <v>3874</v>
      </c>
      <c r="E27" s="134" t="s">
        <v>3875</v>
      </c>
      <c r="F27" s="134" t="s">
        <v>3876</v>
      </c>
      <c r="G27" s="134" t="s">
        <v>3292</v>
      </c>
    </row>
    <row r="28" spans="1:7" ht="12.75">
      <c r="A28" s="132">
        <v>2021</v>
      </c>
      <c r="B28" s="132">
        <v>22</v>
      </c>
      <c r="C28" s="133">
        <v>44257</v>
      </c>
      <c r="D28" s="134" t="s">
        <v>3361</v>
      </c>
      <c r="E28" s="134" t="s">
        <v>3362</v>
      </c>
      <c r="F28" s="134" t="s">
        <v>3291</v>
      </c>
      <c r="G28" s="134" t="s">
        <v>3292</v>
      </c>
    </row>
    <row r="29" spans="1:7" ht="12.75">
      <c r="A29" s="132">
        <v>2021</v>
      </c>
      <c r="B29" s="132">
        <v>23</v>
      </c>
      <c r="C29" s="133">
        <v>44257</v>
      </c>
      <c r="D29" s="134" t="s">
        <v>5349</v>
      </c>
      <c r="E29" s="134" t="s">
        <v>5350</v>
      </c>
      <c r="F29" s="134" t="s">
        <v>3512</v>
      </c>
      <c r="G29" s="134" t="s">
        <v>3513</v>
      </c>
    </row>
    <row r="30" spans="1:7" ht="12.75">
      <c r="A30" s="132">
        <v>2021</v>
      </c>
      <c r="B30" s="132">
        <v>23</v>
      </c>
      <c r="C30" s="133">
        <v>44257</v>
      </c>
      <c r="D30" s="134" t="s">
        <v>5351</v>
      </c>
      <c r="E30" s="135" t="s">
        <v>3856</v>
      </c>
      <c r="F30" s="134" t="s">
        <v>1319</v>
      </c>
      <c r="G30" s="134" t="s">
        <v>3288</v>
      </c>
    </row>
    <row r="31" spans="1:7" ht="12.75">
      <c r="A31" s="132">
        <v>2021</v>
      </c>
      <c r="B31" s="132">
        <v>25</v>
      </c>
      <c r="C31" s="133">
        <v>44259</v>
      </c>
      <c r="D31" s="134" t="s">
        <v>3877</v>
      </c>
      <c r="E31" s="134" t="s">
        <v>3878</v>
      </c>
      <c r="F31" s="134" t="s">
        <v>3879</v>
      </c>
      <c r="G31" s="134" t="s">
        <v>3567</v>
      </c>
    </row>
    <row r="32" spans="1:7" ht="12.75">
      <c r="A32" s="132">
        <v>2021</v>
      </c>
      <c r="B32" s="132">
        <v>25</v>
      </c>
      <c r="C32" s="133">
        <v>44259</v>
      </c>
      <c r="D32" s="134" t="s">
        <v>3880</v>
      </c>
      <c r="E32" s="134" t="s">
        <v>3878</v>
      </c>
      <c r="F32" s="134" t="s">
        <v>3881</v>
      </c>
      <c r="G32" s="134" t="s">
        <v>3567</v>
      </c>
    </row>
    <row r="33" spans="1:7" ht="12.75">
      <c r="A33" s="132">
        <v>2021</v>
      </c>
      <c r="B33" s="132">
        <v>25</v>
      </c>
      <c r="C33" s="133">
        <v>44259</v>
      </c>
      <c r="D33" s="134" t="s">
        <v>3882</v>
      </c>
      <c r="E33" s="134" t="s">
        <v>3878</v>
      </c>
      <c r="F33" s="134" t="s">
        <v>3883</v>
      </c>
      <c r="G33" s="134" t="s">
        <v>3567</v>
      </c>
    </row>
    <row r="34" spans="1:7" ht="12.75">
      <c r="A34" s="132">
        <v>2021</v>
      </c>
      <c r="B34" s="132">
        <v>25</v>
      </c>
      <c r="C34" s="133">
        <v>44259</v>
      </c>
      <c r="D34" s="134" t="s">
        <v>3884</v>
      </c>
      <c r="E34" s="134" t="s">
        <v>3878</v>
      </c>
      <c r="F34" s="134" t="s">
        <v>3885</v>
      </c>
      <c r="G34" s="134" t="s">
        <v>3567</v>
      </c>
    </row>
    <row r="35" spans="1:7" ht="12.75">
      <c r="A35" s="132">
        <v>2021</v>
      </c>
      <c r="B35" s="132">
        <v>25</v>
      </c>
      <c r="C35" s="133">
        <v>44259</v>
      </c>
      <c r="D35" s="134" t="s">
        <v>3886</v>
      </c>
      <c r="E35" s="134" t="s">
        <v>3878</v>
      </c>
      <c r="F35" s="134" t="s">
        <v>3887</v>
      </c>
      <c r="G35" s="134" t="s">
        <v>3567</v>
      </c>
    </row>
    <row r="36" spans="1:7" ht="12.75">
      <c r="A36" s="132">
        <v>2021</v>
      </c>
      <c r="B36" s="132">
        <v>25</v>
      </c>
      <c r="C36" s="133">
        <v>44259</v>
      </c>
      <c r="D36" s="134" t="s">
        <v>3888</v>
      </c>
      <c r="E36" s="134" t="s">
        <v>3878</v>
      </c>
      <c r="F36" s="134" t="s">
        <v>3889</v>
      </c>
      <c r="G36" s="134" t="s">
        <v>3567</v>
      </c>
    </row>
    <row r="37" spans="1:7" ht="12.75">
      <c r="A37" s="132">
        <v>2021</v>
      </c>
      <c r="B37" s="132">
        <v>25</v>
      </c>
      <c r="C37" s="133">
        <v>44259</v>
      </c>
      <c r="D37" s="134" t="s">
        <v>3890</v>
      </c>
      <c r="E37" s="134" t="s">
        <v>3878</v>
      </c>
      <c r="F37" s="134" t="s">
        <v>3891</v>
      </c>
      <c r="G37" s="134" t="s">
        <v>3567</v>
      </c>
    </row>
    <row r="38" spans="1:7" ht="12.75">
      <c r="A38" s="132">
        <v>2021</v>
      </c>
      <c r="B38" s="132">
        <v>25</v>
      </c>
      <c r="C38" s="133">
        <v>44259</v>
      </c>
      <c r="D38" s="134" t="s">
        <v>3892</v>
      </c>
      <c r="E38" s="134" t="s">
        <v>3878</v>
      </c>
      <c r="F38" s="134" t="s">
        <v>3893</v>
      </c>
      <c r="G38" s="134" t="s">
        <v>3567</v>
      </c>
    </row>
    <row r="39" spans="1:7" ht="12.75">
      <c r="A39" s="132">
        <v>2021</v>
      </c>
      <c r="B39" s="132">
        <v>25</v>
      </c>
      <c r="C39" s="133">
        <v>44259</v>
      </c>
      <c r="D39" s="134" t="s">
        <v>3894</v>
      </c>
      <c r="E39" s="134" t="s">
        <v>3878</v>
      </c>
      <c r="F39" s="134" t="s">
        <v>3895</v>
      </c>
      <c r="G39" s="134" t="s">
        <v>3567</v>
      </c>
    </row>
    <row r="40" spans="1:7" ht="12.75">
      <c r="A40" s="132">
        <v>2021</v>
      </c>
      <c r="B40" s="132">
        <v>25</v>
      </c>
      <c r="C40" s="133">
        <v>44259</v>
      </c>
      <c r="D40" s="134" t="s">
        <v>3896</v>
      </c>
      <c r="E40" s="134" t="s">
        <v>3878</v>
      </c>
      <c r="F40" s="134" t="s">
        <v>3897</v>
      </c>
      <c r="G40" s="134" t="s">
        <v>3567</v>
      </c>
    </row>
    <row r="41" spans="1:7" ht="12.75">
      <c r="A41" s="132">
        <v>2021</v>
      </c>
      <c r="B41" s="132">
        <v>25</v>
      </c>
      <c r="C41" s="133">
        <v>44259</v>
      </c>
      <c r="D41" s="134" t="s">
        <v>3898</v>
      </c>
      <c r="E41" s="134" t="s">
        <v>3878</v>
      </c>
      <c r="F41" s="134" t="s">
        <v>3899</v>
      </c>
      <c r="G41" s="134" t="s">
        <v>3567</v>
      </c>
    </row>
    <row r="42" spans="1:7" ht="12.75">
      <c r="A42" s="132">
        <v>2021</v>
      </c>
      <c r="B42" s="132">
        <v>25</v>
      </c>
      <c r="C42" s="133">
        <v>44259</v>
      </c>
      <c r="D42" s="134" t="s">
        <v>5352</v>
      </c>
      <c r="E42" s="134" t="s">
        <v>3878</v>
      </c>
      <c r="F42" s="134" t="s">
        <v>3901</v>
      </c>
      <c r="G42" s="134" t="s">
        <v>3567</v>
      </c>
    </row>
    <row r="43" spans="1:7" ht="12.75">
      <c r="A43" s="132">
        <v>2021</v>
      </c>
      <c r="B43" s="132">
        <v>25</v>
      </c>
      <c r="C43" s="133">
        <v>44259</v>
      </c>
      <c r="D43" s="134" t="s">
        <v>3902</v>
      </c>
      <c r="E43" s="134" t="s">
        <v>3878</v>
      </c>
      <c r="F43" s="134" t="s">
        <v>3903</v>
      </c>
      <c r="G43" s="134" t="s">
        <v>3567</v>
      </c>
    </row>
    <row r="44" spans="1:7" ht="12.75">
      <c r="A44" s="132">
        <v>2021</v>
      </c>
      <c r="B44" s="132">
        <v>25</v>
      </c>
      <c r="C44" s="133">
        <v>44259</v>
      </c>
      <c r="D44" s="134" t="s">
        <v>3904</v>
      </c>
      <c r="E44" s="134" t="s">
        <v>3905</v>
      </c>
      <c r="F44" s="134" t="s">
        <v>3906</v>
      </c>
      <c r="G44" s="134" t="s">
        <v>3567</v>
      </c>
    </row>
    <row r="45" spans="1:7" ht="12.75">
      <c r="A45" s="132">
        <v>2021</v>
      </c>
      <c r="B45" s="132">
        <v>25</v>
      </c>
      <c r="C45" s="133">
        <v>44259</v>
      </c>
      <c r="D45" s="134" t="s">
        <v>3907</v>
      </c>
      <c r="E45" s="134" t="s">
        <v>3905</v>
      </c>
      <c r="F45" s="134" t="s">
        <v>3908</v>
      </c>
      <c r="G45" s="134" t="s">
        <v>3567</v>
      </c>
    </row>
    <row r="46" spans="1:7" ht="12.75">
      <c r="A46" s="132">
        <v>2021</v>
      </c>
      <c r="B46" s="132">
        <v>25</v>
      </c>
      <c r="C46" s="133">
        <v>44259</v>
      </c>
      <c r="D46" s="134" t="s">
        <v>3909</v>
      </c>
      <c r="E46" s="134" t="s">
        <v>3905</v>
      </c>
      <c r="F46" s="134" t="s">
        <v>3910</v>
      </c>
      <c r="G46" s="134" t="s">
        <v>3567</v>
      </c>
    </row>
    <row r="47" spans="1:7" ht="12.75">
      <c r="A47" s="132">
        <v>2021</v>
      </c>
      <c r="B47" s="132">
        <v>25</v>
      </c>
      <c r="C47" s="133">
        <v>44259</v>
      </c>
      <c r="D47" s="134" t="s">
        <v>3911</v>
      </c>
      <c r="E47" s="134" t="s">
        <v>3905</v>
      </c>
      <c r="F47" s="134" t="s">
        <v>3912</v>
      </c>
      <c r="G47" s="134" t="s">
        <v>3567</v>
      </c>
    </row>
    <row r="48" spans="1:7" ht="12.75">
      <c r="A48" s="132">
        <v>2021</v>
      </c>
      <c r="B48" s="132">
        <v>26</v>
      </c>
      <c r="C48" s="133">
        <v>44259</v>
      </c>
      <c r="D48" s="134" t="s">
        <v>3913</v>
      </c>
      <c r="E48" s="134" t="s">
        <v>3482</v>
      </c>
      <c r="F48" s="134" t="s">
        <v>3914</v>
      </c>
      <c r="G48" s="134" t="s">
        <v>3393</v>
      </c>
    </row>
    <row r="49" spans="1:7" ht="12.75">
      <c r="A49" s="132">
        <v>2021</v>
      </c>
      <c r="B49" s="132">
        <v>26</v>
      </c>
      <c r="C49" s="133">
        <v>44259</v>
      </c>
      <c r="D49" s="134" t="s">
        <v>3915</v>
      </c>
      <c r="E49" s="134" t="s">
        <v>3916</v>
      </c>
      <c r="F49" s="134" t="s">
        <v>3914</v>
      </c>
      <c r="G49" s="134" t="s">
        <v>3393</v>
      </c>
    </row>
    <row r="50" spans="1:7" ht="12.75">
      <c r="A50" s="132">
        <v>2021</v>
      </c>
      <c r="B50" s="132">
        <v>26</v>
      </c>
      <c r="C50" s="133">
        <v>44259</v>
      </c>
      <c r="D50" s="134" t="s">
        <v>3917</v>
      </c>
      <c r="E50" s="134" t="s">
        <v>3918</v>
      </c>
      <c r="F50" s="134" t="s">
        <v>3914</v>
      </c>
      <c r="G50" s="134" t="s">
        <v>3393</v>
      </c>
    </row>
    <row r="51" spans="1:7" ht="12.75">
      <c r="A51" s="132">
        <v>2021</v>
      </c>
      <c r="B51" s="132">
        <v>26</v>
      </c>
      <c r="C51" s="133">
        <v>44259</v>
      </c>
      <c r="D51" s="134" t="s">
        <v>3919</v>
      </c>
      <c r="E51" s="134" t="s">
        <v>3920</v>
      </c>
      <c r="F51" s="134" t="s">
        <v>3914</v>
      </c>
      <c r="G51" s="134" t="s">
        <v>3393</v>
      </c>
    </row>
    <row r="52" spans="1:7" ht="12.75">
      <c r="A52" s="132">
        <v>2021</v>
      </c>
      <c r="B52" s="132">
        <v>26</v>
      </c>
      <c r="C52" s="133">
        <v>44259</v>
      </c>
      <c r="D52" s="134" t="s">
        <v>3481</v>
      </c>
      <c r="E52" s="134" t="s">
        <v>3482</v>
      </c>
      <c r="F52" s="134" t="s">
        <v>3306</v>
      </c>
      <c r="G52" s="134" t="s">
        <v>3292</v>
      </c>
    </row>
    <row r="53" spans="1:7" ht="12.75">
      <c r="A53" s="132">
        <v>2021</v>
      </c>
      <c r="B53" s="132">
        <v>26</v>
      </c>
      <c r="C53" s="133">
        <v>44259</v>
      </c>
      <c r="D53" s="134" t="s">
        <v>3921</v>
      </c>
      <c r="E53" s="134" t="s">
        <v>3482</v>
      </c>
      <c r="F53" s="134" t="s">
        <v>3922</v>
      </c>
      <c r="G53" s="134" t="s">
        <v>3292</v>
      </c>
    </row>
    <row r="54" spans="1:7" ht="12.75">
      <c r="A54" s="132">
        <v>2021</v>
      </c>
      <c r="B54" s="132">
        <v>26</v>
      </c>
      <c r="C54" s="133">
        <v>44259</v>
      </c>
      <c r="D54" s="134" t="s">
        <v>3923</v>
      </c>
      <c r="E54" s="134" t="s">
        <v>3924</v>
      </c>
      <c r="F54" s="134" t="s">
        <v>3925</v>
      </c>
      <c r="G54" s="134" t="s">
        <v>3292</v>
      </c>
    </row>
    <row r="55" spans="1:7" ht="12.75">
      <c r="A55" s="132">
        <v>2021</v>
      </c>
      <c r="B55" s="132">
        <v>26</v>
      </c>
      <c r="C55" s="133">
        <v>44259</v>
      </c>
      <c r="D55" s="134" t="s">
        <v>3926</v>
      </c>
      <c r="E55" s="134" t="s">
        <v>3924</v>
      </c>
      <c r="F55" s="134" t="s">
        <v>3927</v>
      </c>
      <c r="G55" s="134" t="s">
        <v>3292</v>
      </c>
    </row>
    <row r="56" spans="1:7" ht="12.75">
      <c r="A56" s="132">
        <v>2021</v>
      </c>
      <c r="B56" s="132">
        <v>28</v>
      </c>
      <c r="C56" s="133">
        <v>44259</v>
      </c>
      <c r="D56" s="134" t="s">
        <v>3928</v>
      </c>
      <c r="E56" s="134" t="s">
        <v>3929</v>
      </c>
      <c r="F56" s="134" t="s">
        <v>3439</v>
      </c>
      <c r="G56" s="134" t="s">
        <v>3288</v>
      </c>
    </row>
    <row r="57" spans="1:7" ht="12.75">
      <c r="A57" s="132">
        <v>2021</v>
      </c>
      <c r="B57" s="132">
        <v>28</v>
      </c>
      <c r="C57" s="133">
        <v>44259</v>
      </c>
      <c r="D57" s="134" t="s">
        <v>3930</v>
      </c>
      <c r="E57" s="134" t="s">
        <v>3931</v>
      </c>
      <c r="F57" s="134" t="s">
        <v>3439</v>
      </c>
      <c r="G57" s="134" t="s">
        <v>3288</v>
      </c>
    </row>
    <row r="58" spans="1:7" ht="12.75">
      <c r="A58" s="132">
        <v>2021</v>
      </c>
      <c r="B58" s="132">
        <v>28</v>
      </c>
      <c r="C58" s="133">
        <v>44259</v>
      </c>
      <c r="D58" s="134" t="s">
        <v>3932</v>
      </c>
      <c r="E58" s="134" t="s">
        <v>3933</v>
      </c>
      <c r="F58" s="134" t="s">
        <v>3439</v>
      </c>
      <c r="G58" s="134" t="s">
        <v>3288</v>
      </c>
    </row>
    <row r="59" spans="1:7" ht="12.75">
      <c r="A59" s="132">
        <v>2021</v>
      </c>
      <c r="B59" s="132">
        <v>28</v>
      </c>
      <c r="C59" s="133">
        <v>44259</v>
      </c>
      <c r="D59" s="134" t="s">
        <v>3934</v>
      </c>
      <c r="E59" s="134" t="s">
        <v>3935</v>
      </c>
      <c r="F59" s="134" t="s">
        <v>3439</v>
      </c>
      <c r="G59" s="134" t="s">
        <v>3288</v>
      </c>
    </row>
    <row r="60" spans="1:7" ht="12.75">
      <c r="A60" s="132">
        <v>2021</v>
      </c>
      <c r="B60" s="132">
        <v>28</v>
      </c>
      <c r="C60" s="133">
        <v>44259</v>
      </c>
      <c r="D60" s="134" t="s">
        <v>3936</v>
      </c>
      <c r="E60" s="134" t="s">
        <v>3937</v>
      </c>
      <c r="F60" s="134" t="s">
        <v>3439</v>
      </c>
      <c r="G60" s="134" t="s">
        <v>3288</v>
      </c>
    </row>
    <row r="61" spans="1:7" ht="12.75">
      <c r="A61" s="132">
        <v>2021</v>
      </c>
      <c r="B61" s="132">
        <v>28</v>
      </c>
      <c r="C61" s="133">
        <v>44259</v>
      </c>
      <c r="D61" s="134" t="s">
        <v>3938</v>
      </c>
      <c r="E61" s="134" t="s">
        <v>3939</v>
      </c>
      <c r="F61" s="134" t="s">
        <v>3439</v>
      </c>
      <c r="G61" s="134" t="s">
        <v>3288</v>
      </c>
    </row>
    <row r="62" spans="1:7" ht="12.75">
      <c r="A62" s="132">
        <v>2021</v>
      </c>
      <c r="B62" s="132">
        <v>30</v>
      </c>
      <c r="C62" s="133">
        <v>44264</v>
      </c>
      <c r="D62" s="134" t="s">
        <v>5353</v>
      </c>
      <c r="E62" s="134" t="s">
        <v>3941</v>
      </c>
      <c r="F62" s="134" t="s">
        <v>3432</v>
      </c>
      <c r="G62" s="134" t="s">
        <v>3292</v>
      </c>
    </row>
    <row r="63" spans="1:7" ht="12.75">
      <c r="A63" s="132">
        <v>2021</v>
      </c>
      <c r="B63" s="132">
        <v>31</v>
      </c>
      <c r="C63" s="133">
        <v>44264</v>
      </c>
      <c r="D63" s="134" t="s">
        <v>3346</v>
      </c>
      <c r="E63" s="134" t="s">
        <v>3347</v>
      </c>
      <c r="F63" s="134" t="s">
        <v>3311</v>
      </c>
      <c r="G63" s="134" t="s">
        <v>3292</v>
      </c>
    </row>
    <row r="64" spans="1:7" ht="15">
      <c r="A64" s="132">
        <v>2021</v>
      </c>
      <c r="B64" s="132">
        <v>32</v>
      </c>
      <c r="C64" s="133">
        <v>44264</v>
      </c>
      <c r="D64" s="136" t="s">
        <v>3989</v>
      </c>
      <c r="E64" s="136" t="s">
        <v>3990</v>
      </c>
      <c r="F64" s="134" t="s">
        <v>3306</v>
      </c>
      <c r="G64" s="134" t="s">
        <v>3292</v>
      </c>
    </row>
    <row r="65" spans="1:7" ht="15">
      <c r="A65" s="132">
        <v>2021</v>
      </c>
      <c r="B65" s="132">
        <v>32</v>
      </c>
      <c r="C65" s="133">
        <v>44264</v>
      </c>
      <c r="D65" s="136" t="s">
        <v>5354</v>
      </c>
      <c r="E65" s="136" t="s">
        <v>5355</v>
      </c>
      <c r="F65" s="134" t="s">
        <v>3512</v>
      </c>
      <c r="G65" s="136" t="s">
        <v>3513</v>
      </c>
    </row>
    <row r="66" spans="1:7" ht="15">
      <c r="A66" s="132">
        <v>2021</v>
      </c>
      <c r="B66" s="132">
        <v>32</v>
      </c>
      <c r="C66" s="133">
        <v>44264</v>
      </c>
      <c r="D66" s="136" t="s">
        <v>5356</v>
      </c>
      <c r="E66" s="136" t="s">
        <v>5357</v>
      </c>
      <c r="F66" s="134" t="s">
        <v>5358</v>
      </c>
      <c r="G66" s="136" t="s">
        <v>3292</v>
      </c>
    </row>
    <row r="67" spans="1:7" ht="12.75">
      <c r="A67" s="132">
        <v>2021</v>
      </c>
      <c r="B67" s="132">
        <v>34</v>
      </c>
      <c r="C67" s="137">
        <v>44266</v>
      </c>
      <c r="D67" s="134" t="s">
        <v>3943</v>
      </c>
      <c r="E67" s="134" t="s">
        <v>3944</v>
      </c>
      <c r="F67" s="134" t="s">
        <v>3512</v>
      </c>
      <c r="G67" s="134" t="s">
        <v>3945</v>
      </c>
    </row>
    <row r="68" spans="1:7" ht="12.75">
      <c r="A68" s="132">
        <v>2021</v>
      </c>
      <c r="B68" s="132">
        <v>34</v>
      </c>
      <c r="C68" s="137">
        <v>44266</v>
      </c>
      <c r="D68" s="134" t="s">
        <v>3946</v>
      </c>
      <c r="E68" s="134" t="s">
        <v>3947</v>
      </c>
      <c r="F68" s="134" t="s">
        <v>3512</v>
      </c>
      <c r="G68" s="134" t="s">
        <v>3945</v>
      </c>
    </row>
    <row r="69" spans="1:7" ht="12.75">
      <c r="A69" s="132">
        <v>2021</v>
      </c>
      <c r="B69" s="132">
        <v>34</v>
      </c>
      <c r="C69" s="137">
        <v>44266</v>
      </c>
      <c r="D69" s="134" t="s">
        <v>3948</v>
      </c>
      <c r="E69" s="134" t="s">
        <v>3949</v>
      </c>
      <c r="F69" s="134" t="s">
        <v>3950</v>
      </c>
      <c r="G69" s="134" t="s">
        <v>3292</v>
      </c>
    </row>
    <row r="70" spans="1:7" ht="12.75">
      <c r="A70" s="132">
        <v>2021</v>
      </c>
      <c r="B70" s="132">
        <v>34</v>
      </c>
      <c r="C70" s="137">
        <v>44266</v>
      </c>
      <c r="D70" s="135" t="s">
        <v>3951</v>
      </c>
      <c r="E70" s="134" t="s">
        <v>23</v>
      </c>
      <c r="F70" s="134" t="s">
        <v>3950</v>
      </c>
      <c r="G70" s="134" t="s">
        <v>3292</v>
      </c>
    </row>
    <row r="71" spans="1:7" ht="12.75">
      <c r="A71" s="132">
        <v>2021</v>
      </c>
      <c r="B71" s="132">
        <v>35</v>
      </c>
      <c r="C71" s="133">
        <v>44266</v>
      </c>
      <c r="D71" s="134" t="s">
        <v>3307</v>
      </c>
      <c r="E71" s="134" t="s">
        <v>3308</v>
      </c>
      <c r="F71" s="134" t="s">
        <v>3876</v>
      </c>
      <c r="G71" s="134" t="s">
        <v>3292</v>
      </c>
    </row>
    <row r="72" spans="1:7" ht="12.75">
      <c r="A72" s="132">
        <v>2021</v>
      </c>
      <c r="B72" s="132">
        <v>37</v>
      </c>
      <c r="C72" s="133">
        <v>44271</v>
      </c>
      <c r="D72" s="134" t="s">
        <v>3952</v>
      </c>
      <c r="E72" s="134" t="s">
        <v>3953</v>
      </c>
      <c r="F72" s="134" t="s">
        <v>3291</v>
      </c>
      <c r="G72" s="134" t="s">
        <v>3292</v>
      </c>
    </row>
    <row r="73" spans="1:7" ht="12.75">
      <c r="A73" s="132">
        <v>2021</v>
      </c>
      <c r="B73" s="132">
        <v>37</v>
      </c>
      <c r="C73" s="133">
        <v>44271</v>
      </c>
      <c r="D73" s="134" t="s">
        <v>3954</v>
      </c>
      <c r="E73" s="134" t="s">
        <v>3955</v>
      </c>
      <c r="F73" s="134" t="s">
        <v>3291</v>
      </c>
      <c r="G73" s="134" t="s">
        <v>3292</v>
      </c>
    </row>
    <row r="74" spans="1:7" ht="12.75">
      <c r="A74" s="132">
        <v>2021</v>
      </c>
      <c r="B74" s="132">
        <v>37</v>
      </c>
      <c r="C74" s="133">
        <v>44271</v>
      </c>
      <c r="D74" s="134" t="s">
        <v>3956</v>
      </c>
      <c r="E74" s="134" t="s">
        <v>3957</v>
      </c>
      <c r="F74" s="134" t="s">
        <v>3291</v>
      </c>
      <c r="G74" s="134" t="s">
        <v>3292</v>
      </c>
    </row>
    <row r="75" spans="1:7" ht="12.75">
      <c r="A75" s="132">
        <v>2021</v>
      </c>
      <c r="B75" s="132">
        <v>39</v>
      </c>
      <c r="C75" s="133">
        <v>44273</v>
      </c>
      <c r="D75" s="134" t="s">
        <v>3958</v>
      </c>
      <c r="E75" s="134" t="s">
        <v>3959</v>
      </c>
      <c r="F75" s="134" t="s">
        <v>3409</v>
      </c>
      <c r="G75" s="134" t="s">
        <v>3288</v>
      </c>
    </row>
    <row r="76" spans="1:7" ht="12.75">
      <c r="A76" s="132">
        <v>2021</v>
      </c>
      <c r="B76" s="132">
        <v>39</v>
      </c>
      <c r="C76" s="133">
        <v>44273</v>
      </c>
      <c r="D76" s="134" t="s">
        <v>3960</v>
      </c>
      <c r="E76" s="134" t="s">
        <v>3961</v>
      </c>
      <c r="F76" s="134" t="s">
        <v>3409</v>
      </c>
      <c r="G76" s="134" t="s">
        <v>3288</v>
      </c>
    </row>
    <row r="77" spans="1:7" ht="12.75">
      <c r="A77" s="132">
        <v>2021</v>
      </c>
      <c r="B77" s="132">
        <v>39</v>
      </c>
      <c r="C77" s="133">
        <v>44273</v>
      </c>
      <c r="D77" s="135" t="s">
        <v>3962</v>
      </c>
      <c r="E77" s="134" t="s">
        <v>23</v>
      </c>
      <c r="F77" s="134" t="s">
        <v>3409</v>
      </c>
      <c r="G77" s="134" t="s">
        <v>3288</v>
      </c>
    </row>
    <row r="78" spans="1:7" ht="12.75">
      <c r="A78" s="132">
        <v>2021</v>
      </c>
      <c r="B78" s="132">
        <v>40</v>
      </c>
      <c r="C78" s="137">
        <v>44273</v>
      </c>
      <c r="D78" s="134" t="s">
        <v>3963</v>
      </c>
      <c r="E78" s="134" t="s">
        <v>3964</v>
      </c>
      <c r="F78" s="134" t="s">
        <v>1319</v>
      </c>
      <c r="G78" s="134" t="s">
        <v>3288</v>
      </c>
    </row>
    <row r="79" spans="1:7" ht="12.75">
      <c r="A79" s="132">
        <v>2021</v>
      </c>
      <c r="B79" s="132">
        <v>40</v>
      </c>
      <c r="C79" s="137">
        <v>44273</v>
      </c>
      <c r="D79" s="134" t="s">
        <v>3965</v>
      </c>
      <c r="E79" s="134" t="s">
        <v>3966</v>
      </c>
      <c r="F79" s="134" t="s">
        <v>1319</v>
      </c>
      <c r="G79" s="134" t="s">
        <v>3288</v>
      </c>
    </row>
    <row r="80" spans="1:7" ht="12.75">
      <c r="A80" s="132">
        <v>2021</v>
      </c>
      <c r="B80" s="132">
        <v>40</v>
      </c>
      <c r="C80" s="137">
        <v>44273</v>
      </c>
      <c r="D80" s="134" t="s">
        <v>3967</v>
      </c>
      <c r="E80" s="134" t="s">
        <v>3968</v>
      </c>
      <c r="F80" s="134" t="s">
        <v>1319</v>
      </c>
      <c r="G80" s="134" t="s">
        <v>3288</v>
      </c>
    </row>
    <row r="81" spans="1:7" ht="12.75">
      <c r="A81" s="132">
        <v>2021</v>
      </c>
      <c r="B81" s="132">
        <v>40</v>
      </c>
      <c r="C81" s="137">
        <v>44273</v>
      </c>
      <c r="D81" s="134" t="s">
        <v>3969</v>
      </c>
      <c r="E81" s="134" t="s">
        <v>3970</v>
      </c>
      <c r="F81" s="134" t="s">
        <v>1319</v>
      </c>
      <c r="G81" s="134" t="s">
        <v>3288</v>
      </c>
    </row>
    <row r="82" spans="1:7" ht="12.75">
      <c r="A82" s="132">
        <v>2021</v>
      </c>
      <c r="B82" s="132">
        <v>41</v>
      </c>
      <c r="C82" s="137">
        <v>44273</v>
      </c>
      <c r="D82" s="134" t="s">
        <v>3971</v>
      </c>
      <c r="E82" s="134" t="s">
        <v>3972</v>
      </c>
      <c r="F82" s="134" t="s">
        <v>3973</v>
      </c>
      <c r="G82" s="134" t="s">
        <v>3393</v>
      </c>
    </row>
    <row r="83" spans="1:7" ht="12.75">
      <c r="A83" s="132">
        <v>2021</v>
      </c>
      <c r="B83" s="132">
        <v>44</v>
      </c>
      <c r="C83" s="137">
        <v>44280</v>
      </c>
      <c r="D83" s="134" t="s">
        <v>3324</v>
      </c>
      <c r="E83" s="134" t="s">
        <v>3302</v>
      </c>
      <c r="F83" s="134" t="s">
        <v>3325</v>
      </c>
      <c r="G83" s="134" t="s">
        <v>3292</v>
      </c>
    </row>
    <row r="84" spans="1:7" ht="12.75">
      <c r="A84" s="132">
        <v>2021</v>
      </c>
      <c r="B84" s="132">
        <v>44</v>
      </c>
      <c r="C84" s="137">
        <v>44280</v>
      </c>
      <c r="D84" s="134" t="s">
        <v>5359</v>
      </c>
      <c r="E84" s="134" t="s">
        <v>3302</v>
      </c>
      <c r="F84" s="134" t="s">
        <v>3309</v>
      </c>
      <c r="G84" s="134" t="s">
        <v>3292</v>
      </c>
    </row>
    <row r="85" spans="1:7" ht="12.75">
      <c r="A85" s="132">
        <v>2021</v>
      </c>
      <c r="B85" s="132">
        <v>44</v>
      </c>
      <c r="C85" s="137">
        <v>44280</v>
      </c>
      <c r="D85" s="134" t="s">
        <v>3974</v>
      </c>
      <c r="E85" s="134" t="s">
        <v>5360</v>
      </c>
      <c r="F85" s="134" t="s">
        <v>3409</v>
      </c>
      <c r="G85" s="134" t="s">
        <v>3288</v>
      </c>
    </row>
    <row r="86" spans="1:7" ht="12.75">
      <c r="A86" s="132">
        <v>2021</v>
      </c>
      <c r="B86" s="132">
        <v>45</v>
      </c>
      <c r="C86" s="137">
        <v>44280</v>
      </c>
      <c r="D86" s="134" t="s">
        <v>3976</v>
      </c>
      <c r="E86" s="134" t="s">
        <v>3977</v>
      </c>
      <c r="F86" s="134" t="s">
        <v>3328</v>
      </c>
      <c r="G86" s="134" t="s">
        <v>3292</v>
      </c>
    </row>
    <row r="87" spans="1:7" ht="12.75">
      <c r="A87" s="132">
        <v>2021</v>
      </c>
      <c r="B87" s="132">
        <v>46</v>
      </c>
      <c r="C87" s="133">
        <v>44280</v>
      </c>
      <c r="D87" s="134" t="s">
        <v>3978</v>
      </c>
      <c r="E87" s="134" t="s">
        <v>3979</v>
      </c>
      <c r="F87" s="134" t="s">
        <v>3469</v>
      </c>
      <c r="G87" s="134" t="s">
        <v>3288</v>
      </c>
    </row>
    <row r="88" spans="1:7" ht="12.75">
      <c r="A88" s="132">
        <v>2021</v>
      </c>
      <c r="B88" s="132">
        <v>47</v>
      </c>
      <c r="C88" s="133">
        <v>44285</v>
      </c>
      <c r="D88" s="134" t="s">
        <v>3315</v>
      </c>
      <c r="E88" s="134" t="s">
        <v>3302</v>
      </c>
      <c r="F88" s="134" t="s">
        <v>3316</v>
      </c>
      <c r="G88" s="134" t="s">
        <v>3292</v>
      </c>
    </row>
    <row r="89" spans="1:7" ht="12.75">
      <c r="A89" s="132">
        <v>2021</v>
      </c>
      <c r="B89" s="132">
        <v>49</v>
      </c>
      <c r="C89" s="133">
        <v>44285</v>
      </c>
      <c r="D89" s="134" t="s">
        <v>3544</v>
      </c>
      <c r="E89" s="134" t="s">
        <v>3545</v>
      </c>
      <c r="F89" s="134" t="s">
        <v>3546</v>
      </c>
      <c r="G89" s="134" t="s">
        <v>3292</v>
      </c>
    </row>
    <row r="90" spans="1:7" ht="12.75">
      <c r="A90" s="132">
        <v>2021</v>
      </c>
      <c r="B90" s="132">
        <v>49</v>
      </c>
      <c r="C90" s="133">
        <v>44285</v>
      </c>
      <c r="D90" s="134" t="s">
        <v>3547</v>
      </c>
      <c r="E90" s="134" t="s">
        <v>5361</v>
      </c>
      <c r="F90" s="134" t="s">
        <v>3546</v>
      </c>
      <c r="G90" s="134" t="s">
        <v>3292</v>
      </c>
    </row>
    <row r="91" spans="1:7" ht="12.75">
      <c r="A91" s="132">
        <v>2021</v>
      </c>
      <c r="B91" s="132">
        <v>51</v>
      </c>
      <c r="C91" s="133">
        <v>44292</v>
      </c>
      <c r="D91" s="134" t="s">
        <v>3481</v>
      </c>
      <c r="E91" s="134" t="s">
        <v>3482</v>
      </c>
      <c r="F91" s="134" t="s">
        <v>3306</v>
      </c>
      <c r="G91" s="134" t="s">
        <v>3292</v>
      </c>
    </row>
    <row r="92" spans="1:7" ht="12.75">
      <c r="A92" s="132">
        <v>2021</v>
      </c>
      <c r="B92" s="132">
        <v>51</v>
      </c>
      <c r="C92" s="133">
        <v>44292</v>
      </c>
      <c r="D92" s="134" t="s">
        <v>5362</v>
      </c>
      <c r="E92" s="134" t="s">
        <v>5363</v>
      </c>
      <c r="F92" s="134" t="s">
        <v>3313</v>
      </c>
      <c r="G92" s="134" t="s">
        <v>3292</v>
      </c>
    </row>
    <row r="93" spans="1:7" ht="12.75">
      <c r="A93" s="132">
        <v>2021</v>
      </c>
      <c r="B93" s="132">
        <v>51</v>
      </c>
      <c r="C93" s="133">
        <v>44292</v>
      </c>
      <c r="D93" s="134" t="s">
        <v>5364</v>
      </c>
      <c r="E93" s="134" t="s">
        <v>5365</v>
      </c>
      <c r="F93" s="134" t="s">
        <v>3306</v>
      </c>
      <c r="G93" s="134" t="s">
        <v>3292</v>
      </c>
    </row>
    <row r="94" spans="1:7" ht="12.75">
      <c r="A94" s="132">
        <v>2021</v>
      </c>
      <c r="B94" s="132">
        <v>52</v>
      </c>
      <c r="C94" s="133">
        <v>44292</v>
      </c>
      <c r="D94" s="134" t="s">
        <v>3980</v>
      </c>
      <c r="E94" s="134" t="s">
        <v>5366</v>
      </c>
      <c r="F94" s="134" t="s">
        <v>3328</v>
      </c>
      <c r="G94" s="134" t="s">
        <v>3292</v>
      </c>
    </row>
    <row r="95" spans="1:7" ht="12.75">
      <c r="A95" s="132">
        <v>2021</v>
      </c>
      <c r="B95" s="132">
        <v>53</v>
      </c>
      <c r="C95" s="133">
        <v>44292</v>
      </c>
      <c r="D95" s="134" t="s">
        <v>3363</v>
      </c>
      <c r="E95" s="134" t="s">
        <v>3982</v>
      </c>
      <c r="F95" s="134" t="s">
        <v>3291</v>
      </c>
      <c r="G95" s="134" t="s">
        <v>3292</v>
      </c>
    </row>
    <row r="96" spans="1:7" ht="12.75">
      <c r="A96" s="132">
        <v>2021</v>
      </c>
      <c r="B96" s="132">
        <v>53</v>
      </c>
      <c r="C96" s="133">
        <v>44292</v>
      </c>
      <c r="D96" s="134" t="s">
        <v>3983</v>
      </c>
      <c r="E96" s="134" t="s">
        <v>3984</v>
      </c>
      <c r="F96" s="134" t="s">
        <v>3291</v>
      </c>
      <c r="G96" s="134" t="s">
        <v>3292</v>
      </c>
    </row>
    <row r="97" spans="1:7" ht="12.75">
      <c r="A97" s="132">
        <v>2021</v>
      </c>
      <c r="B97" s="132">
        <v>53</v>
      </c>
      <c r="C97" s="133">
        <v>44292</v>
      </c>
      <c r="D97" s="134" t="s">
        <v>3985</v>
      </c>
      <c r="E97" s="134" t="s">
        <v>3986</v>
      </c>
      <c r="F97" s="134" t="s">
        <v>3291</v>
      </c>
      <c r="G97" s="134" t="s">
        <v>3292</v>
      </c>
    </row>
    <row r="98" spans="1:7" ht="12.75">
      <c r="A98" s="132">
        <v>2021</v>
      </c>
      <c r="B98" s="132">
        <v>53</v>
      </c>
      <c r="C98" s="133">
        <v>44292</v>
      </c>
      <c r="D98" s="134" t="s">
        <v>3987</v>
      </c>
      <c r="E98" s="134" t="s">
        <v>3988</v>
      </c>
      <c r="F98" s="134" t="s">
        <v>3291</v>
      </c>
      <c r="G98" s="134" t="s">
        <v>3292</v>
      </c>
    </row>
    <row r="99" spans="1:7" ht="12.75">
      <c r="A99" s="132">
        <v>2021</v>
      </c>
      <c r="B99" s="132">
        <v>54</v>
      </c>
      <c r="C99" s="133">
        <v>44294</v>
      </c>
      <c r="D99" s="134" t="s">
        <v>4519</v>
      </c>
      <c r="E99" s="134" t="s">
        <v>3302</v>
      </c>
      <c r="F99" s="134" t="s">
        <v>3306</v>
      </c>
      <c r="G99" s="134" t="s">
        <v>3292</v>
      </c>
    </row>
    <row r="100" spans="1:7" ht="12.75">
      <c r="A100" s="132">
        <v>2021</v>
      </c>
      <c r="B100" s="132">
        <v>54</v>
      </c>
      <c r="C100" s="133">
        <v>44294</v>
      </c>
      <c r="D100" s="134" t="s">
        <v>3989</v>
      </c>
      <c r="E100" s="134" t="s">
        <v>3990</v>
      </c>
      <c r="F100" s="134" t="s">
        <v>3306</v>
      </c>
      <c r="G100" s="134" t="s">
        <v>3292</v>
      </c>
    </row>
    <row r="101" spans="1:7" ht="12.75">
      <c r="A101" s="132">
        <v>2021</v>
      </c>
      <c r="B101" s="132">
        <v>54</v>
      </c>
      <c r="C101" s="133">
        <v>44294</v>
      </c>
      <c r="D101" s="134" t="s">
        <v>3991</v>
      </c>
      <c r="E101" s="134" t="s">
        <v>3992</v>
      </c>
      <c r="F101" s="134" t="s">
        <v>3993</v>
      </c>
      <c r="G101" s="134" t="s">
        <v>3513</v>
      </c>
    </row>
    <row r="102" spans="1:7" ht="12.75">
      <c r="A102" s="132">
        <v>2021</v>
      </c>
      <c r="B102" s="132">
        <v>57</v>
      </c>
      <c r="C102" s="133">
        <v>44294</v>
      </c>
      <c r="D102" s="134" t="s">
        <v>3853</v>
      </c>
      <c r="E102" s="134" t="s">
        <v>3854</v>
      </c>
      <c r="F102" s="134" t="s">
        <v>3309</v>
      </c>
      <c r="G102" s="134" t="s">
        <v>3292</v>
      </c>
    </row>
    <row r="103" spans="1:7" ht="12.75">
      <c r="A103" s="132">
        <v>2021</v>
      </c>
      <c r="B103" s="132">
        <v>57</v>
      </c>
      <c r="C103" s="133">
        <v>44294</v>
      </c>
      <c r="D103" s="134" t="s">
        <v>3994</v>
      </c>
      <c r="E103" s="134" t="s">
        <v>3995</v>
      </c>
      <c r="F103" s="134" t="s">
        <v>3309</v>
      </c>
      <c r="G103" s="134" t="s">
        <v>3292</v>
      </c>
    </row>
    <row r="104" spans="1:7" ht="12.75">
      <c r="A104" s="132">
        <v>2021</v>
      </c>
      <c r="B104" s="132">
        <v>57</v>
      </c>
      <c r="C104" s="133">
        <v>44294</v>
      </c>
      <c r="D104" s="134" t="s">
        <v>3996</v>
      </c>
      <c r="E104" s="134" t="s">
        <v>3997</v>
      </c>
      <c r="F104" s="134" t="s">
        <v>3309</v>
      </c>
      <c r="G104" s="134" t="s">
        <v>3292</v>
      </c>
    </row>
    <row r="105" spans="1:7" ht="12.75">
      <c r="A105" s="132">
        <v>2021</v>
      </c>
      <c r="B105" s="132">
        <v>57</v>
      </c>
      <c r="C105" s="133">
        <v>44294</v>
      </c>
      <c r="D105" s="134" t="s">
        <v>3998</v>
      </c>
      <c r="E105" s="134" t="s">
        <v>3999</v>
      </c>
      <c r="F105" s="134" t="s">
        <v>3309</v>
      </c>
      <c r="G105" s="134" t="s">
        <v>3292</v>
      </c>
    </row>
    <row r="106" spans="1:7" ht="12.75">
      <c r="A106" s="132">
        <v>2021</v>
      </c>
      <c r="B106" s="132">
        <v>59</v>
      </c>
      <c r="C106" s="133">
        <v>44294</v>
      </c>
      <c r="D106" s="134" t="s">
        <v>4000</v>
      </c>
      <c r="E106" s="134" t="s">
        <v>4001</v>
      </c>
      <c r="F106" s="134" t="s">
        <v>1319</v>
      </c>
      <c r="G106" s="134" t="s">
        <v>3288</v>
      </c>
    </row>
    <row r="107" spans="1:7" ht="12.75">
      <c r="A107" s="132">
        <v>2021</v>
      </c>
      <c r="B107" s="132">
        <v>67</v>
      </c>
      <c r="C107" s="133">
        <v>44301</v>
      </c>
      <c r="D107" s="134" t="s">
        <v>5367</v>
      </c>
      <c r="E107" s="134" t="s">
        <v>5368</v>
      </c>
      <c r="F107" s="134" t="s">
        <v>3512</v>
      </c>
      <c r="G107" s="134" t="s">
        <v>3513</v>
      </c>
    </row>
    <row r="108" spans="1:7" ht="12.75">
      <c r="A108" s="132">
        <v>2021</v>
      </c>
      <c r="B108" s="132">
        <v>67</v>
      </c>
      <c r="C108" s="133">
        <v>44301</v>
      </c>
      <c r="D108" s="134" t="s">
        <v>5369</v>
      </c>
      <c r="E108" s="134" t="s">
        <v>5370</v>
      </c>
      <c r="F108" s="134" t="s">
        <v>3512</v>
      </c>
      <c r="G108" s="134" t="s">
        <v>3513</v>
      </c>
    </row>
    <row r="109" spans="1:7" ht="12.75">
      <c r="A109" s="132">
        <v>2021</v>
      </c>
      <c r="B109" s="132">
        <v>67</v>
      </c>
      <c r="C109" s="133">
        <v>44301</v>
      </c>
      <c r="D109" s="134" t="s">
        <v>5371</v>
      </c>
      <c r="E109" s="134" t="s">
        <v>5372</v>
      </c>
      <c r="F109" s="134" t="s">
        <v>3512</v>
      </c>
      <c r="G109" s="134" t="s">
        <v>3513</v>
      </c>
    </row>
    <row r="110" spans="1:7" ht="12.75">
      <c r="A110" s="132">
        <v>2021</v>
      </c>
      <c r="B110" s="132">
        <v>68</v>
      </c>
      <c r="C110" s="133">
        <v>44301</v>
      </c>
      <c r="D110" s="134" t="s">
        <v>3855</v>
      </c>
      <c r="E110" s="134" t="s">
        <v>4002</v>
      </c>
      <c r="F110" s="134" t="s">
        <v>1319</v>
      </c>
      <c r="G110" s="134" t="s">
        <v>3288</v>
      </c>
    </row>
    <row r="111" spans="1:7" ht="12.75">
      <c r="A111" s="132">
        <v>2021</v>
      </c>
      <c r="B111" s="132">
        <v>70</v>
      </c>
      <c r="C111" s="133">
        <v>44301</v>
      </c>
      <c r="D111" s="134" t="s">
        <v>4003</v>
      </c>
      <c r="E111" s="134" t="s">
        <v>4004</v>
      </c>
      <c r="F111" s="134" t="s">
        <v>3309</v>
      </c>
      <c r="G111" s="134" t="s">
        <v>3292</v>
      </c>
    </row>
    <row r="112" spans="1:7" ht="12.75">
      <c r="A112" s="132">
        <v>2021</v>
      </c>
      <c r="B112" s="132">
        <v>70</v>
      </c>
      <c r="C112" s="133">
        <v>44301</v>
      </c>
      <c r="D112" s="134" t="s">
        <v>4005</v>
      </c>
      <c r="E112" s="134" t="s">
        <v>4006</v>
      </c>
      <c r="F112" s="134" t="s">
        <v>3409</v>
      </c>
      <c r="G112" s="134" t="s">
        <v>3288</v>
      </c>
    </row>
    <row r="113" spans="1:7" ht="12.75">
      <c r="A113" s="132">
        <v>2021</v>
      </c>
      <c r="B113" s="132">
        <v>71</v>
      </c>
      <c r="C113" s="133">
        <v>44306</v>
      </c>
      <c r="D113" s="134" t="s">
        <v>5373</v>
      </c>
      <c r="E113" s="134" t="s">
        <v>5374</v>
      </c>
      <c r="F113" s="134" t="s">
        <v>4692</v>
      </c>
      <c r="G113" s="134" t="s">
        <v>3513</v>
      </c>
    </row>
    <row r="114" spans="1:7" ht="12.75">
      <c r="A114" s="132">
        <v>2021</v>
      </c>
      <c r="B114" s="132">
        <v>71</v>
      </c>
      <c r="C114" s="133">
        <v>44306</v>
      </c>
      <c r="D114" s="134" t="s">
        <v>5375</v>
      </c>
      <c r="E114" s="134" t="s">
        <v>5376</v>
      </c>
      <c r="F114" s="134" t="s">
        <v>4692</v>
      </c>
      <c r="G114" s="134" t="s">
        <v>3513</v>
      </c>
    </row>
    <row r="115" spans="1:7" ht="12.75">
      <c r="A115" s="132">
        <v>2021</v>
      </c>
      <c r="B115" s="132">
        <v>71</v>
      </c>
      <c r="C115" s="133">
        <v>44306</v>
      </c>
      <c r="D115" s="134" t="s">
        <v>5377</v>
      </c>
      <c r="E115" s="134" t="s">
        <v>5378</v>
      </c>
      <c r="F115" s="134" t="s">
        <v>3446</v>
      </c>
      <c r="G115" s="134" t="s">
        <v>3288</v>
      </c>
    </row>
    <row r="116" spans="1:7" ht="12.75">
      <c r="A116" s="132">
        <v>2021</v>
      </c>
      <c r="B116" s="132">
        <v>72</v>
      </c>
      <c r="C116" s="133">
        <v>44306</v>
      </c>
      <c r="D116" s="134" t="s">
        <v>3853</v>
      </c>
      <c r="E116" s="134" t="s">
        <v>3854</v>
      </c>
      <c r="F116" s="134" t="s">
        <v>3309</v>
      </c>
      <c r="G116" s="134" t="s">
        <v>3292</v>
      </c>
    </row>
    <row r="117" spans="1:7" ht="12.75">
      <c r="A117" s="132">
        <v>2021</v>
      </c>
      <c r="B117" s="132">
        <v>72</v>
      </c>
      <c r="C117" s="133">
        <v>44306</v>
      </c>
      <c r="D117" s="134" t="s">
        <v>4007</v>
      </c>
      <c r="E117" s="134" t="s">
        <v>4008</v>
      </c>
      <c r="F117" s="134" t="s">
        <v>3309</v>
      </c>
      <c r="G117" s="134" t="s">
        <v>3292</v>
      </c>
    </row>
    <row r="118" spans="1:7" ht="12.75">
      <c r="A118" s="132">
        <v>2021</v>
      </c>
      <c r="B118" s="132">
        <v>72</v>
      </c>
      <c r="C118" s="133">
        <v>44306</v>
      </c>
      <c r="D118" s="134" t="s">
        <v>4009</v>
      </c>
      <c r="E118" s="134" t="s">
        <v>4010</v>
      </c>
      <c r="F118" s="134" t="s">
        <v>3309</v>
      </c>
      <c r="G118" s="134" t="s">
        <v>3292</v>
      </c>
    </row>
    <row r="119" spans="1:7" ht="12.75">
      <c r="A119" s="132">
        <v>2021</v>
      </c>
      <c r="B119" s="132">
        <v>73</v>
      </c>
      <c r="C119" s="133">
        <v>44306</v>
      </c>
      <c r="D119" s="134" t="s">
        <v>4011</v>
      </c>
      <c r="E119" s="134" t="s">
        <v>3633</v>
      </c>
      <c r="F119" s="134" t="s">
        <v>1319</v>
      </c>
      <c r="G119" s="134" t="s">
        <v>3288</v>
      </c>
    </row>
    <row r="120" spans="1:7" ht="12.75">
      <c r="A120" s="132">
        <v>2021</v>
      </c>
      <c r="B120" s="132">
        <v>73</v>
      </c>
      <c r="C120" s="133">
        <v>44306</v>
      </c>
      <c r="D120" s="134" t="s">
        <v>3634</v>
      </c>
      <c r="E120" s="134" t="s">
        <v>3633</v>
      </c>
      <c r="F120" s="134" t="s">
        <v>1319</v>
      </c>
      <c r="G120" s="134" t="s">
        <v>3288</v>
      </c>
    </row>
    <row r="121" spans="1:7" ht="12.75">
      <c r="A121" s="132">
        <v>2021</v>
      </c>
      <c r="B121" s="132">
        <v>73</v>
      </c>
      <c r="C121" s="133">
        <v>44306</v>
      </c>
      <c r="D121" s="134" t="s">
        <v>4012</v>
      </c>
      <c r="E121" s="134" t="s">
        <v>3633</v>
      </c>
      <c r="F121" s="134" t="s">
        <v>1319</v>
      </c>
      <c r="G121" s="134" t="s">
        <v>3288</v>
      </c>
    </row>
    <row r="122" spans="1:7" ht="12.75">
      <c r="A122" s="132">
        <v>2021</v>
      </c>
      <c r="B122" s="132">
        <v>73</v>
      </c>
      <c r="C122" s="133">
        <v>44306</v>
      </c>
      <c r="D122" s="134" t="s">
        <v>4013</v>
      </c>
      <c r="E122" s="134" t="s">
        <v>3633</v>
      </c>
      <c r="F122" s="134" t="s">
        <v>1319</v>
      </c>
      <c r="G122" s="134" t="s">
        <v>3288</v>
      </c>
    </row>
    <row r="123" spans="1:7" ht="12.75">
      <c r="A123" s="132">
        <v>2021</v>
      </c>
      <c r="B123" s="132">
        <v>74</v>
      </c>
      <c r="C123" s="133">
        <v>44337</v>
      </c>
      <c r="D123" s="134" t="s">
        <v>4014</v>
      </c>
      <c r="E123" s="134" t="s">
        <v>4015</v>
      </c>
      <c r="F123" s="134" t="s">
        <v>3291</v>
      </c>
      <c r="G123" s="134" t="s">
        <v>3292</v>
      </c>
    </row>
    <row r="124" spans="1:7" ht="12.75">
      <c r="A124" s="132">
        <v>2021</v>
      </c>
      <c r="B124" s="132">
        <v>74</v>
      </c>
      <c r="C124" s="133">
        <v>44337</v>
      </c>
      <c r="D124" s="134" t="s">
        <v>3956</v>
      </c>
      <c r="E124" s="134" t="s">
        <v>3957</v>
      </c>
      <c r="F124" s="134" t="s">
        <v>3291</v>
      </c>
      <c r="G124" s="134" t="s">
        <v>3292</v>
      </c>
    </row>
    <row r="125" spans="1:7" ht="12.75">
      <c r="A125" s="132">
        <v>2021</v>
      </c>
      <c r="B125" s="132">
        <v>77</v>
      </c>
      <c r="C125" s="133">
        <v>44308</v>
      </c>
      <c r="D125" s="134" t="s">
        <v>3570</v>
      </c>
      <c r="E125" s="134" t="s">
        <v>3565</v>
      </c>
      <c r="F125" s="134" t="s">
        <v>3571</v>
      </c>
      <c r="G125" s="134" t="s">
        <v>3567</v>
      </c>
    </row>
    <row r="126" spans="1:7" ht="12.75">
      <c r="A126" s="132">
        <v>2021</v>
      </c>
      <c r="B126" s="132">
        <v>77</v>
      </c>
      <c r="C126" s="133">
        <v>44308</v>
      </c>
      <c r="D126" s="134" t="s">
        <v>3578</v>
      </c>
      <c r="E126" s="134" t="s">
        <v>3565</v>
      </c>
      <c r="F126" s="134" t="s">
        <v>3579</v>
      </c>
      <c r="G126" s="134" t="s">
        <v>3567</v>
      </c>
    </row>
    <row r="127" spans="1:7" ht="12.75">
      <c r="A127" s="132">
        <v>2021</v>
      </c>
      <c r="B127" s="132">
        <v>77</v>
      </c>
      <c r="C127" s="133">
        <v>44308</v>
      </c>
      <c r="D127" s="134" t="s">
        <v>4016</v>
      </c>
      <c r="E127" s="134" t="s">
        <v>3565</v>
      </c>
      <c r="F127" s="134" t="s">
        <v>4017</v>
      </c>
      <c r="G127" s="134" t="s">
        <v>3567</v>
      </c>
    </row>
    <row r="128" spans="1:7" ht="12.75">
      <c r="A128" s="132">
        <v>2021</v>
      </c>
      <c r="B128" s="132">
        <v>77</v>
      </c>
      <c r="C128" s="133">
        <v>44308</v>
      </c>
      <c r="D128" s="134" t="s">
        <v>3590</v>
      </c>
      <c r="E128" s="134" t="s">
        <v>3565</v>
      </c>
      <c r="F128" s="134" t="s">
        <v>3591</v>
      </c>
      <c r="G128" s="134" t="s">
        <v>3567</v>
      </c>
    </row>
    <row r="129" spans="1:7" ht="12.75">
      <c r="A129" s="132">
        <v>2021</v>
      </c>
      <c r="B129" s="132">
        <v>77</v>
      </c>
      <c r="C129" s="133">
        <v>44308</v>
      </c>
      <c r="D129" s="134" t="s">
        <v>3582</v>
      </c>
      <c r="E129" s="134" t="s">
        <v>3565</v>
      </c>
      <c r="F129" s="134" t="s">
        <v>3583</v>
      </c>
      <c r="G129" s="134" t="s">
        <v>3567</v>
      </c>
    </row>
    <row r="130" spans="1:7" ht="12.75">
      <c r="A130" s="132">
        <v>2021</v>
      </c>
      <c r="B130" s="132">
        <v>77</v>
      </c>
      <c r="C130" s="133">
        <v>44308</v>
      </c>
      <c r="D130" s="134" t="s">
        <v>4018</v>
      </c>
      <c r="E130" s="134" t="s">
        <v>3565</v>
      </c>
      <c r="F130" s="134" t="s">
        <v>3585</v>
      </c>
      <c r="G130" s="134" t="s">
        <v>3567</v>
      </c>
    </row>
    <row r="131" spans="1:7" ht="12.75">
      <c r="A131" s="132">
        <v>2021</v>
      </c>
      <c r="B131" s="132">
        <v>77</v>
      </c>
      <c r="C131" s="133">
        <v>44308</v>
      </c>
      <c r="D131" s="134" t="s">
        <v>3564</v>
      </c>
      <c r="E131" s="134" t="s">
        <v>3565</v>
      </c>
      <c r="F131" s="134" t="s">
        <v>3566</v>
      </c>
      <c r="G131" s="134" t="s">
        <v>3567</v>
      </c>
    </row>
    <row r="132" spans="1:7" ht="12.75">
      <c r="A132" s="132">
        <v>2021</v>
      </c>
      <c r="B132" s="132">
        <v>78</v>
      </c>
      <c r="C132" s="133">
        <v>44313</v>
      </c>
      <c r="D132" s="134" t="s">
        <v>4019</v>
      </c>
      <c r="E132" s="134" t="s">
        <v>4020</v>
      </c>
      <c r="F132" s="134" t="s">
        <v>1319</v>
      </c>
      <c r="G132" s="134" t="s">
        <v>3288</v>
      </c>
    </row>
    <row r="133" spans="1:7" ht="12.75">
      <c r="A133" s="132">
        <v>2021</v>
      </c>
      <c r="B133" s="132">
        <v>79</v>
      </c>
      <c r="C133" s="133">
        <v>44313</v>
      </c>
      <c r="D133" s="134" t="s">
        <v>4021</v>
      </c>
      <c r="E133" s="134" t="s">
        <v>4022</v>
      </c>
      <c r="F133" s="134" t="s">
        <v>1319</v>
      </c>
      <c r="G133" s="134" t="s">
        <v>3288</v>
      </c>
    </row>
    <row r="134" spans="1:7" ht="12.75">
      <c r="A134" s="132">
        <v>2021</v>
      </c>
      <c r="B134" s="132">
        <v>79</v>
      </c>
      <c r="C134" s="133">
        <v>44313</v>
      </c>
      <c r="D134" s="134" t="s">
        <v>4023</v>
      </c>
      <c r="E134" s="134" t="s">
        <v>4024</v>
      </c>
      <c r="F134" s="134" t="s">
        <v>1319</v>
      </c>
      <c r="G134" s="134" t="s">
        <v>3288</v>
      </c>
    </row>
    <row r="135" spans="1:7" ht="12.75">
      <c r="A135" s="132">
        <v>2021</v>
      </c>
      <c r="B135" s="132">
        <v>79</v>
      </c>
      <c r="C135" s="133">
        <v>44313</v>
      </c>
      <c r="D135" s="134" t="s">
        <v>4025</v>
      </c>
      <c r="E135" s="134" t="s">
        <v>5379</v>
      </c>
      <c r="F135" s="134" t="s">
        <v>1319</v>
      </c>
      <c r="G135" s="134" t="s">
        <v>3288</v>
      </c>
    </row>
    <row r="136" spans="1:7" ht="12.75">
      <c r="A136" s="132">
        <v>2021</v>
      </c>
      <c r="B136" s="132">
        <v>80</v>
      </c>
      <c r="C136" s="133">
        <v>44313</v>
      </c>
      <c r="D136" s="134" t="s">
        <v>4028</v>
      </c>
      <c r="E136" s="134" t="s">
        <v>4029</v>
      </c>
      <c r="F136" s="134" t="s">
        <v>3439</v>
      </c>
      <c r="G136" s="134" t="s">
        <v>3288</v>
      </c>
    </row>
    <row r="137" spans="1:7" ht="12.75">
      <c r="A137" s="132">
        <v>2021</v>
      </c>
      <c r="B137" s="132">
        <v>80</v>
      </c>
      <c r="C137" s="133">
        <v>44313</v>
      </c>
      <c r="D137" s="134" t="s">
        <v>4030</v>
      </c>
      <c r="E137" s="134" t="s">
        <v>4031</v>
      </c>
      <c r="F137" s="134" t="s">
        <v>3409</v>
      </c>
      <c r="G137" s="134" t="s">
        <v>3288</v>
      </c>
    </row>
    <row r="138" spans="1:7" ht="12.75">
      <c r="A138" s="132">
        <v>2021</v>
      </c>
      <c r="B138" s="132">
        <v>80</v>
      </c>
      <c r="C138" s="133">
        <v>44313</v>
      </c>
      <c r="D138" s="134" t="s">
        <v>4032</v>
      </c>
      <c r="E138" s="134" t="s">
        <v>4033</v>
      </c>
      <c r="F138" s="134" t="s">
        <v>3409</v>
      </c>
      <c r="G138" s="134" t="s">
        <v>3288</v>
      </c>
    </row>
    <row r="139" spans="1:7" ht="12.75">
      <c r="A139" s="132">
        <v>2021</v>
      </c>
      <c r="B139" s="132">
        <v>80</v>
      </c>
      <c r="C139" s="133">
        <v>44313</v>
      </c>
      <c r="D139" s="134" t="s">
        <v>4034</v>
      </c>
      <c r="E139" s="134" t="s">
        <v>4035</v>
      </c>
      <c r="F139" s="134" t="s">
        <v>3409</v>
      </c>
      <c r="G139" s="134" t="s">
        <v>3288</v>
      </c>
    </row>
    <row r="140" spans="1:7" ht="12.75">
      <c r="A140" s="132">
        <v>2021</v>
      </c>
      <c r="B140" s="132">
        <v>80</v>
      </c>
      <c r="C140" s="133">
        <v>44313</v>
      </c>
      <c r="D140" s="134" t="s">
        <v>4036</v>
      </c>
      <c r="E140" s="134" t="s">
        <v>4037</v>
      </c>
      <c r="F140" s="134" t="s">
        <v>1319</v>
      </c>
      <c r="G140" s="134" t="s">
        <v>3288</v>
      </c>
    </row>
    <row r="141" spans="1:7" ht="12.75">
      <c r="A141" s="132">
        <v>2021</v>
      </c>
      <c r="B141" s="132">
        <v>80</v>
      </c>
      <c r="C141" s="133">
        <v>44313</v>
      </c>
      <c r="D141" s="134" t="s">
        <v>4038</v>
      </c>
      <c r="E141" s="134" t="s">
        <v>4039</v>
      </c>
      <c r="F141" s="134" t="s">
        <v>3439</v>
      </c>
      <c r="G141" s="134" t="s">
        <v>3288</v>
      </c>
    </row>
    <row r="142" spans="1:7" ht="12.75">
      <c r="A142" s="132">
        <v>2021</v>
      </c>
      <c r="B142" s="132">
        <v>80</v>
      </c>
      <c r="C142" s="133">
        <v>44313</v>
      </c>
      <c r="D142" s="134" t="s">
        <v>4040</v>
      </c>
      <c r="E142" s="134" t="s">
        <v>4039</v>
      </c>
      <c r="F142" s="134" t="s">
        <v>3439</v>
      </c>
      <c r="G142" s="134" t="s">
        <v>3288</v>
      </c>
    </row>
    <row r="143" spans="1:7" ht="12.75">
      <c r="A143" s="132">
        <v>2021</v>
      </c>
      <c r="B143" s="132">
        <v>80</v>
      </c>
      <c r="C143" s="133">
        <v>44313</v>
      </c>
      <c r="D143" s="134" t="s">
        <v>4041</v>
      </c>
      <c r="E143" s="134" t="s">
        <v>4042</v>
      </c>
      <c r="F143" s="134" t="s">
        <v>3409</v>
      </c>
      <c r="G143" s="134" t="s">
        <v>3288</v>
      </c>
    </row>
    <row r="144" spans="1:7" ht="12.75">
      <c r="A144" s="132">
        <v>2021</v>
      </c>
      <c r="B144" s="132">
        <v>80</v>
      </c>
      <c r="C144" s="133">
        <v>44313</v>
      </c>
      <c r="D144" s="134" t="s">
        <v>4043</v>
      </c>
      <c r="E144" s="134" t="s">
        <v>4044</v>
      </c>
      <c r="F144" s="134" t="s">
        <v>3409</v>
      </c>
      <c r="G144" s="134" t="s">
        <v>3288</v>
      </c>
    </row>
    <row r="145" spans="1:7" ht="12.75">
      <c r="A145" s="132">
        <v>2021</v>
      </c>
      <c r="B145" s="132">
        <v>80</v>
      </c>
      <c r="C145" s="133">
        <v>44313</v>
      </c>
      <c r="D145" s="134" t="s">
        <v>4045</v>
      </c>
      <c r="E145" s="134" t="s">
        <v>4044</v>
      </c>
      <c r="F145" s="134" t="s">
        <v>3409</v>
      </c>
      <c r="G145" s="134" t="s">
        <v>3288</v>
      </c>
    </row>
    <row r="146" spans="1:7" ht="12.75">
      <c r="A146" s="132">
        <v>2021</v>
      </c>
      <c r="B146" s="132">
        <v>80</v>
      </c>
      <c r="C146" s="133">
        <v>44313</v>
      </c>
      <c r="D146" s="134" t="s">
        <v>4046</v>
      </c>
      <c r="E146" s="134" t="s">
        <v>4047</v>
      </c>
      <c r="F146" s="134" t="s">
        <v>3409</v>
      </c>
      <c r="G146" s="134" t="s">
        <v>3288</v>
      </c>
    </row>
    <row r="147" spans="1:7" ht="12.75">
      <c r="A147" s="132">
        <v>2021</v>
      </c>
      <c r="B147" s="132">
        <v>80</v>
      </c>
      <c r="C147" s="133">
        <v>44313</v>
      </c>
      <c r="D147" s="134" t="s">
        <v>4048</v>
      </c>
      <c r="E147" s="134" t="s">
        <v>4049</v>
      </c>
      <c r="F147" s="134" t="s">
        <v>3409</v>
      </c>
      <c r="G147" s="134" t="s">
        <v>3288</v>
      </c>
    </row>
    <row r="148" spans="1:7" ht="12.75">
      <c r="A148" s="132">
        <v>2021</v>
      </c>
      <c r="B148" s="132">
        <v>80</v>
      </c>
      <c r="C148" s="133">
        <v>44313</v>
      </c>
      <c r="D148" s="134" t="s">
        <v>4050</v>
      </c>
      <c r="E148" s="134" t="s">
        <v>4051</v>
      </c>
      <c r="F148" s="134" t="s">
        <v>3409</v>
      </c>
      <c r="G148" s="134" t="s">
        <v>3288</v>
      </c>
    </row>
    <row r="149" spans="1:7" ht="12.75">
      <c r="A149" s="132">
        <v>2021</v>
      </c>
      <c r="B149" s="132">
        <v>80</v>
      </c>
      <c r="C149" s="133">
        <v>44313</v>
      </c>
      <c r="D149" s="134" t="s">
        <v>4052</v>
      </c>
      <c r="E149" s="134" t="s">
        <v>4051</v>
      </c>
      <c r="F149" s="134" t="s">
        <v>3409</v>
      </c>
      <c r="G149" s="134" t="s">
        <v>3288</v>
      </c>
    </row>
    <row r="150" spans="1:7" ht="12.75">
      <c r="A150" s="132">
        <v>2021</v>
      </c>
      <c r="B150" s="132">
        <v>80</v>
      </c>
      <c r="C150" s="133">
        <v>44313</v>
      </c>
      <c r="D150" s="134" t="s">
        <v>4053</v>
      </c>
      <c r="E150" s="134" t="s">
        <v>4054</v>
      </c>
      <c r="F150" s="134" t="s">
        <v>3409</v>
      </c>
      <c r="G150" s="134" t="s">
        <v>3288</v>
      </c>
    </row>
    <row r="151" spans="1:7" ht="12.75">
      <c r="A151" s="132">
        <v>2021</v>
      </c>
      <c r="B151" s="132">
        <v>80</v>
      </c>
      <c r="C151" s="133">
        <v>44313</v>
      </c>
      <c r="D151" s="134" t="s">
        <v>4055</v>
      </c>
      <c r="E151" s="134" t="s">
        <v>4054</v>
      </c>
      <c r="F151" s="134" t="s">
        <v>3409</v>
      </c>
      <c r="G151" s="134" t="s">
        <v>3288</v>
      </c>
    </row>
    <row r="152" spans="1:7" ht="12.75">
      <c r="A152" s="132">
        <v>2021</v>
      </c>
      <c r="B152" s="132">
        <v>80</v>
      </c>
      <c r="C152" s="133">
        <v>44313</v>
      </c>
      <c r="D152" s="134" t="s">
        <v>4056</v>
      </c>
      <c r="E152" s="134" t="s">
        <v>5380</v>
      </c>
      <c r="F152" s="134" t="s">
        <v>3439</v>
      </c>
      <c r="G152" s="134" t="s">
        <v>3288</v>
      </c>
    </row>
    <row r="153" spans="1:7" ht="12.75">
      <c r="A153" s="132">
        <v>2021</v>
      </c>
      <c r="B153" s="132">
        <v>80</v>
      </c>
      <c r="C153" s="133">
        <v>44313</v>
      </c>
      <c r="D153" s="134" t="s">
        <v>4058</v>
      </c>
      <c r="E153" s="134" t="s">
        <v>5380</v>
      </c>
      <c r="F153" s="134" t="s">
        <v>3439</v>
      </c>
      <c r="G153" s="134" t="s">
        <v>3288</v>
      </c>
    </row>
    <row r="154" spans="1:7" ht="12.75">
      <c r="A154" s="132">
        <v>2021</v>
      </c>
      <c r="B154" s="132">
        <v>80</v>
      </c>
      <c r="C154" s="133">
        <v>44313</v>
      </c>
      <c r="D154" s="134" t="s">
        <v>4059</v>
      </c>
      <c r="E154" s="134" t="s">
        <v>4060</v>
      </c>
      <c r="F154" s="134" t="s">
        <v>3409</v>
      </c>
      <c r="G154" s="134" t="s">
        <v>3288</v>
      </c>
    </row>
    <row r="155" spans="1:7" ht="12.75">
      <c r="A155" s="132">
        <v>2021</v>
      </c>
      <c r="B155" s="132">
        <v>80</v>
      </c>
      <c r="C155" s="133">
        <v>44313</v>
      </c>
      <c r="D155" s="134" t="s">
        <v>4061</v>
      </c>
      <c r="E155" s="134" t="s">
        <v>4062</v>
      </c>
      <c r="F155" s="134" t="s">
        <v>3439</v>
      </c>
      <c r="G155" s="134" t="s">
        <v>3288</v>
      </c>
    </row>
    <row r="156" spans="1:7" ht="12.75">
      <c r="A156" s="132">
        <v>2021</v>
      </c>
      <c r="B156" s="132">
        <v>80</v>
      </c>
      <c r="C156" s="133">
        <v>44313</v>
      </c>
      <c r="D156" s="134" t="s">
        <v>4063</v>
      </c>
      <c r="E156" s="134" t="s">
        <v>4064</v>
      </c>
      <c r="F156" s="134" t="s">
        <v>3439</v>
      </c>
      <c r="G156" s="134" t="s">
        <v>3288</v>
      </c>
    </row>
    <row r="157" spans="1:7" ht="12.75">
      <c r="A157" s="132">
        <v>2021</v>
      </c>
      <c r="B157" s="132">
        <v>82</v>
      </c>
      <c r="C157" s="133">
        <v>44315</v>
      </c>
      <c r="D157" s="134" t="s">
        <v>3481</v>
      </c>
      <c r="E157" s="134" t="s">
        <v>3482</v>
      </c>
      <c r="F157" s="134" t="s">
        <v>3306</v>
      </c>
      <c r="G157" s="134" t="s">
        <v>3292</v>
      </c>
    </row>
    <row r="158" spans="1:7" ht="12.75">
      <c r="A158" s="132">
        <v>2021</v>
      </c>
      <c r="B158" s="132">
        <v>83</v>
      </c>
      <c r="C158" s="133">
        <v>44315</v>
      </c>
      <c r="D158" s="134" t="s">
        <v>4065</v>
      </c>
      <c r="E158" s="134" t="s">
        <v>4066</v>
      </c>
      <c r="F158" s="134" t="s">
        <v>4067</v>
      </c>
      <c r="G158" s="134" t="s">
        <v>3292</v>
      </c>
    </row>
    <row r="159" spans="1:7" ht="12.75">
      <c r="A159" s="132">
        <v>2021</v>
      </c>
      <c r="B159" s="132">
        <v>84</v>
      </c>
      <c r="C159" s="133">
        <v>44315</v>
      </c>
      <c r="D159" s="134" t="s">
        <v>3359</v>
      </c>
      <c r="E159" s="134" t="s">
        <v>4068</v>
      </c>
      <c r="F159" s="134" t="s">
        <v>1319</v>
      </c>
      <c r="G159" s="134" t="s">
        <v>3288</v>
      </c>
    </row>
    <row r="160" spans="1:7" ht="12.75">
      <c r="A160" s="132">
        <v>2021</v>
      </c>
      <c r="B160" s="132">
        <v>84</v>
      </c>
      <c r="C160" s="133">
        <v>44315</v>
      </c>
      <c r="D160" s="134" t="s">
        <v>4069</v>
      </c>
      <c r="E160" s="134" t="s">
        <v>4070</v>
      </c>
      <c r="F160" s="134" t="s">
        <v>1319</v>
      </c>
      <c r="G160" s="134" t="s">
        <v>3288</v>
      </c>
    </row>
    <row r="161" spans="1:7" ht="12.75">
      <c r="A161" s="132">
        <v>2021</v>
      </c>
      <c r="B161" s="132">
        <v>84</v>
      </c>
      <c r="C161" s="133">
        <v>44315</v>
      </c>
      <c r="D161" s="134" t="s">
        <v>3342</v>
      </c>
      <c r="E161" s="134" t="s">
        <v>4071</v>
      </c>
      <c r="F161" s="134" t="s">
        <v>3876</v>
      </c>
      <c r="G161" s="134" t="s">
        <v>3292</v>
      </c>
    </row>
    <row r="162" spans="1:7" ht="12.75">
      <c r="A162" s="132">
        <v>2021</v>
      </c>
      <c r="B162" s="132">
        <v>84</v>
      </c>
      <c r="C162" s="133">
        <v>44315</v>
      </c>
      <c r="D162" s="134" t="s">
        <v>4072</v>
      </c>
      <c r="E162" s="134" t="s">
        <v>4073</v>
      </c>
      <c r="F162" s="134" t="s">
        <v>3439</v>
      </c>
      <c r="G162" s="134" t="s">
        <v>3288</v>
      </c>
    </row>
    <row r="163" spans="1:7" ht="12.75">
      <c r="A163" s="138">
        <v>2021</v>
      </c>
      <c r="B163" s="138">
        <v>84</v>
      </c>
      <c r="C163" s="139">
        <v>44315</v>
      </c>
      <c r="D163" s="134" t="s">
        <v>4074</v>
      </c>
      <c r="E163" s="134" t="s">
        <v>4073</v>
      </c>
      <c r="F163" s="134" t="s">
        <v>3439</v>
      </c>
      <c r="G163" s="140" t="s">
        <v>3288</v>
      </c>
    </row>
    <row r="164" spans="1:7" ht="12.75">
      <c r="A164" s="132">
        <v>2021</v>
      </c>
      <c r="B164" s="132">
        <v>84</v>
      </c>
      <c r="C164" s="133">
        <v>44315</v>
      </c>
      <c r="D164" s="134" t="s">
        <v>4075</v>
      </c>
      <c r="E164" s="134" t="s">
        <v>4076</v>
      </c>
      <c r="F164" s="134" t="s">
        <v>3439</v>
      </c>
      <c r="G164" s="134" t="s">
        <v>3288</v>
      </c>
    </row>
    <row r="165" spans="1:7" ht="12.75">
      <c r="A165" s="132">
        <v>2021</v>
      </c>
      <c r="B165" s="132">
        <v>84</v>
      </c>
      <c r="C165" s="133">
        <v>44315</v>
      </c>
      <c r="D165" s="134" t="s">
        <v>4077</v>
      </c>
      <c r="E165" s="134" t="s">
        <v>4076</v>
      </c>
      <c r="F165" s="134" t="s">
        <v>3439</v>
      </c>
      <c r="G165" s="134" t="s">
        <v>3288</v>
      </c>
    </row>
    <row r="166" spans="1:7" ht="12.75">
      <c r="A166" s="132">
        <v>2021</v>
      </c>
      <c r="B166" s="132">
        <v>85</v>
      </c>
      <c r="C166" s="133">
        <v>44315</v>
      </c>
      <c r="D166" s="134" t="s">
        <v>4078</v>
      </c>
      <c r="E166" s="134" t="s">
        <v>4079</v>
      </c>
      <c r="F166" s="134" t="s">
        <v>1319</v>
      </c>
      <c r="G166" s="134" t="s">
        <v>3288</v>
      </c>
    </row>
    <row r="167" spans="1:7" ht="12.75">
      <c r="A167" s="132">
        <v>2021</v>
      </c>
      <c r="B167" s="132">
        <v>85</v>
      </c>
      <c r="C167" s="133">
        <v>44315</v>
      </c>
      <c r="D167" s="134" t="s">
        <v>4080</v>
      </c>
      <c r="E167" s="134" t="s">
        <v>4081</v>
      </c>
      <c r="F167" s="134" t="s">
        <v>1319</v>
      </c>
      <c r="G167" s="134" t="s">
        <v>3288</v>
      </c>
    </row>
    <row r="168" spans="1:7" ht="12.75">
      <c r="A168" s="132">
        <v>2021</v>
      </c>
      <c r="B168" s="132">
        <v>85</v>
      </c>
      <c r="C168" s="133">
        <v>44315</v>
      </c>
      <c r="D168" s="134" t="s">
        <v>4082</v>
      </c>
      <c r="E168" s="134" t="s">
        <v>4083</v>
      </c>
      <c r="F168" s="134" t="s">
        <v>3439</v>
      </c>
      <c r="G168" s="134" t="s">
        <v>3288</v>
      </c>
    </row>
    <row r="169" spans="1:7" ht="12.75">
      <c r="A169" s="132">
        <v>2021</v>
      </c>
      <c r="B169" s="132">
        <v>85</v>
      </c>
      <c r="C169" s="133">
        <v>44315</v>
      </c>
      <c r="D169" s="134" t="s">
        <v>4084</v>
      </c>
      <c r="E169" s="134" t="s">
        <v>4085</v>
      </c>
      <c r="F169" s="134" t="s">
        <v>3439</v>
      </c>
      <c r="G169" s="134" t="s">
        <v>3288</v>
      </c>
    </row>
    <row r="170" spans="1:7" ht="12.75">
      <c r="A170" s="132">
        <v>2021</v>
      </c>
      <c r="B170" s="132">
        <v>85</v>
      </c>
      <c r="C170" s="133">
        <v>44315</v>
      </c>
      <c r="D170" s="134" t="s">
        <v>4086</v>
      </c>
      <c r="E170" s="134" t="s">
        <v>4087</v>
      </c>
      <c r="F170" s="134" t="s">
        <v>3469</v>
      </c>
      <c r="G170" s="134" t="s">
        <v>3288</v>
      </c>
    </row>
    <row r="171" spans="1:7" ht="12.75">
      <c r="A171" s="132">
        <v>2021</v>
      </c>
      <c r="B171" s="132">
        <v>85</v>
      </c>
      <c r="C171" s="133">
        <v>44315</v>
      </c>
      <c r="D171" s="134" t="s">
        <v>4088</v>
      </c>
      <c r="E171" s="134" t="s">
        <v>4089</v>
      </c>
      <c r="F171" s="134" t="s">
        <v>3469</v>
      </c>
      <c r="G171" s="134" t="s">
        <v>3288</v>
      </c>
    </row>
    <row r="172" spans="1:7" ht="12.75">
      <c r="A172" s="132">
        <v>2021</v>
      </c>
      <c r="B172" s="132">
        <v>88</v>
      </c>
      <c r="C172" s="133">
        <v>44320</v>
      </c>
      <c r="D172" s="134" t="s">
        <v>4090</v>
      </c>
      <c r="E172" s="134" t="s">
        <v>4091</v>
      </c>
      <c r="F172" s="134" t="s">
        <v>1319</v>
      </c>
      <c r="G172" s="134" t="s">
        <v>3288</v>
      </c>
    </row>
    <row r="173" spans="1:7" ht="12.75">
      <c r="A173" s="132">
        <v>2021</v>
      </c>
      <c r="B173" s="132">
        <v>90</v>
      </c>
      <c r="C173" s="133">
        <v>44322</v>
      </c>
      <c r="D173" s="134" t="s">
        <v>4093</v>
      </c>
      <c r="E173" s="134" t="s">
        <v>4094</v>
      </c>
      <c r="F173" s="134" t="s">
        <v>4095</v>
      </c>
      <c r="G173" s="134" t="s">
        <v>3292</v>
      </c>
    </row>
    <row r="174" spans="1:7" ht="12.75">
      <c r="A174" s="132">
        <v>2021</v>
      </c>
      <c r="B174" s="132">
        <v>92</v>
      </c>
      <c r="C174" s="133">
        <v>44322</v>
      </c>
      <c r="D174" s="134" t="s">
        <v>3342</v>
      </c>
      <c r="E174" s="134" t="s">
        <v>4096</v>
      </c>
      <c r="F174" s="134" t="s">
        <v>3876</v>
      </c>
      <c r="G174" s="134" t="s">
        <v>3292</v>
      </c>
    </row>
    <row r="175" spans="1:7" ht="12.75">
      <c r="A175" s="132">
        <v>2021</v>
      </c>
      <c r="B175" s="132">
        <v>92</v>
      </c>
      <c r="C175" s="133">
        <v>44322</v>
      </c>
      <c r="D175" s="134" t="s">
        <v>4097</v>
      </c>
      <c r="E175" s="134" t="s">
        <v>4098</v>
      </c>
      <c r="F175" s="134" t="s">
        <v>4099</v>
      </c>
      <c r="G175" s="134" t="s">
        <v>3288</v>
      </c>
    </row>
    <row r="176" spans="1:7" ht="12.75">
      <c r="A176" s="132">
        <v>2021</v>
      </c>
      <c r="B176" s="132">
        <v>92</v>
      </c>
      <c r="C176" s="133">
        <v>44322</v>
      </c>
      <c r="D176" s="134" t="s">
        <v>4100</v>
      </c>
      <c r="E176" s="134" t="s">
        <v>4101</v>
      </c>
      <c r="F176" s="134" t="s">
        <v>4102</v>
      </c>
      <c r="G176" s="134" t="s">
        <v>3288</v>
      </c>
    </row>
    <row r="177" spans="1:7" ht="12.75">
      <c r="A177" s="132">
        <v>2021</v>
      </c>
      <c r="B177" s="132">
        <v>92</v>
      </c>
      <c r="C177" s="133">
        <v>44322</v>
      </c>
      <c r="D177" s="134" t="s">
        <v>4103</v>
      </c>
      <c r="E177" s="134" t="s">
        <v>4104</v>
      </c>
      <c r="F177" s="134" t="s">
        <v>1319</v>
      </c>
      <c r="G177" s="134" t="s">
        <v>3288</v>
      </c>
    </row>
    <row r="178" spans="1:7" ht="12.75">
      <c r="A178" s="132">
        <v>2021</v>
      </c>
      <c r="B178" s="132">
        <v>92</v>
      </c>
      <c r="C178" s="133">
        <v>44322</v>
      </c>
      <c r="D178" s="134" t="s">
        <v>4075</v>
      </c>
      <c r="E178" s="134" t="s">
        <v>4105</v>
      </c>
      <c r="F178" s="134" t="s">
        <v>3439</v>
      </c>
      <c r="G178" s="134" t="s">
        <v>3288</v>
      </c>
    </row>
    <row r="179" spans="1:7" ht="12.75">
      <c r="A179" s="132">
        <v>2021</v>
      </c>
      <c r="B179" s="132">
        <v>92</v>
      </c>
      <c r="C179" s="133">
        <v>44322</v>
      </c>
      <c r="D179" s="134" t="s">
        <v>4077</v>
      </c>
      <c r="E179" s="134" t="s">
        <v>4106</v>
      </c>
      <c r="F179" s="134" t="s">
        <v>3469</v>
      </c>
      <c r="G179" s="134" t="s">
        <v>3288</v>
      </c>
    </row>
    <row r="180" spans="1:7" ht="12.75">
      <c r="A180" s="132">
        <v>2021</v>
      </c>
      <c r="B180" s="132">
        <v>92</v>
      </c>
      <c r="C180" s="133">
        <v>44322</v>
      </c>
      <c r="D180" s="134" t="s">
        <v>4107</v>
      </c>
      <c r="E180" s="134" t="s">
        <v>4108</v>
      </c>
      <c r="F180" s="134" t="s">
        <v>3358</v>
      </c>
      <c r="G180" s="134" t="s">
        <v>3288</v>
      </c>
    </row>
    <row r="181" spans="1:7" ht="12.75">
      <c r="A181" s="132">
        <v>2021</v>
      </c>
      <c r="B181" s="132">
        <v>92</v>
      </c>
      <c r="C181" s="133">
        <v>44322</v>
      </c>
      <c r="D181" s="134" t="s">
        <v>4109</v>
      </c>
      <c r="E181" s="134" t="s">
        <v>4110</v>
      </c>
      <c r="F181" s="134" t="s">
        <v>3439</v>
      </c>
      <c r="G181" s="134" t="s">
        <v>3288</v>
      </c>
    </row>
    <row r="182" spans="1:7" ht="12.75">
      <c r="A182" s="132">
        <v>2021</v>
      </c>
      <c r="B182" s="132">
        <v>93</v>
      </c>
      <c r="C182" s="133">
        <v>44327</v>
      </c>
      <c r="D182" s="134" t="s">
        <v>3324</v>
      </c>
      <c r="E182" s="134" t="s">
        <v>3302</v>
      </c>
      <c r="F182" s="134" t="s">
        <v>3325</v>
      </c>
      <c r="G182" s="134" t="s">
        <v>3292</v>
      </c>
    </row>
    <row r="183" spans="1:7" ht="12.75">
      <c r="A183" s="132">
        <v>2021</v>
      </c>
      <c r="B183" s="132">
        <v>95</v>
      </c>
      <c r="C183" s="133">
        <v>44327</v>
      </c>
      <c r="D183" s="134" t="s">
        <v>5381</v>
      </c>
      <c r="E183" s="134" t="s">
        <v>5382</v>
      </c>
      <c r="F183" s="134" t="s">
        <v>4692</v>
      </c>
      <c r="G183" s="134" t="s">
        <v>3513</v>
      </c>
    </row>
    <row r="184" spans="1:7" ht="12.75">
      <c r="A184" s="132">
        <v>2021</v>
      </c>
      <c r="B184" s="132">
        <v>95</v>
      </c>
      <c r="C184" s="133">
        <v>44327</v>
      </c>
      <c r="D184" s="134" t="s">
        <v>5383</v>
      </c>
      <c r="E184" s="134" t="s">
        <v>5384</v>
      </c>
      <c r="F184" s="134" t="s">
        <v>3512</v>
      </c>
      <c r="G184" s="134" t="s">
        <v>3513</v>
      </c>
    </row>
    <row r="185" spans="1:7" ht="12.75">
      <c r="A185" s="132">
        <v>2021</v>
      </c>
      <c r="B185" s="132">
        <v>95</v>
      </c>
      <c r="C185" s="133">
        <v>44327</v>
      </c>
      <c r="D185" s="134" t="s">
        <v>5385</v>
      </c>
      <c r="E185" s="134" t="s">
        <v>5386</v>
      </c>
      <c r="F185" s="134" t="s">
        <v>3512</v>
      </c>
      <c r="G185" s="134" t="s">
        <v>3513</v>
      </c>
    </row>
    <row r="186" spans="1:7" ht="12.75">
      <c r="A186" s="132">
        <v>2021</v>
      </c>
      <c r="B186" s="132">
        <v>96</v>
      </c>
      <c r="C186" s="133">
        <v>44329</v>
      </c>
      <c r="D186" s="134" t="s">
        <v>4111</v>
      </c>
      <c r="E186" s="134" t="s">
        <v>4112</v>
      </c>
      <c r="F186" s="134" t="s">
        <v>1319</v>
      </c>
      <c r="G186" s="134" t="s">
        <v>3288</v>
      </c>
    </row>
    <row r="187" spans="1:7" ht="12.75">
      <c r="A187" s="132">
        <v>2021</v>
      </c>
      <c r="B187" s="132">
        <v>96</v>
      </c>
      <c r="C187" s="133">
        <v>44329</v>
      </c>
      <c r="D187" s="134" t="s">
        <v>4113</v>
      </c>
      <c r="E187" s="134" t="s">
        <v>4114</v>
      </c>
      <c r="F187" s="134" t="s">
        <v>1319</v>
      </c>
      <c r="G187" s="134" t="s">
        <v>3288</v>
      </c>
    </row>
    <row r="188" spans="1:7" ht="12.75">
      <c r="A188" s="132">
        <v>2021</v>
      </c>
      <c r="B188" s="132">
        <v>96</v>
      </c>
      <c r="C188" s="133">
        <v>44329</v>
      </c>
      <c r="D188" s="134" t="s">
        <v>4115</v>
      </c>
      <c r="E188" s="134" t="s">
        <v>4116</v>
      </c>
      <c r="F188" s="134" t="s">
        <v>1319</v>
      </c>
      <c r="G188" s="134" t="s">
        <v>3288</v>
      </c>
    </row>
    <row r="189" spans="1:7" ht="12.75">
      <c r="A189" s="132">
        <v>2021</v>
      </c>
      <c r="B189" s="132">
        <v>96</v>
      </c>
      <c r="C189" s="133">
        <v>44329</v>
      </c>
      <c r="D189" s="134" t="s">
        <v>4117</v>
      </c>
      <c r="E189" s="134" t="s">
        <v>4118</v>
      </c>
      <c r="F189" s="134" t="s">
        <v>1319</v>
      </c>
      <c r="G189" s="134" t="s">
        <v>3288</v>
      </c>
    </row>
    <row r="190" spans="1:7" ht="12.75">
      <c r="A190" s="132">
        <v>2021</v>
      </c>
      <c r="B190" s="132">
        <v>96</v>
      </c>
      <c r="C190" s="133">
        <v>44329</v>
      </c>
      <c r="D190" s="134" t="s">
        <v>4119</v>
      </c>
      <c r="E190" s="134" t="s">
        <v>4120</v>
      </c>
      <c r="F190" s="134" t="s">
        <v>1319</v>
      </c>
      <c r="G190" s="134" t="s">
        <v>3288</v>
      </c>
    </row>
    <row r="191" spans="1:7" ht="12.75">
      <c r="A191" s="132">
        <v>2021</v>
      </c>
      <c r="B191" s="132">
        <v>96</v>
      </c>
      <c r="C191" s="133">
        <v>44329</v>
      </c>
      <c r="D191" s="134" t="s">
        <v>4121</v>
      </c>
      <c r="E191" s="134" t="s">
        <v>4122</v>
      </c>
      <c r="F191" s="134" t="s">
        <v>1319</v>
      </c>
      <c r="G191" s="134" t="s">
        <v>3288</v>
      </c>
    </row>
    <row r="192" spans="1:7" ht="12.75">
      <c r="A192" s="132">
        <v>2021</v>
      </c>
      <c r="B192" s="132">
        <v>97</v>
      </c>
      <c r="C192" s="133">
        <v>44329</v>
      </c>
      <c r="D192" s="134" t="s">
        <v>4123</v>
      </c>
      <c r="E192" s="134" t="s">
        <v>5387</v>
      </c>
      <c r="F192" s="134" t="s">
        <v>3439</v>
      </c>
      <c r="G192" s="134" t="s">
        <v>3288</v>
      </c>
    </row>
    <row r="193" spans="1:7" ht="12.75">
      <c r="A193" s="132">
        <v>2021</v>
      </c>
      <c r="B193" s="132">
        <v>102</v>
      </c>
      <c r="C193" s="133">
        <v>44334</v>
      </c>
      <c r="D193" s="134" t="s">
        <v>3447</v>
      </c>
      <c r="E193" s="134" t="s">
        <v>4125</v>
      </c>
      <c r="F193" s="134" t="s">
        <v>3446</v>
      </c>
      <c r="G193" s="134" t="s">
        <v>3288</v>
      </c>
    </row>
    <row r="194" spans="1:7" ht="12.75">
      <c r="A194" s="132">
        <v>2021</v>
      </c>
      <c r="B194" s="132">
        <v>102</v>
      </c>
      <c r="C194" s="133">
        <v>44334</v>
      </c>
      <c r="D194" s="134" t="s">
        <v>3444</v>
      </c>
      <c r="E194" s="134" t="s">
        <v>3445</v>
      </c>
      <c r="F194" s="134" t="s">
        <v>3446</v>
      </c>
      <c r="G194" s="134" t="s">
        <v>3288</v>
      </c>
    </row>
    <row r="195" spans="1:7" ht="12.75">
      <c r="A195" s="132">
        <v>2021</v>
      </c>
      <c r="B195" s="132">
        <v>102</v>
      </c>
      <c r="C195" s="133">
        <v>44334</v>
      </c>
      <c r="D195" s="134" t="s">
        <v>4126</v>
      </c>
      <c r="E195" s="134" t="s">
        <v>4127</v>
      </c>
      <c r="F195" s="134" t="s">
        <v>3446</v>
      </c>
      <c r="G195" s="134" t="s">
        <v>3288</v>
      </c>
    </row>
    <row r="196" spans="1:7" ht="12.75">
      <c r="A196" s="132">
        <v>2021</v>
      </c>
      <c r="B196" s="132">
        <v>102</v>
      </c>
      <c r="C196" s="133">
        <v>44334</v>
      </c>
      <c r="D196" s="134" t="s">
        <v>3840</v>
      </c>
      <c r="E196" s="134" t="s">
        <v>4128</v>
      </c>
      <c r="F196" s="134" t="s">
        <v>3446</v>
      </c>
      <c r="G196" s="134" t="s">
        <v>3288</v>
      </c>
    </row>
    <row r="197" spans="1:7" ht="12.75">
      <c r="A197" s="132">
        <v>2021</v>
      </c>
      <c r="B197" s="132">
        <v>102</v>
      </c>
      <c r="C197" s="133">
        <v>44334</v>
      </c>
      <c r="D197" s="134" t="s">
        <v>3449</v>
      </c>
      <c r="E197" s="134" t="s">
        <v>4129</v>
      </c>
      <c r="F197" s="134" t="s">
        <v>3446</v>
      </c>
      <c r="G197" s="134" t="s">
        <v>3288</v>
      </c>
    </row>
    <row r="198" spans="1:7" ht="12.75">
      <c r="A198" s="132">
        <v>2021</v>
      </c>
      <c r="B198" s="132">
        <v>104</v>
      </c>
      <c r="C198" s="133">
        <v>44336</v>
      </c>
      <c r="D198" s="134" t="s">
        <v>5388</v>
      </c>
      <c r="E198" s="135" t="s">
        <v>3856</v>
      </c>
      <c r="F198" s="134" t="s">
        <v>1319</v>
      </c>
      <c r="G198" s="134" t="s">
        <v>3288</v>
      </c>
    </row>
    <row r="199" spans="1:7" ht="12.75">
      <c r="A199" s="132">
        <v>2021</v>
      </c>
      <c r="B199" s="132">
        <v>105</v>
      </c>
      <c r="C199" s="133">
        <v>44336</v>
      </c>
      <c r="D199" s="134" t="s">
        <v>5389</v>
      </c>
      <c r="E199" s="134" t="s">
        <v>4131</v>
      </c>
      <c r="F199" s="134" t="s">
        <v>4132</v>
      </c>
      <c r="G199" s="134" t="s">
        <v>3292</v>
      </c>
    </row>
    <row r="200" spans="1:7" ht="12.75">
      <c r="A200" s="132">
        <v>2021</v>
      </c>
      <c r="B200" s="132">
        <v>106</v>
      </c>
      <c r="C200" s="133">
        <v>44336</v>
      </c>
      <c r="D200" s="134" t="s">
        <v>3940</v>
      </c>
      <c r="E200" s="134" t="s">
        <v>3941</v>
      </c>
      <c r="F200" s="134" t="s">
        <v>3432</v>
      </c>
      <c r="G200" s="134" t="s">
        <v>3292</v>
      </c>
    </row>
    <row r="201" spans="1:7" ht="12.75">
      <c r="A201" s="132">
        <v>2021</v>
      </c>
      <c r="B201" s="132">
        <v>109</v>
      </c>
      <c r="C201" s="133">
        <v>44348</v>
      </c>
      <c r="D201" s="134" t="s">
        <v>4074</v>
      </c>
      <c r="E201" s="134" t="s">
        <v>4073</v>
      </c>
      <c r="F201" s="134" t="s">
        <v>3469</v>
      </c>
      <c r="G201" s="134" t="s">
        <v>3288</v>
      </c>
    </row>
    <row r="202" spans="1:7" ht="12.75">
      <c r="A202" s="132">
        <v>2021</v>
      </c>
      <c r="B202" s="132">
        <v>112</v>
      </c>
      <c r="C202" s="133">
        <v>44350</v>
      </c>
      <c r="D202" s="134" t="s">
        <v>4133</v>
      </c>
      <c r="E202" s="134" t="s">
        <v>3318</v>
      </c>
      <c r="F202" s="134" t="s">
        <v>3291</v>
      </c>
      <c r="G202" s="134" t="s">
        <v>3292</v>
      </c>
    </row>
    <row r="203" spans="1:7" ht="12.75">
      <c r="A203" s="132">
        <v>2021</v>
      </c>
      <c r="B203" s="132">
        <v>113</v>
      </c>
      <c r="C203" s="133">
        <v>44355</v>
      </c>
      <c r="D203" s="134" t="s">
        <v>3289</v>
      </c>
      <c r="E203" s="134" t="s">
        <v>3290</v>
      </c>
      <c r="F203" s="134" t="s">
        <v>3291</v>
      </c>
      <c r="G203" s="134" t="s">
        <v>3292</v>
      </c>
    </row>
    <row r="204" spans="1:7" ht="12.75">
      <c r="A204" s="132">
        <v>2021</v>
      </c>
      <c r="B204" s="132">
        <v>114</v>
      </c>
      <c r="C204" s="133">
        <v>44355</v>
      </c>
      <c r="D204" s="134" t="s">
        <v>4134</v>
      </c>
      <c r="E204" s="134" t="s">
        <v>4135</v>
      </c>
      <c r="F204" s="134" t="s">
        <v>3306</v>
      </c>
      <c r="G204" s="134" t="s">
        <v>3292</v>
      </c>
    </row>
    <row r="205" spans="1:7" ht="12.75">
      <c r="A205" s="132">
        <v>2021</v>
      </c>
      <c r="B205" s="132">
        <v>114</v>
      </c>
      <c r="C205" s="133">
        <v>44355</v>
      </c>
      <c r="D205" s="134" t="s">
        <v>4136</v>
      </c>
      <c r="E205" s="134" t="s">
        <v>4137</v>
      </c>
      <c r="F205" s="134" t="s">
        <v>3306</v>
      </c>
      <c r="G205" s="134" t="s">
        <v>3292</v>
      </c>
    </row>
    <row r="206" spans="1:7" ht="12.75">
      <c r="A206" s="132">
        <v>2021</v>
      </c>
      <c r="B206" s="132">
        <v>114</v>
      </c>
      <c r="C206" s="133">
        <v>44355</v>
      </c>
      <c r="D206" s="134" t="s">
        <v>3375</v>
      </c>
      <c r="E206" s="134" t="s">
        <v>3403</v>
      </c>
      <c r="F206" s="134" t="s">
        <v>3306</v>
      </c>
      <c r="G206" s="134" t="s">
        <v>3292</v>
      </c>
    </row>
    <row r="207" spans="1:7" ht="12.75">
      <c r="A207" s="132">
        <v>2021</v>
      </c>
      <c r="B207" s="132">
        <v>114</v>
      </c>
      <c r="C207" s="133">
        <v>44355</v>
      </c>
      <c r="D207" s="134" t="s">
        <v>4138</v>
      </c>
      <c r="E207" s="134" t="s">
        <v>3688</v>
      </c>
      <c r="F207" s="134" t="s">
        <v>3306</v>
      </c>
      <c r="G207" s="134" t="s">
        <v>3292</v>
      </c>
    </row>
    <row r="208" spans="1:7" ht="12.75">
      <c r="A208" s="132">
        <v>2021</v>
      </c>
      <c r="B208" s="132">
        <v>115</v>
      </c>
      <c r="C208" s="133">
        <v>44355</v>
      </c>
      <c r="D208" s="134" t="s">
        <v>4139</v>
      </c>
      <c r="E208" s="134" t="s">
        <v>5390</v>
      </c>
      <c r="F208" s="134" t="s">
        <v>3446</v>
      </c>
      <c r="G208" s="134" t="s">
        <v>3288</v>
      </c>
    </row>
    <row r="209" spans="1:7" ht="12.75">
      <c r="A209" s="132">
        <v>2021</v>
      </c>
      <c r="B209" s="132">
        <v>116</v>
      </c>
      <c r="C209" s="133">
        <v>44355</v>
      </c>
      <c r="D209" s="134" t="s">
        <v>4141</v>
      </c>
      <c r="E209" s="134" t="s">
        <v>4142</v>
      </c>
      <c r="F209" s="134" t="s">
        <v>3311</v>
      </c>
      <c r="G209" s="134" t="s">
        <v>3292</v>
      </c>
    </row>
    <row r="210" spans="1:7" ht="12.75">
      <c r="A210" s="132">
        <v>2021</v>
      </c>
      <c r="B210" s="132">
        <v>118</v>
      </c>
      <c r="C210" s="133">
        <v>44356</v>
      </c>
      <c r="D210" s="134" t="s">
        <v>4143</v>
      </c>
      <c r="E210" s="134" t="s">
        <v>4144</v>
      </c>
      <c r="F210" s="135" t="s">
        <v>3409</v>
      </c>
      <c r="G210" s="134" t="s">
        <v>3292</v>
      </c>
    </row>
    <row r="211" spans="1:7" ht="12.75">
      <c r="A211" s="132">
        <v>2021</v>
      </c>
      <c r="B211" s="132">
        <v>118</v>
      </c>
      <c r="C211" s="133">
        <v>44356</v>
      </c>
      <c r="D211" s="134" t="s">
        <v>4145</v>
      </c>
      <c r="E211" s="134" t="s">
        <v>4146</v>
      </c>
      <c r="F211" s="135" t="s">
        <v>3409</v>
      </c>
      <c r="G211" s="134" t="s">
        <v>3292</v>
      </c>
    </row>
    <row r="212" spans="1:7" ht="12.75">
      <c r="A212" s="132">
        <v>2021</v>
      </c>
      <c r="B212" s="132">
        <v>118</v>
      </c>
      <c r="C212" s="133">
        <v>44356</v>
      </c>
      <c r="D212" s="134" t="s">
        <v>4147</v>
      </c>
      <c r="E212" s="134" t="s">
        <v>4148</v>
      </c>
      <c r="F212" s="135" t="s">
        <v>3409</v>
      </c>
      <c r="G212" s="134" t="s">
        <v>3292</v>
      </c>
    </row>
    <row r="213" spans="1:7" ht="12.75">
      <c r="A213" s="132">
        <v>2021</v>
      </c>
      <c r="B213" s="132">
        <v>118</v>
      </c>
      <c r="C213" s="133">
        <v>44356</v>
      </c>
      <c r="D213" s="134" t="s">
        <v>4149</v>
      </c>
      <c r="E213" s="134" t="s">
        <v>4150</v>
      </c>
      <c r="F213" s="135" t="s">
        <v>3409</v>
      </c>
      <c r="G213" s="134" t="s">
        <v>3292</v>
      </c>
    </row>
    <row r="214" spans="1:7" ht="12.75">
      <c r="A214" s="132">
        <v>2021</v>
      </c>
      <c r="B214" s="132">
        <v>118</v>
      </c>
      <c r="C214" s="133">
        <v>44356</v>
      </c>
      <c r="D214" s="134" t="s">
        <v>5359</v>
      </c>
      <c r="E214" s="134" t="s">
        <v>3302</v>
      </c>
      <c r="F214" s="134" t="s">
        <v>3309</v>
      </c>
      <c r="G214" s="134" t="s">
        <v>3292</v>
      </c>
    </row>
    <row r="215" spans="1:7" ht="12.75">
      <c r="A215" s="132">
        <v>2021</v>
      </c>
      <c r="B215" s="132">
        <v>119</v>
      </c>
      <c r="C215" s="133">
        <v>44357</v>
      </c>
      <c r="D215" s="134" t="s">
        <v>4151</v>
      </c>
      <c r="E215" s="134" t="s">
        <v>4152</v>
      </c>
      <c r="F215" s="134" t="s">
        <v>3291</v>
      </c>
      <c r="G215" s="134" t="s">
        <v>3292</v>
      </c>
    </row>
    <row r="216" spans="1:7" ht="12.75">
      <c r="A216" s="132">
        <v>2021</v>
      </c>
      <c r="B216" s="132">
        <v>119</v>
      </c>
      <c r="C216" s="133">
        <v>44357</v>
      </c>
      <c r="D216" s="134" t="s">
        <v>4153</v>
      </c>
      <c r="E216" s="134" t="s">
        <v>5391</v>
      </c>
      <c r="F216" s="134" t="s">
        <v>3291</v>
      </c>
      <c r="G216" s="134" t="s">
        <v>3292</v>
      </c>
    </row>
    <row r="217" spans="1:7" ht="12.75">
      <c r="A217" s="132">
        <v>2021</v>
      </c>
      <c r="B217" s="132">
        <v>119</v>
      </c>
      <c r="C217" s="133">
        <v>44357</v>
      </c>
      <c r="D217" s="134" t="s">
        <v>4155</v>
      </c>
      <c r="E217" s="134" t="s">
        <v>4156</v>
      </c>
      <c r="F217" s="134" t="s">
        <v>3291</v>
      </c>
      <c r="G217" s="134" t="s">
        <v>3292</v>
      </c>
    </row>
    <row r="218" spans="1:7" ht="12.75">
      <c r="A218" s="132">
        <v>2021</v>
      </c>
      <c r="B218" s="132">
        <v>120</v>
      </c>
      <c r="C218" s="137">
        <v>44357</v>
      </c>
      <c r="D218" s="134" t="s">
        <v>4157</v>
      </c>
      <c r="E218" s="134" t="s">
        <v>4158</v>
      </c>
      <c r="F218" s="134" t="s">
        <v>3439</v>
      </c>
      <c r="G218" s="134" t="s">
        <v>3288</v>
      </c>
    </row>
    <row r="219" spans="1:7" ht="12.75">
      <c r="A219" s="132">
        <v>2021</v>
      </c>
      <c r="B219" s="132">
        <v>120</v>
      </c>
      <c r="C219" s="137">
        <v>44357</v>
      </c>
      <c r="D219" s="134" t="s">
        <v>4159</v>
      </c>
      <c r="E219" s="134" t="s">
        <v>5392</v>
      </c>
      <c r="F219" s="134" t="s">
        <v>3439</v>
      </c>
      <c r="G219" s="134" t="s">
        <v>3288</v>
      </c>
    </row>
    <row r="220" spans="1:7" ht="12.75">
      <c r="A220" s="132">
        <v>2021</v>
      </c>
      <c r="B220" s="132">
        <v>120</v>
      </c>
      <c r="C220" s="137">
        <v>44357</v>
      </c>
      <c r="D220" s="134" t="s">
        <v>4161</v>
      </c>
      <c r="E220" s="134" t="s">
        <v>5393</v>
      </c>
      <c r="F220" s="134" t="s">
        <v>3439</v>
      </c>
      <c r="G220" s="134" t="s">
        <v>3288</v>
      </c>
    </row>
    <row r="221" spans="1:7" ht="12.75">
      <c r="A221" s="132">
        <v>2021</v>
      </c>
      <c r="B221" s="132">
        <v>120</v>
      </c>
      <c r="C221" s="137">
        <v>44357</v>
      </c>
      <c r="D221" s="134" t="s">
        <v>4163</v>
      </c>
      <c r="E221" s="134" t="s">
        <v>5394</v>
      </c>
      <c r="F221" s="134" t="s">
        <v>3439</v>
      </c>
      <c r="G221" s="134" t="s">
        <v>3288</v>
      </c>
    </row>
    <row r="222" spans="1:7" ht="12.75">
      <c r="A222" s="132">
        <v>2021</v>
      </c>
      <c r="B222" s="132">
        <v>120</v>
      </c>
      <c r="C222" s="137">
        <v>44357</v>
      </c>
      <c r="D222" s="134" t="s">
        <v>4165</v>
      </c>
      <c r="E222" s="134" t="s">
        <v>5395</v>
      </c>
      <c r="F222" s="134" t="s">
        <v>3439</v>
      </c>
      <c r="G222" s="134" t="s">
        <v>3288</v>
      </c>
    </row>
    <row r="223" spans="1:7" ht="12.75">
      <c r="A223" s="132">
        <v>2021</v>
      </c>
      <c r="B223" s="132">
        <v>120</v>
      </c>
      <c r="C223" s="137">
        <v>44357</v>
      </c>
      <c r="D223" s="134" t="s">
        <v>4167</v>
      </c>
      <c r="E223" s="134" t="s">
        <v>5396</v>
      </c>
      <c r="F223" s="134" t="s">
        <v>3439</v>
      </c>
      <c r="G223" s="134" t="s">
        <v>3288</v>
      </c>
    </row>
    <row r="224" spans="1:7" ht="12.75">
      <c r="A224" s="132">
        <v>2021</v>
      </c>
      <c r="B224" s="132">
        <v>120</v>
      </c>
      <c r="C224" s="137">
        <v>44357</v>
      </c>
      <c r="D224" s="134" t="s">
        <v>4169</v>
      </c>
      <c r="E224" s="134" t="s">
        <v>5397</v>
      </c>
      <c r="F224" s="134" t="s">
        <v>3439</v>
      </c>
      <c r="G224" s="134" t="s">
        <v>3288</v>
      </c>
    </row>
    <row r="225" spans="1:7" ht="12.75">
      <c r="A225" s="132">
        <v>2021</v>
      </c>
      <c r="B225" s="132">
        <v>120</v>
      </c>
      <c r="C225" s="137">
        <v>44357</v>
      </c>
      <c r="D225" s="134" t="s">
        <v>4171</v>
      </c>
      <c r="E225" s="134" t="s">
        <v>4172</v>
      </c>
      <c r="F225" s="134" t="s">
        <v>3439</v>
      </c>
      <c r="G225" s="134" t="s">
        <v>3288</v>
      </c>
    </row>
    <row r="226" spans="1:7" ht="12.75">
      <c r="A226" s="132">
        <v>2021</v>
      </c>
      <c r="B226" s="132">
        <v>122</v>
      </c>
      <c r="C226" s="133">
        <v>44362</v>
      </c>
      <c r="D226" s="134" t="s">
        <v>4173</v>
      </c>
      <c r="E226" s="134" t="s">
        <v>4174</v>
      </c>
      <c r="F226" s="134" t="s">
        <v>3446</v>
      </c>
      <c r="G226" s="134" t="s">
        <v>3288</v>
      </c>
    </row>
    <row r="227" spans="1:7" ht="12.75">
      <c r="A227" s="132">
        <v>2021</v>
      </c>
      <c r="B227" s="132">
        <v>122</v>
      </c>
      <c r="C227" s="133">
        <v>44362</v>
      </c>
      <c r="D227" s="134" t="s">
        <v>5398</v>
      </c>
      <c r="E227" s="134" t="s">
        <v>4176</v>
      </c>
      <c r="F227" s="134" t="s">
        <v>3446</v>
      </c>
      <c r="G227" s="134" t="s">
        <v>3288</v>
      </c>
    </row>
    <row r="228" spans="1:7" ht="12.75">
      <c r="A228" s="132">
        <v>2021</v>
      </c>
      <c r="B228" s="132">
        <v>126</v>
      </c>
      <c r="C228" s="133">
        <v>44364</v>
      </c>
      <c r="D228" s="134" t="s">
        <v>5399</v>
      </c>
      <c r="E228" s="134" t="s">
        <v>3322</v>
      </c>
      <c r="F228" s="134" t="s">
        <v>3323</v>
      </c>
      <c r="G228" s="134" t="s">
        <v>3292</v>
      </c>
    </row>
    <row r="229" spans="1:7" ht="12.75">
      <c r="A229" s="132">
        <v>2021</v>
      </c>
      <c r="B229" s="132">
        <v>130</v>
      </c>
      <c r="C229" s="133">
        <v>44369</v>
      </c>
      <c r="D229" s="134" t="s">
        <v>4177</v>
      </c>
      <c r="E229" s="134" t="s">
        <v>4178</v>
      </c>
      <c r="F229" s="134" t="s">
        <v>3439</v>
      </c>
      <c r="G229" s="134" t="s">
        <v>3288</v>
      </c>
    </row>
    <row r="230" spans="1:7" ht="12.75">
      <c r="A230" s="132">
        <v>2021</v>
      </c>
      <c r="B230" s="132">
        <v>131</v>
      </c>
      <c r="C230" s="133">
        <v>44369</v>
      </c>
      <c r="D230" s="134" t="s">
        <v>3846</v>
      </c>
      <c r="E230" s="134" t="s">
        <v>3355</v>
      </c>
      <c r="F230" s="134" t="s">
        <v>3313</v>
      </c>
      <c r="G230" s="134" t="s">
        <v>3292</v>
      </c>
    </row>
    <row r="231" spans="1:7" ht="12.75">
      <c r="A231" s="132">
        <v>2021</v>
      </c>
      <c r="B231" s="132">
        <v>131</v>
      </c>
      <c r="C231" s="133">
        <v>44369</v>
      </c>
      <c r="D231" s="134" t="s">
        <v>3842</v>
      </c>
      <c r="E231" s="134" t="s">
        <v>4179</v>
      </c>
      <c r="F231" s="134" t="s">
        <v>3313</v>
      </c>
      <c r="G231" s="134" t="s">
        <v>3292</v>
      </c>
    </row>
    <row r="232" spans="1:7" ht="12.75">
      <c r="A232" s="132">
        <v>2021</v>
      </c>
      <c r="B232" s="132">
        <v>131</v>
      </c>
      <c r="C232" s="133">
        <v>44369</v>
      </c>
      <c r="D232" s="134" t="s">
        <v>4180</v>
      </c>
      <c r="E232" s="134" t="s">
        <v>4181</v>
      </c>
      <c r="F232" s="134" t="s">
        <v>3313</v>
      </c>
      <c r="G232" s="134" t="s">
        <v>3292</v>
      </c>
    </row>
    <row r="233" spans="1:7" ht="12.75">
      <c r="A233" s="132">
        <v>2021</v>
      </c>
      <c r="B233" s="132">
        <v>131</v>
      </c>
      <c r="C233" s="133">
        <v>44369</v>
      </c>
      <c r="D233" s="134" t="s">
        <v>4182</v>
      </c>
      <c r="E233" s="134" t="s">
        <v>4183</v>
      </c>
      <c r="F233" s="134" t="s">
        <v>3313</v>
      </c>
      <c r="G233" s="134" t="s">
        <v>3292</v>
      </c>
    </row>
    <row r="234" spans="1:7" ht="12.75">
      <c r="A234" s="132">
        <v>2021</v>
      </c>
      <c r="B234" s="132">
        <v>132</v>
      </c>
      <c r="C234" s="133">
        <v>44369</v>
      </c>
      <c r="D234" s="134" t="s">
        <v>4184</v>
      </c>
      <c r="E234" s="134" t="s">
        <v>4185</v>
      </c>
      <c r="F234" s="134" t="s">
        <v>3291</v>
      </c>
      <c r="G234" s="134" t="s">
        <v>3292</v>
      </c>
    </row>
    <row r="235" spans="1:7" ht="12.75">
      <c r="A235" s="132">
        <v>2021</v>
      </c>
      <c r="B235" s="132">
        <v>133</v>
      </c>
      <c r="C235" s="133">
        <v>44371</v>
      </c>
      <c r="D235" s="134" t="s">
        <v>4187</v>
      </c>
      <c r="E235" s="134" t="s">
        <v>4188</v>
      </c>
      <c r="F235" s="134" t="s">
        <v>3439</v>
      </c>
      <c r="G235" s="134" t="s">
        <v>3288</v>
      </c>
    </row>
    <row r="236" spans="1:7" ht="12.75">
      <c r="A236" s="132">
        <v>2021</v>
      </c>
      <c r="B236" s="132">
        <v>133</v>
      </c>
      <c r="C236" s="133">
        <v>44371</v>
      </c>
      <c r="D236" s="134" t="s">
        <v>4189</v>
      </c>
      <c r="E236" s="134" t="s">
        <v>4188</v>
      </c>
      <c r="F236" s="134" t="s">
        <v>3439</v>
      </c>
      <c r="G236" s="134" t="s">
        <v>3288</v>
      </c>
    </row>
    <row r="237" spans="1:7" ht="12.75">
      <c r="A237" s="132">
        <v>2021</v>
      </c>
      <c r="B237" s="132">
        <v>133</v>
      </c>
      <c r="C237" s="133">
        <v>44371</v>
      </c>
      <c r="D237" s="134" t="s">
        <v>4190</v>
      </c>
      <c r="E237" s="134" t="s">
        <v>4188</v>
      </c>
      <c r="F237" s="134" t="s">
        <v>3439</v>
      </c>
      <c r="G237" s="134" t="s">
        <v>3288</v>
      </c>
    </row>
    <row r="238" spans="1:7" ht="12.75">
      <c r="A238" s="132">
        <v>2021</v>
      </c>
      <c r="B238" s="132">
        <v>133</v>
      </c>
      <c r="C238" s="133">
        <v>44371</v>
      </c>
      <c r="D238" s="134" t="s">
        <v>4191</v>
      </c>
      <c r="E238" s="134" t="s">
        <v>4188</v>
      </c>
      <c r="F238" s="134" t="s">
        <v>3439</v>
      </c>
      <c r="G238" s="134" t="s">
        <v>3288</v>
      </c>
    </row>
    <row r="239" spans="1:7" ht="12.75">
      <c r="A239" s="132">
        <v>2021</v>
      </c>
      <c r="B239" s="132">
        <v>134</v>
      </c>
      <c r="C239" s="133">
        <v>44371</v>
      </c>
      <c r="D239" s="134" t="s">
        <v>5400</v>
      </c>
      <c r="E239" s="134" t="s">
        <v>5401</v>
      </c>
      <c r="F239" s="134" t="s">
        <v>3512</v>
      </c>
      <c r="G239" s="134" t="s">
        <v>3513</v>
      </c>
    </row>
    <row r="240" spans="1:7" ht="12.75">
      <c r="A240" s="132">
        <v>2021</v>
      </c>
      <c r="B240" s="132">
        <v>134</v>
      </c>
      <c r="C240" s="133">
        <v>44371</v>
      </c>
      <c r="D240" s="134" t="s">
        <v>5402</v>
      </c>
      <c r="E240" s="134" t="s">
        <v>5403</v>
      </c>
      <c r="F240" s="134" t="s">
        <v>3512</v>
      </c>
      <c r="G240" s="134" t="s">
        <v>3513</v>
      </c>
    </row>
    <row r="241" spans="1:7" ht="12.75">
      <c r="A241" s="132">
        <v>2021</v>
      </c>
      <c r="B241" s="132">
        <v>134</v>
      </c>
      <c r="C241" s="133">
        <v>44371</v>
      </c>
      <c r="D241" s="134" t="s">
        <v>5404</v>
      </c>
      <c r="E241" s="134" t="s">
        <v>5405</v>
      </c>
      <c r="F241" s="134" t="s">
        <v>3512</v>
      </c>
      <c r="G241" s="134" t="s">
        <v>3513</v>
      </c>
    </row>
    <row r="242" spans="1:7" ht="12.75">
      <c r="A242" s="132">
        <v>2021</v>
      </c>
      <c r="B242" s="132">
        <v>134</v>
      </c>
      <c r="C242" s="133">
        <v>44371</v>
      </c>
      <c r="D242" s="134" t="s">
        <v>5406</v>
      </c>
      <c r="E242" s="134" t="s">
        <v>5407</v>
      </c>
      <c r="F242" s="134" t="s">
        <v>5408</v>
      </c>
      <c r="G242" s="134" t="s">
        <v>3393</v>
      </c>
    </row>
    <row r="243" spans="1:7" ht="12.75">
      <c r="A243" s="132">
        <v>2021</v>
      </c>
      <c r="B243" s="132">
        <v>135</v>
      </c>
      <c r="C243" s="133">
        <v>44376</v>
      </c>
      <c r="D243" s="134" t="s">
        <v>5409</v>
      </c>
      <c r="E243" s="134" t="s">
        <v>5410</v>
      </c>
      <c r="F243" s="134" t="s">
        <v>3512</v>
      </c>
      <c r="G243" s="134" t="s">
        <v>3513</v>
      </c>
    </row>
    <row r="244" spans="1:7" ht="12.75">
      <c r="A244" s="132">
        <v>2021</v>
      </c>
      <c r="B244" s="132">
        <v>135</v>
      </c>
      <c r="C244" s="133">
        <v>44376</v>
      </c>
      <c r="D244" s="134" t="s">
        <v>5411</v>
      </c>
      <c r="E244" s="134" t="s">
        <v>5412</v>
      </c>
      <c r="F244" s="134" t="s">
        <v>3512</v>
      </c>
      <c r="G244" s="134" t="s">
        <v>3513</v>
      </c>
    </row>
    <row r="245" spans="1:7" ht="12.75">
      <c r="A245" s="132">
        <v>2021</v>
      </c>
      <c r="B245" s="132">
        <v>135</v>
      </c>
      <c r="C245" s="133">
        <v>44376</v>
      </c>
      <c r="D245" s="134" t="s">
        <v>5413</v>
      </c>
      <c r="E245" s="134" t="s">
        <v>5414</v>
      </c>
      <c r="F245" s="134" t="s">
        <v>4692</v>
      </c>
      <c r="G245" s="134" t="s">
        <v>3513</v>
      </c>
    </row>
    <row r="246" spans="1:7" ht="12.75">
      <c r="A246" s="132">
        <v>2021</v>
      </c>
      <c r="B246" s="132">
        <v>135</v>
      </c>
      <c r="C246" s="133">
        <v>44376</v>
      </c>
      <c r="D246" s="134" t="s">
        <v>5415</v>
      </c>
      <c r="E246" s="134" t="s">
        <v>5416</v>
      </c>
      <c r="F246" s="134" t="s">
        <v>3512</v>
      </c>
      <c r="G246" s="134" t="s">
        <v>3513</v>
      </c>
    </row>
    <row r="247" spans="1:7" ht="12.75">
      <c r="A247" s="132">
        <v>2021</v>
      </c>
      <c r="B247" s="132">
        <v>138</v>
      </c>
      <c r="C247" s="133">
        <v>44378</v>
      </c>
      <c r="D247" s="134" t="s">
        <v>4133</v>
      </c>
      <c r="E247" s="134" t="s">
        <v>3318</v>
      </c>
      <c r="F247" s="134" t="s">
        <v>3291</v>
      </c>
      <c r="G247" s="134" t="s">
        <v>3292</v>
      </c>
    </row>
    <row r="248" spans="1:7" ht="12.75">
      <c r="A248" s="132">
        <v>2021</v>
      </c>
      <c r="B248" s="132">
        <v>141</v>
      </c>
      <c r="C248" s="133">
        <v>44378</v>
      </c>
      <c r="D248" s="134" t="s">
        <v>4192</v>
      </c>
      <c r="E248" s="134" t="s">
        <v>4193</v>
      </c>
      <c r="F248" s="134" t="s">
        <v>4194</v>
      </c>
      <c r="G248" s="134" t="s">
        <v>3393</v>
      </c>
    </row>
    <row r="249" spans="1:7" ht="12.75">
      <c r="A249" s="132">
        <v>2021</v>
      </c>
      <c r="B249" s="132">
        <v>142</v>
      </c>
      <c r="C249" s="133">
        <v>44378</v>
      </c>
      <c r="D249" s="134" t="s">
        <v>4195</v>
      </c>
      <c r="E249" s="134" t="s">
        <v>4196</v>
      </c>
      <c r="F249" s="134" t="s">
        <v>3303</v>
      </c>
      <c r="G249" s="134" t="s">
        <v>3292</v>
      </c>
    </row>
    <row r="250" spans="1:7" ht="12.75">
      <c r="A250" s="132">
        <v>2021</v>
      </c>
      <c r="B250" s="132">
        <v>147</v>
      </c>
      <c r="C250" s="133">
        <v>44406</v>
      </c>
      <c r="D250" s="134" t="s">
        <v>4197</v>
      </c>
      <c r="E250" s="134" t="s">
        <v>5417</v>
      </c>
      <c r="F250" s="134" t="s">
        <v>3439</v>
      </c>
      <c r="G250" s="134" t="s">
        <v>3288</v>
      </c>
    </row>
    <row r="251" spans="1:7" ht="12.75">
      <c r="A251" s="132">
        <v>2021</v>
      </c>
      <c r="B251" s="132">
        <v>148</v>
      </c>
      <c r="C251" s="133">
        <v>44406</v>
      </c>
      <c r="D251" s="134" t="s">
        <v>5418</v>
      </c>
      <c r="E251" s="134" t="s">
        <v>5419</v>
      </c>
      <c r="F251" s="134" t="s">
        <v>4692</v>
      </c>
      <c r="G251" s="134" t="s">
        <v>3513</v>
      </c>
    </row>
    <row r="252" spans="1:7" ht="12.75">
      <c r="A252" s="132">
        <v>2021</v>
      </c>
      <c r="B252" s="132">
        <v>148</v>
      </c>
      <c r="C252" s="133">
        <v>44406</v>
      </c>
      <c r="D252" s="134" t="s">
        <v>5420</v>
      </c>
      <c r="E252" s="134" t="s">
        <v>5421</v>
      </c>
      <c r="F252" s="134" t="s">
        <v>3512</v>
      </c>
      <c r="G252" s="134" t="s">
        <v>3513</v>
      </c>
    </row>
    <row r="253" spans="1:7" ht="12.75">
      <c r="A253" s="132">
        <v>2021</v>
      </c>
      <c r="B253" s="132">
        <v>148</v>
      </c>
      <c r="C253" s="133">
        <v>44406</v>
      </c>
      <c r="D253" s="134" t="s">
        <v>5422</v>
      </c>
      <c r="E253" s="134" t="s">
        <v>5423</v>
      </c>
      <c r="F253" s="134" t="s">
        <v>3512</v>
      </c>
      <c r="G253" s="134" t="s">
        <v>3513</v>
      </c>
    </row>
    <row r="254" spans="1:7" ht="12.75">
      <c r="A254" s="132">
        <v>2021</v>
      </c>
      <c r="B254" s="132">
        <v>148</v>
      </c>
      <c r="C254" s="133">
        <v>44406</v>
      </c>
      <c r="D254" s="134" t="s">
        <v>5424</v>
      </c>
      <c r="E254" s="134" t="s">
        <v>5425</v>
      </c>
      <c r="F254" s="134" t="s">
        <v>3512</v>
      </c>
      <c r="G254" s="134" t="s">
        <v>3513</v>
      </c>
    </row>
    <row r="255" spans="1:7" ht="12.75">
      <c r="A255" s="132">
        <v>2021</v>
      </c>
      <c r="B255" s="132">
        <v>150</v>
      </c>
      <c r="C255" s="133">
        <v>44411</v>
      </c>
      <c r="D255" s="134" t="s">
        <v>5426</v>
      </c>
      <c r="E255" s="134" t="s">
        <v>4199</v>
      </c>
      <c r="F255" s="134" t="s">
        <v>3710</v>
      </c>
      <c r="G255" s="134" t="s">
        <v>3288</v>
      </c>
    </row>
    <row r="256" spans="1:7" ht="12.75">
      <c r="A256" s="132">
        <v>2021</v>
      </c>
      <c r="B256" s="132">
        <v>150</v>
      </c>
      <c r="C256" s="133">
        <v>44411</v>
      </c>
      <c r="D256" s="134" t="s">
        <v>4200</v>
      </c>
      <c r="E256" s="134" t="s">
        <v>4201</v>
      </c>
      <c r="F256" s="134" t="s">
        <v>3710</v>
      </c>
      <c r="G256" s="134" t="s">
        <v>3288</v>
      </c>
    </row>
    <row r="257" spans="1:7" ht="12.75">
      <c r="A257" s="132">
        <v>2021</v>
      </c>
      <c r="B257" s="132">
        <v>150</v>
      </c>
      <c r="C257" s="133">
        <v>44411</v>
      </c>
      <c r="D257" s="134" t="s">
        <v>4202</v>
      </c>
      <c r="E257" s="134" t="s">
        <v>4203</v>
      </c>
      <c r="F257" s="134" t="s">
        <v>3710</v>
      </c>
      <c r="G257" s="134" t="s">
        <v>3288</v>
      </c>
    </row>
    <row r="258" spans="1:7" ht="12.75">
      <c r="A258" s="132">
        <v>2021</v>
      </c>
      <c r="B258" s="132">
        <v>150</v>
      </c>
      <c r="C258" s="133">
        <v>44411</v>
      </c>
      <c r="D258" s="134" t="s">
        <v>4204</v>
      </c>
      <c r="E258" s="134" t="s">
        <v>5427</v>
      </c>
      <c r="F258" s="134" t="s">
        <v>3710</v>
      </c>
      <c r="G258" s="134" t="s">
        <v>3288</v>
      </c>
    </row>
    <row r="259" spans="1:7" ht="12.75">
      <c r="A259" s="132">
        <v>2021</v>
      </c>
      <c r="B259" s="132">
        <v>152</v>
      </c>
      <c r="C259" s="133">
        <v>44413</v>
      </c>
      <c r="D259" s="134" t="s">
        <v>4206</v>
      </c>
      <c r="E259" s="134" t="s">
        <v>4207</v>
      </c>
      <c r="F259" s="134" t="s">
        <v>3439</v>
      </c>
      <c r="G259" s="134" t="s">
        <v>3288</v>
      </c>
    </row>
    <row r="260" spans="1:7" ht="12.75">
      <c r="A260" s="132">
        <v>2021</v>
      </c>
      <c r="B260" s="132">
        <v>152</v>
      </c>
      <c r="C260" s="133">
        <v>44413</v>
      </c>
      <c r="D260" s="134" t="s">
        <v>4208</v>
      </c>
      <c r="E260" s="134" t="s">
        <v>5428</v>
      </c>
      <c r="F260" s="134" t="s">
        <v>3439</v>
      </c>
      <c r="G260" s="134" t="s">
        <v>3288</v>
      </c>
    </row>
    <row r="261" spans="1:7" ht="12.75">
      <c r="A261" s="132">
        <v>2021</v>
      </c>
      <c r="B261" s="132">
        <v>152</v>
      </c>
      <c r="C261" s="133">
        <v>44413</v>
      </c>
      <c r="D261" s="134" t="s">
        <v>4210</v>
      </c>
      <c r="E261" s="134" t="s">
        <v>4211</v>
      </c>
      <c r="F261" s="134" t="s">
        <v>3439</v>
      </c>
      <c r="G261" s="134" t="s">
        <v>3288</v>
      </c>
    </row>
    <row r="262" spans="1:7" ht="12.75">
      <c r="A262" s="132">
        <v>2021</v>
      </c>
      <c r="B262" s="132">
        <v>152</v>
      </c>
      <c r="C262" s="133">
        <v>44413</v>
      </c>
      <c r="D262" s="134" t="s">
        <v>4212</v>
      </c>
      <c r="E262" s="134" t="s">
        <v>4211</v>
      </c>
      <c r="F262" s="134" t="s">
        <v>3439</v>
      </c>
      <c r="G262" s="134" t="s">
        <v>3288</v>
      </c>
    </row>
    <row r="263" spans="1:7" ht="12.75">
      <c r="A263" s="132">
        <v>2021</v>
      </c>
      <c r="B263" s="132">
        <v>153</v>
      </c>
      <c r="C263" s="137">
        <v>44413</v>
      </c>
      <c r="D263" s="134" t="s">
        <v>3954</v>
      </c>
      <c r="E263" s="134" t="s">
        <v>4213</v>
      </c>
      <c r="F263" s="134" t="s">
        <v>3291</v>
      </c>
      <c r="G263" s="134" t="s">
        <v>3292</v>
      </c>
    </row>
    <row r="264" spans="1:7" ht="12.75">
      <c r="A264" s="132">
        <v>2021</v>
      </c>
      <c r="B264" s="132">
        <v>154</v>
      </c>
      <c r="C264" s="133">
        <v>44418</v>
      </c>
      <c r="D264" s="134" t="s">
        <v>3976</v>
      </c>
      <c r="E264" s="134" t="s">
        <v>4214</v>
      </c>
      <c r="F264" s="134" t="s">
        <v>3328</v>
      </c>
      <c r="G264" s="134" t="s">
        <v>3292</v>
      </c>
    </row>
    <row r="265" spans="1:7" ht="12.75">
      <c r="A265" s="132">
        <v>2021</v>
      </c>
      <c r="B265" s="132">
        <v>157</v>
      </c>
      <c r="C265" s="133">
        <v>44420</v>
      </c>
      <c r="D265" s="134" t="s">
        <v>3397</v>
      </c>
      <c r="E265" s="134" t="s">
        <v>4215</v>
      </c>
      <c r="F265" s="134" t="s">
        <v>3328</v>
      </c>
      <c r="G265" s="134" t="s">
        <v>3292</v>
      </c>
    </row>
    <row r="266" spans="1:7" ht="12.75">
      <c r="A266" s="132">
        <v>2021</v>
      </c>
      <c r="B266" s="132">
        <v>158</v>
      </c>
      <c r="C266" s="133">
        <v>44420</v>
      </c>
      <c r="D266" s="134" t="s">
        <v>3590</v>
      </c>
      <c r="E266" s="134" t="s">
        <v>3565</v>
      </c>
      <c r="F266" s="134" t="s">
        <v>3591</v>
      </c>
      <c r="G266" s="134" t="s">
        <v>3567</v>
      </c>
    </row>
    <row r="267" spans="1:7" ht="12.75">
      <c r="A267" s="132">
        <v>2021</v>
      </c>
      <c r="B267" s="132">
        <v>158</v>
      </c>
      <c r="C267" s="133">
        <v>44420</v>
      </c>
      <c r="D267" s="134" t="s">
        <v>4216</v>
      </c>
      <c r="E267" s="134" t="s">
        <v>3595</v>
      </c>
      <c r="F267" s="134" t="s">
        <v>4217</v>
      </c>
      <c r="G267" s="134" t="s">
        <v>3567</v>
      </c>
    </row>
    <row r="268" spans="1:7" ht="12.75">
      <c r="A268" s="132">
        <v>2021</v>
      </c>
      <c r="B268" s="132">
        <v>158</v>
      </c>
      <c r="C268" s="133">
        <v>44420</v>
      </c>
      <c r="D268" s="134" t="s">
        <v>4218</v>
      </c>
      <c r="E268" s="134" t="s">
        <v>4219</v>
      </c>
      <c r="F268" s="134" t="s">
        <v>1319</v>
      </c>
      <c r="G268" s="134" t="s">
        <v>3288</v>
      </c>
    </row>
    <row r="269" spans="1:7" ht="12.75">
      <c r="A269" s="132">
        <v>2021</v>
      </c>
      <c r="B269" s="132">
        <v>158</v>
      </c>
      <c r="C269" s="133">
        <v>44420</v>
      </c>
      <c r="D269" s="134" t="s">
        <v>4220</v>
      </c>
      <c r="E269" s="134" t="s">
        <v>4221</v>
      </c>
      <c r="F269" s="134" t="s">
        <v>1319</v>
      </c>
      <c r="G269" s="134" t="s">
        <v>3288</v>
      </c>
    </row>
    <row r="270" spans="1:7" ht="12.75">
      <c r="A270" s="132">
        <v>2021</v>
      </c>
      <c r="B270" s="132">
        <v>159</v>
      </c>
      <c r="C270" s="133">
        <v>44420</v>
      </c>
      <c r="D270" s="134" t="s">
        <v>4222</v>
      </c>
      <c r="E270" s="134" t="s">
        <v>4223</v>
      </c>
      <c r="F270" s="134" t="s">
        <v>3353</v>
      </c>
      <c r="G270" s="134" t="s">
        <v>3393</v>
      </c>
    </row>
    <row r="271" spans="1:7" ht="12.75">
      <c r="A271" s="132">
        <v>2021</v>
      </c>
      <c r="B271" s="132">
        <v>160</v>
      </c>
      <c r="C271" s="133">
        <v>44425</v>
      </c>
      <c r="D271" s="134" t="s">
        <v>4224</v>
      </c>
      <c r="E271" s="134" t="s">
        <v>4225</v>
      </c>
      <c r="F271" s="134" t="s">
        <v>3446</v>
      </c>
      <c r="G271" s="134" t="s">
        <v>3288</v>
      </c>
    </row>
    <row r="272" spans="1:7" ht="12.75">
      <c r="A272" s="132">
        <v>2021</v>
      </c>
      <c r="B272" s="132">
        <v>163</v>
      </c>
      <c r="C272" s="133">
        <v>44425</v>
      </c>
      <c r="D272" s="134" t="s">
        <v>4226</v>
      </c>
      <c r="E272" s="134" t="s">
        <v>4227</v>
      </c>
      <c r="F272" s="134" t="s">
        <v>3469</v>
      </c>
      <c r="G272" s="134" t="s">
        <v>3288</v>
      </c>
    </row>
    <row r="273" spans="1:7" ht="12.75">
      <c r="A273" s="132">
        <v>2021</v>
      </c>
      <c r="B273" s="132">
        <v>163</v>
      </c>
      <c r="C273" s="133">
        <v>44425</v>
      </c>
      <c r="D273" s="134" t="s">
        <v>4228</v>
      </c>
      <c r="E273" s="134" t="s">
        <v>4229</v>
      </c>
      <c r="F273" s="134" t="s">
        <v>3439</v>
      </c>
      <c r="G273" s="134" t="s">
        <v>3288</v>
      </c>
    </row>
    <row r="274" spans="1:7" ht="12.75">
      <c r="A274" s="132">
        <v>2021</v>
      </c>
      <c r="B274" s="132">
        <v>163</v>
      </c>
      <c r="C274" s="133">
        <v>44425</v>
      </c>
      <c r="D274" s="134" t="s">
        <v>4230</v>
      </c>
      <c r="E274" s="134" t="s">
        <v>4231</v>
      </c>
      <c r="F274" s="134" t="s">
        <v>3439</v>
      </c>
      <c r="G274" s="134" t="s">
        <v>3288</v>
      </c>
    </row>
    <row r="275" spans="1:7" ht="12.75">
      <c r="A275" s="132">
        <v>2021</v>
      </c>
      <c r="B275" s="132">
        <v>163</v>
      </c>
      <c r="C275" s="133">
        <v>44425</v>
      </c>
      <c r="D275" s="134" t="s">
        <v>4232</v>
      </c>
      <c r="E275" s="134" t="s">
        <v>4233</v>
      </c>
      <c r="F275" s="134" t="s">
        <v>3311</v>
      </c>
      <c r="G275" s="134" t="s">
        <v>3292</v>
      </c>
    </row>
    <row r="276" spans="1:7" ht="12.75">
      <c r="A276" s="132">
        <v>2021</v>
      </c>
      <c r="B276" s="132">
        <v>163</v>
      </c>
      <c r="C276" s="133">
        <v>44425</v>
      </c>
      <c r="D276" s="134" t="s">
        <v>4234</v>
      </c>
      <c r="E276" s="134" t="s">
        <v>4235</v>
      </c>
      <c r="F276" s="134" t="s">
        <v>3309</v>
      </c>
      <c r="G276" s="134" t="s">
        <v>3292</v>
      </c>
    </row>
    <row r="277" spans="1:7" ht="12.75">
      <c r="A277" s="132">
        <v>2021</v>
      </c>
      <c r="B277" s="132">
        <v>163</v>
      </c>
      <c r="C277" s="133">
        <v>44425</v>
      </c>
      <c r="D277" s="134" t="s">
        <v>4236</v>
      </c>
      <c r="E277" s="134" t="s">
        <v>4181</v>
      </c>
      <c r="F277" s="134" t="s">
        <v>3876</v>
      </c>
      <c r="G277" s="134" t="s">
        <v>3292</v>
      </c>
    </row>
    <row r="278" spans="1:7" ht="12.75">
      <c r="A278" s="132">
        <v>2021</v>
      </c>
      <c r="B278" s="132">
        <v>165</v>
      </c>
      <c r="C278" s="133">
        <v>44427</v>
      </c>
      <c r="D278" s="134" t="s">
        <v>4237</v>
      </c>
      <c r="E278" s="134" t="s">
        <v>4238</v>
      </c>
      <c r="F278" s="134" t="s">
        <v>4239</v>
      </c>
      <c r="G278" s="134" t="s">
        <v>3393</v>
      </c>
    </row>
    <row r="279" spans="1:7" ht="12.75">
      <c r="A279" s="132">
        <v>2021</v>
      </c>
      <c r="B279" s="132">
        <v>168</v>
      </c>
      <c r="C279" s="133">
        <v>44432</v>
      </c>
      <c r="D279" s="134" t="s">
        <v>3557</v>
      </c>
      <c r="E279" s="134" t="s">
        <v>4240</v>
      </c>
      <c r="F279" s="134" t="s">
        <v>3469</v>
      </c>
      <c r="G279" s="134" t="s">
        <v>3288</v>
      </c>
    </row>
    <row r="280" spans="1:7" ht="12.75">
      <c r="A280" s="132">
        <v>2021</v>
      </c>
      <c r="B280" s="132">
        <v>168</v>
      </c>
      <c r="C280" s="133">
        <v>44432</v>
      </c>
      <c r="D280" s="134" t="s">
        <v>4241</v>
      </c>
      <c r="E280" s="134" t="s">
        <v>4240</v>
      </c>
      <c r="F280" s="134" t="s">
        <v>3469</v>
      </c>
      <c r="G280" s="134" t="s">
        <v>3288</v>
      </c>
    </row>
    <row r="281" spans="1:7" ht="12.75">
      <c r="A281" s="132">
        <v>2021</v>
      </c>
      <c r="B281" s="132">
        <v>168</v>
      </c>
      <c r="C281" s="133">
        <v>44432</v>
      </c>
      <c r="D281" s="134" t="s">
        <v>3562</v>
      </c>
      <c r="E281" s="134" t="s">
        <v>3563</v>
      </c>
      <c r="F281" s="134" t="s">
        <v>3439</v>
      </c>
      <c r="G281" s="134" t="s">
        <v>3288</v>
      </c>
    </row>
    <row r="282" spans="1:7" ht="12.75">
      <c r="A282" s="132">
        <v>2021</v>
      </c>
      <c r="B282" s="132">
        <v>168</v>
      </c>
      <c r="C282" s="133">
        <v>44432</v>
      </c>
      <c r="D282" s="134" t="s">
        <v>4242</v>
      </c>
      <c r="E282" s="134" t="s">
        <v>4243</v>
      </c>
      <c r="F282" s="134" t="s">
        <v>3469</v>
      </c>
      <c r="G282" s="134" t="s">
        <v>3288</v>
      </c>
    </row>
    <row r="283" spans="1:7" ht="12.75">
      <c r="A283" s="132">
        <v>2021</v>
      </c>
      <c r="B283" s="132">
        <v>168</v>
      </c>
      <c r="C283" s="133">
        <v>44432</v>
      </c>
      <c r="D283" s="134" t="s">
        <v>4244</v>
      </c>
      <c r="E283" s="134" t="s">
        <v>4245</v>
      </c>
      <c r="F283" s="134" t="s">
        <v>3469</v>
      </c>
      <c r="G283" s="134" t="s">
        <v>3288</v>
      </c>
    </row>
    <row r="284" spans="1:7" ht="12.75">
      <c r="A284" s="132">
        <v>2021</v>
      </c>
      <c r="B284" s="132">
        <v>168</v>
      </c>
      <c r="C284" s="133">
        <v>44432</v>
      </c>
      <c r="D284" s="134" t="s">
        <v>4246</v>
      </c>
      <c r="E284" s="134" t="s">
        <v>4247</v>
      </c>
      <c r="F284" s="134" t="s">
        <v>3469</v>
      </c>
      <c r="G284" s="134" t="s">
        <v>3288</v>
      </c>
    </row>
    <row r="285" spans="1:7" ht="12.75">
      <c r="A285" s="132">
        <v>2021</v>
      </c>
      <c r="B285" s="132">
        <v>168</v>
      </c>
      <c r="C285" s="133">
        <v>44432</v>
      </c>
      <c r="D285" s="134" t="s">
        <v>3555</v>
      </c>
      <c r="E285" s="134" t="s">
        <v>4248</v>
      </c>
      <c r="F285" s="134" t="s">
        <v>3469</v>
      </c>
      <c r="G285" s="134" t="s">
        <v>3288</v>
      </c>
    </row>
    <row r="286" spans="1:7" ht="12.75">
      <c r="A286" s="132">
        <v>2021</v>
      </c>
      <c r="B286" s="132">
        <v>170</v>
      </c>
      <c r="C286" s="133">
        <v>44434</v>
      </c>
      <c r="D286" s="134" t="s">
        <v>4249</v>
      </c>
      <c r="E286" s="134" t="s">
        <v>4250</v>
      </c>
      <c r="F286" s="134" t="s">
        <v>3439</v>
      </c>
      <c r="G286" s="134" t="s">
        <v>3288</v>
      </c>
    </row>
    <row r="287" spans="1:7" ht="12.75">
      <c r="A287" s="132">
        <v>2021</v>
      </c>
      <c r="B287" s="132">
        <v>170</v>
      </c>
      <c r="C287" s="133">
        <v>44434</v>
      </c>
      <c r="D287" s="134" t="s">
        <v>4251</v>
      </c>
      <c r="E287" s="134" t="s">
        <v>4252</v>
      </c>
      <c r="F287" s="134" t="s">
        <v>3439</v>
      </c>
      <c r="G287" s="134" t="s">
        <v>3288</v>
      </c>
    </row>
    <row r="288" spans="1:7" ht="12.75">
      <c r="A288" s="132">
        <v>2021</v>
      </c>
      <c r="B288" s="132">
        <v>170</v>
      </c>
      <c r="C288" s="133">
        <v>44434</v>
      </c>
      <c r="D288" s="134" t="s">
        <v>4253</v>
      </c>
      <c r="E288" s="134" t="s">
        <v>4254</v>
      </c>
      <c r="F288" s="134" t="s">
        <v>1319</v>
      </c>
      <c r="G288" s="134" t="s">
        <v>3288</v>
      </c>
    </row>
    <row r="289" spans="1:7" ht="12.75">
      <c r="A289" s="132">
        <v>2021</v>
      </c>
      <c r="B289" s="132">
        <v>170</v>
      </c>
      <c r="C289" s="133">
        <v>44434</v>
      </c>
      <c r="D289" s="134" t="s">
        <v>4255</v>
      </c>
      <c r="E289" s="134" t="s">
        <v>4256</v>
      </c>
      <c r="F289" s="134" t="s">
        <v>1319</v>
      </c>
      <c r="G289" s="134" t="s">
        <v>3288</v>
      </c>
    </row>
    <row r="290" spans="1:7" ht="12.75">
      <c r="A290" s="132">
        <v>2021</v>
      </c>
      <c r="B290" s="132">
        <v>172</v>
      </c>
      <c r="C290" s="133">
        <v>44439</v>
      </c>
      <c r="D290" s="134" t="s">
        <v>4257</v>
      </c>
      <c r="E290" s="134" t="s">
        <v>4258</v>
      </c>
      <c r="F290" s="134" t="s">
        <v>3710</v>
      </c>
      <c r="G290" s="134" t="s">
        <v>3288</v>
      </c>
    </row>
    <row r="291" spans="1:7" ht="12.75">
      <c r="A291" s="132">
        <v>2021</v>
      </c>
      <c r="B291" s="132">
        <v>172</v>
      </c>
      <c r="C291" s="133">
        <v>44439</v>
      </c>
      <c r="D291" s="134" t="s">
        <v>4259</v>
      </c>
      <c r="E291" s="134" t="s">
        <v>5429</v>
      </c>
      <c r="F291" s="134" t="s">
        <v>3469</v>
      </c>
      <c r="G291" s="134" t="s">
        <v>3288</v>
      </c>
    </row>
    <row r="292" spans="1:7" ht="12.75">
      <c r="A292" s="132">
        <v>2021</v>
      </c>
      <c r="B292" s="132">
        <v>175</v>
      </c>
      <c r="C292" s="133">
        <v>44441</v>
      </c>
      <c r="D292" s="134" t="s">
        <v>4261</v>
      </c>
      <c r="E292" s="134" t="s">
        <v>3565</v>
      </c>
      <c r="F292" s="134" t="s">
        <v>4262</v>
      </c>
      <c r="G292" s="134" t="s">
        <v>3567</v>
      </c>
    </row>
    <row r="293" spans="1:7" ht="12.75">
      <c r="A293" s="132">
        <v>2021</v>
      </c>
      <c r="B293" s="132">
        <v>175</v>
      </c>
      <c r="C293" s="133">
        <v>44441</v>
      </c>
      <c r="D293" s="134" t="s">
        <v>4263</v>
      </c>
      <c r="E293" s="134" t="s">
        <v>4264</v>
      </c>
      <c r="F293" s="134" t="s">
        <v>3710</v>
      </c>
      <c r="G293" s="134" t="s">
        <v>3288</v>
      </c>
    </row>
    <row r="294" spans="1:7" ht="12.75">
      <c r="A294" s="132">
        <v>2021</v>
      </c>
      <c r="B294" s="132">
        <v>175</v>
      </c>
      <c r="C294" s="133">
        <v>44441</v>
      </c>
      <c r="D294" s="134" t="s">
        <v>4265</v>
      </c>
      <c r="E294" s="134" t="s">
        <v>4266</v>
      </c>
      <c r="F294" s="134" t="s">
        <v>3710</v>
      </c>
      <c r="G294" s="134" t="s">
        <v>3288</v>
      </c>
    </row>
    <row r="295" spans="1:7" ht="12.75">
      <c r="A295" s="132">
        <v>2021</v>
      </c>
      <c r="B295" s="132">
        <v>175</v>
      </c>
      <c r="C295" s="133">
        <v>44441</v>
      </c>
      <c r="D295" s="134" t="s">
        <v>4267</v>
      </c>
      <c r="E295" s="134" t="s">
        <v>4268</v>
      </c>
      <c r="F295" s="134" t="s">
        <v>3710</v>
      </c>
      <c r="G295" s="134" t="s">
        <v>3288</v>
      </c>
    </row>
    <row r="296" spans="1:7" ht="12.75">
      <c r="A296" s="132">
        <v>2021</v>
      </c>
      <c r="B296" s="132">
        <v>175</v>
      </c>
      <c r="C296" s="133">
        <v>44441</v>
      </c>
      <c r="D296" s="134" t="s">
        <v>4269</v>
      </c>
      <c r="E296" s="134" t="s">
        <v>4270</v>
      </c>
      <c r="F296" s="134" t="s">
        <v>1319</v>
      </c>
      <c r="G296" s="134" t="s">
        <v>3288</v>
      </c>
    </row>
    <row r="297" spans="1:7" ht="12.75">
      <c r="A297" s="132">
        <v>2021</v>
      </c>
      <c r="B297" s="132">
        <v>175</v>
      </c>
      <c r="C297" s="133">
        <v>44441</v>
      </c>
      <c r="D297" s="134" t="s">
        <v>4271</v>
      </c>
      <c r="E297" s="134" t="s">
        <v>4272</v>
      </c>
      <c r="F297" s="134" t="s">
        <v>1319</v>
      </c>
      <c r="G297" s="134" t="s">
        <v>3288</v>
      </c>
    </row>
    <row r="298" spans="1:7" ht="12.75">
      <c r="A298" s="132">
        <v>2021</v>
      </c>
      <c r="B298" s="132">
        <v>175</v>
      </c>
      <c r="C298" s="133">
        <v>44441</v>
      </c>
      <c r="D298" s="134" t="s">
        <v>4273</v>
      </c>
      <c r="E298" s="134" t="s">
        <v>4274</v>
      </c>
      <c r="F298" s="134" t="s">
        <v>1319</v>
      </c>
      <c r="G298" s="134" t="s">
        <v>3288</v>
      </c>
    </row>
    <row r="299" spans="1:7" ht="12.75">
      <c r="A299" s="132">
        <v>2021</v>
      </c>
      <c r="B299" s="132">
        <v>176</v>
      </c>
      <c r="C299" s="133">
        <v>44441</v>
      </c>
      <c r="D299" s="134" t="s">
        <v>4275</v>
      </c>
      <c r="E299" s="134" t="s">
        <v>4276</v>
      </c>
      <c r="F299" s="134" t="s">
        <v>1319</v>
      </c>
      <c r="G299" s="134" t="s">
        <v>3288</v>
      </c>
    </row>
    <row r="300" spans="1:7" ht="12.75">
      <c r="A300" s="132">
        <v>2021</v>
      </c>
      <c r="B300" s="132">
        <v>178</v>
      </c>
      <c r="C300" s="133">
        <v>44453</v>
      </c>
      <c r="D300" s="134" t="s">
        <v>4277</v>
      </c>
      <c r="E300" s="134" t="s">
        <v>4278</v>
      </c>
      <c r="F300" s="134" t="s">
        <v>3439</v>
      </c>
      <c r="G300" s="134" t="s">
        <v>3288</v>
      </c>
    </row>
    <row r="301" spans="1:7" ht="12.75">
      <c r="A301" s="132">
        <v>2021</v>
      </c>
      <c r="B301" s="132">
        <v>178</v>
      </c>
      <c r="C301" s="133">
        <v>44453</v>
      </c>
      <c r="D301" s="134" t="s">
        <v>4279</v>
      </c>
      <c r="E301" s="134" t="s">
        <v>4280</v>
      </c>
      <c r="F301" s="134" t="s">
        <v>3439</v>
      </c>
      <c r="G301" s="134" t="s">
        <v>3288</v>
      </c>
    </row>
    <row r="302" spans="1:7" ht="12.75">
      <c r="A302" s="132">
        <v>2021</v>
      </c>
      <c r="B302" s="132">
        <v>178</v>
      </c>
      <c r="C302" s="133">
        <v>44453</v>
      </c>
      <c r="D302" s="134" t="s">
        <v>4281</v>
      </c>
      <c r="E302" s="134" t="s">
        <v>4282</v>
      </c>
      <c r="F302" s="134" t="s">
        <v>3389</v>
      </c>
      <c r="G302" s="134" t="s">
        <v>3288</v>
      </c>
    </row>
    <row r="303" spans="1:7" ht="12.75">
      <c r="A303" s="132">
        <v>2021</v>
      </c>
      <c r="B303" s="132">
        <v>178</v>
      </c>
      <c r="C303" s="133">
        <v>44453</v>
      </c>
      <c r="D303" s="134" t="s">
        <v>4283</v>
      </c>
      <c r="E303" s="134" t="s">
        <v>4284</v>
      </c>
      <c r="F303" s="134" t="s">
        <v>3389</v>
      </c>
      <c r="G303" s="134" t="s">
        <v>3288</v>
      </c>
    </row>
    <row r="304" spans="1:7" ht="12.75">
      <c r="A304" s="132">
        <v>2021</v>
      </c>
      <c r="B304" s="132">
        <v>178</v>
      </c>
      <c r="C304" s="133">
        <v>44453</v>
      </c>
      <c r="D304" s="134" t="s">
        <v>4285</v>
      </c>
      <c r="E304" s="134" t="s">
        <v>4286</v>
      </c>
      <c r="F304" s="134" t="s">
        <v>3389</v>
      </c>
      <c r="G304" s="134" t="s">
        <v>3288</v>
      </c>
    </row>
    <row r="305" spans="1:7" ht="12.75">
      <c r="A305" s="132">
        <v>2021</v>
      </c>
      <c r="B305" s="132">
        <v>181</v>
      </c>
      <c r="C305" s="133">
        <v>44453</v>
      </c>
      <c r="D305" s="134" t="s">
        <v>5430</v>
      </c>
      <c r="E305" s="134" t="s">
        <v>3856</v>
      </c>
      <c r="F305" s="134" t="s">
        <v>1319</v>
      </c>
      <c r="G305" s="134" t="s">
        <v>3288</v>
      </c>
    </row>
    <row r="306" spans="1:7" ht="12.75">
      <c r="A306" s="132">
        <v>2021</v>
      </c>
      <c r="B306" s="132">
        <v>181</v>
      </c>
      <c r="C306" s="133">
        <v>44453</v>
      </c>
      <c r="D306" s="134" t="s">
        <v>5431</v>
      </c>
      <c r="E306" s="134" t="s">
        <v>5432</v>
      </c>
      <c r="F306" s="134" t="s">
        <v>3512</v>
      </c>
      <c r="G306" s="134" t="s">
        <v>3513</v>
      </c>
    </row>
    <row r="307" spans="1:7" ht="12.75">
      <c r="A307" s="132">
        <v>2021</v>
      </c>
      <c r="B307" s="132">
        <v>182</v>
      </c>
      <c r="C307" s="133">
        <v>44455</v>
      </c>
      <c r="D307" s="134" t="s">
        <v>4288</v>
      </c>
      <c r="E307" s="134" t="s">
        <v>4289</v>
      </c>
      <c r="F307" s="134" t="s">
        <v>3325</v>
      </c>
      <c r="G307" s="134" t="s">
        <v>3292</v>
      </c>
    </row>
    <row r="308" spans="1:7" ht="12.75">
      <c r="A308" s="132">
        <v>2021</v>
      </c>
      <c r="B308" s="132">
        <v>186</v>
      </c>
      <c r="C308" s="133">
        <v>44460</v>
      </c>
      <c r="D308" s="134" t="s">
        <v>3397</v>
      </c>
      <c r="E308" s="134" t="s">
        <v>4215</v>
      </c>
      <c r="F308" s="134" t="s">
        <v>3328</v>
      </c>
      <c r="G308" s="134" t="s">
        <v>3292</v>
      </c>
    </row>
    <row r="309" spans="1:7" ht="12.75">
      <c r="A309" s="132">
        <v>2021</v>
      </c>
      <c r="B309" s="132">
        <v>186</v>
      </c>
      <c r="C309" s="133">
        <v>44460</v>
      </c>
      <c r="D309" s="134" t="s">
        <v>4290</v>
      </c>
      <c r="E309" s="134" t="s">
        <v>4291</v>
      </c>
      <c r="F309" s="134" t="s">
        <v>3432</v>
      </c>
      <c r="G309" s="134" t="s">
        <v>3393</v>
      </c>
    </row>
    <row r="310" spans="1:7" ht="12.75">
      <c r="A310" s="132">
        <v>2021</v>
      </c>
      <c r="B310" s="132">
        <v>186</v>
      </c>
      <c r="C310" s="133">
        <v>44460</v>
      </c>
      <c r="D310" s="134" t="s">
        <v>4292</v>
      </c>
      <c r="E310" s="134" t="s">
        <v>4293</v>
      </c>
      <c r="F310" s="134" t="s">
        <v>3309</v>
      </c>
      <c r="G310" s="134" t="s">
        <v>3292</v>
      </c>
    </row>
    <row r="311" spans="1:7" ht="12.75">
      <c r="A311" s="132">
        <v>2021</v>
      </c>
      <c r="B311" s="132">
        <v>188</v>
      </c>
      <c r="C311" s="137">
        <v>44462</v>
      </c>
      <c r="D311" s="134" t="s">
        <v>3344</v>
      </c>
      <c r="E311" s="134" t="s">
        <v>3345</v>
      </c>
      <c r="F311" s="134" t="s">
        <v>3311</v>
      </c>
      <c r="G311" s="134" t="s">
        <v>3292</v>
      </c>
    </row>
    <row r="312" spans="1:7" ht="12.75">
      <c r="A312" s="132">
        <v>2021</v>
      </c>
      <c r="B312" s="132">
        <v>189</v>
      </c>
      <c r="C312" s="137">
        <v>44462</v>
      </c>
      <c r="D312" s="134" t="s">
        <v>5433</v>
      </c>
      <c r="E312" s="134" t="s">
        <v>5434</v>
      </c>
      <c r="F312" s="134" t="s">
        <v>3512</v>
      </c>
      <c r="G312" s="134" t="s">
        <v>3513</v>
      </c>
    </row>
    <row r="313" spans="1:7" ht="12.75">
      <c r="A313" s="132">
        <v>2021</v>
      </c>
      <c r="B313" s="132">
        <v>191</v>
      </c>
      <c r="C313" s="133">
        <v>44462</v>
      </c>
      <c r="D313" s="134" t="s">
        <v>4295</v>
      </c>
      <c r="E313" s="134" t="s">
        <v>4296</v>
      </c>
      <c r="F313" s="134" t="s">
        <v>1319</v>
      </c>
      <c r="G313" s="134" t="s">
        <v>3288</v>
      </c>
    </row>
    <row r="314" spans="1:7" ht="12.75">
      <c r="A314" s="132">
        <v>2021</v>
      </c>
      <c r="B314" s="132">
        <v>191</v>
      </c>
      <c r="C314" s="133">
        <v>44462</v>
      </c>
      <c r="D314" s="134" t="s">
        <v>4297</v>
      </c>
      <c r="E314" s="134" t="s">
        <v>4298</v>
      </c>
      <c r="F314" s="134" t="s">
        <v>1319</v>
      </c>
      <c r="G314" s="134" t="s">
        <v>3288</v>
      </c>
    </row>
    <row r="315" spans="1:7" ht="12.75">
      <c r="A315" s="132">
        <v>2021</v>
      </c>
      <c r="B315" s="132">
        <v>191</v>
      </c>
      <c r="C315" s="133">
        <v>44462</v>
      </c>
      <c r="D315" s="134" t="s">
        <v>4299</v>
      </c>
      <c r="E315" s="134" t="s">
        <v>4300</v>
      </c>
      <c r="F315" s="134" t="s">
        <v>1319</v>
      </c>
      <c r="G315" s="134" t="s">
        <v>3288</v>
      </c>
    </row>
    <row r="316" spans="1:7" ht="12.75">
      <c r="A316" s="132">
        <v>2021</v>
      </c>
      <c r="B316" s="132">
        <v>193</v>
      </c>
      <c r="C316" s="133">
        <v>44467</v>
      </c>
      <c r="D316" s="134" t="s">
        <v>4301</v>
      </c>
      <c r="E316" s="134" t="s">
        <v>4302</v>
      </c>
      <c r="F316" s="134" t="s">
        <v>3439</v>
      </c>
      <c r="G316" s="134" t="s">
        <v>3288</v>
      </c>
    </row>
    <row r="317" spans="1:7" ht="12.75">
      <c r="A317" s="132">
        <v>2021</v>
      </c>
      <c r="B317" s="132">
        <v>193</v>
      </c>
      <c r="C317" s="133">
        <v>44467</v>
      </c>
      <c r="D317" s="134" t="s">
        <v>4303</v>
      </c>
      <c r="E317" s="134" t="s">
        <v>4304</v>
      </c>
      <c r="F317" s="134" t="s">
        <v>3439</v>
      </c>
      <c r="G317" s="134" t="s">
        <v>3288</v>
      </c>
    </row>
    <row r="318" spans="1:7" ht="12.75">
      <c r="A318" s="132">
        <v>2021</v>
      </c>
      <c r="B318" s="132">
        <v>194</v>
      </c>
      <c r="C318" s="133">
        <v>44467</v>
      </c>
      <c r="D318" s="134" t="s">
        <v>5435</v>
      </c>
      <c r="E318" s="134" t="s">
        <v>5436</v>
      </c>
      <c r="F318" s="134" t="s">
        <v>3512</v>
      </c>
      <c r="G318" s="134" t="s">
        <v>3513</v>
      </c>
    </row>
    <row r="319" spans="1:7" ht="12.75">
      <c r="A319" s="132">
        <v>2021</v>
      </c>
      <c r="B319" s="132">
        <v>194</v>
      </c>
      <c r="C319" s="133">
        <v>44467</v>
      </c>
      <c r="D319" s="134" t="s">
        <v>5437</v>
      </c>
      <c r="E319" s="134" t="s">
        <v>5438</v>
      </c>
      <c r="F319" s="134" t="s">
        <v>3512</v>
      </c>
      <c r="G319" s="134" t="s">
        <v>3513</v>
      </c>
    </row>
    <row r="320" spans="1:7" ht="12.75">
      <c r="A320" s="132">
        <v>2021</v>
      </c>
      <c r="B320" s="132">
        <v>198</v>
      </c>
      <c r="C320" s="133">
        <v>44474</v>
      </c>
      <c r="D320" s="134" t="s">
        <v>4305</v>
      </c>
      <c r="E320" s="134" t="s">
        <v>3565</v>
      </c>
      <c r="F320" s="134" t="s">
        <v>4306</v>
      </c>
      <c r="G320" s="134" t="s">
        <v>3567</v>
      </c>
    </row>
    <row r="321" spans="1:7" ht="12.75">
      <c r="A321" s="132">
        <v>2021</v>
      </c>
      <c r="B321" s="132">
        <v>198</v>
      </c>
      <c r="C321" s="133">
        <v>44474</v>
      </c>
      <c r="D321" s="134" t="s">
        <v>4307</v>
      </c>
      <c r="E321" s="134" t="s">
        <v>4308</v>
      </c>
      <c r="F321" s="134" t="s">
        <v>3439</v>
      </c>
      <c r="G321" s="134" t="s">
        <v>3288</v>
      </c>
    </row>
    <row r="322" spans="1:7" ht="12.75">
      <c r="A322" s="132">
        <v>2021</v>
      </c>
      <c r="B322" s="132">
        <v>199</v>
      </c>
      <c r="C322" s="133">
        <v>44476</v>
      </c>
      <c r="D322" s="134" t="s">
        <v>4309</v>
      </c>
      <c r="E322" s="134" t="s">
        <v>5439</v>
      </c>
      <c r="F322" s="134" t="s">
        <v>3469</v>
      </c>
      <c r="G322" s="134" t="s">
        <v>3288</v>
      </c>
    </row>
    <row r="323" spans="1:7" ht="12.75">
      <c r="A323" s="132">
        <v>2021</v>
      </c>
      <c r="B323" s="132">
        <v>199</v>
      </c>
      <c r="C323" s="133">
        <v>44476</v>
      </c>
      <c r="D323" s="134" t="s">
        <v>4311</v>
      </c>
      <c r="E323" s="134" t="s">
        <v>5440</v>
      </c>
      <c r="F323" s="134" t="s">
        <v>1319</v>
      </c>
      <c r="G323" s="134" t="s">
        <v>3288</v>
      </c>
    </row>
    <row r="324" spans="1:7" ht="12.75">
      <c r="A324" s="132">
        <v>2021</v>
      </c>
      <c r="B324" s="132">
        <v>199</v>
      </c>
      <c r="C324" s="133">
        <v>44476</v>
      </c>
      <c r="D324" s="134" t="s">
        <v>4313</v>
      </c>
      <c r="E324" s="134" t="s">
        <v>5441</v>
      </c>
      <c r="F324" s="134" t="s">
        <v>1319</v>
      </c>
      <c r="G324" s="134" t="s">
        <v>3288</v>
      </c>
    </row>
    <row r="325" spans="1:7" ht="12.75">
      <c r="A325" s="132">
        <v>2021</v>
      </c>
      <c r="B325" s="132">
        <v>200</v>
      </c>
      <c r="C325" s="133">
        <v>44476</v>
      </c>
      <c r="D325" s="134" t="s">
        <v>4315</v>
      </c>
      <c r="E325" s="134" t="s">
        <v>4316</v>
      </c>
      <c r="F325" s="134" t="s">
        <v>3328</v>
      </c>
      <c r="G325" s="134" t="s">
        <v>3292</v>
      </c>
    </row>
    <row r="326" spans="1:7" ht="12.75">
      <c r="A326" s="132">
        <v>2021</v>
      </c>
      <c r="B326" s="132">
        <v>201</v>
      </c>
      <c r="C326" s="133">
        <v>44476</v>
      </c>
      <c r="D326" s="134" t="s">
        <v>4317</v>
      </c>
      <c r="E326" s="134" t="s">
        <v>4318</v>
      </c>
      <c r="F326" s="134" t="s">
        <v>1319</v>
      </c>
      <c r="G326" s="134" t="s">
        <v>3288</v>
      </c>
    </row>
    <row r="327" spans="1:7" ht="12.75">
      <c r="A327" s="132">
        <v>2021</v>
      </c>
      <c r="B327" s="132">
        <v>201</v>
      </c>
      <c r="C327" s="133">
        <v>44476</v>
      </c>
      <c r="D327" s="134" t="s">
        <v>4319</v>
      </c>
      <c r="E327" s="134" t="s">
        <v>4320</v>
      </c>
      <c r="F327" s="134" t="s">
        <v>4102</v>
      </c>
      <c r="G327" s="134" t="s">
        <v>3288</v>
      </c>
    </row>
    <row r="328" spans="1:7" ht="12.75">
      <c r="A328" s="132">
        <v>2021</v>
      </c>
      <c r="B328" s="132">
        <v>201</v>
      </c>
      <c r="C328" s="133">
        <v>44476</v>
      </c>
      <c r="D328" s="134" t="s">
        <v>4321</v>
      </c>
      <c r="E328" s="134" t="s">
        <v>4322</v>
      </c>
      <c r="F328" s="134" t="s">
        <v>3409</v>
      </c>
      <c r="G328" s="134" t="s">
        <v>3288</v>
      </c>
    </row>
    <row r="329" spans="1:7" ht="12.75">
      <c r="A329" s="132">
        <v>2021</v>
      </c>
      <c r="B329" s="132">
        <v>203</v>
      </c>
      <c r="C329" s="141">
        <v>44481</v>
      </c>
      <c r="D329" s="134" t="s">
        <v>5442</v>
      </c>
      <c r="E329" s="134" t="s">
        <v>5443</v>
      </c>
      <c r="F329" s="134" t="s">
        <v>3512</v>
      </c>
      <c r="G329" s="134" t="s">
        <v>3513</v>
      </c>
    </row>
    <row r="330" spans="1:7" ht="12.75">
      <c r="A330" s="132">
        <v>2021</v>
      </c>
      <c r="B330" s="132">
        <v>203</v>
      </c>
      <c r="C330" s="141">
        <v>44481</v>
      </c>
      <c r="D330" s="134" t="s">
        <v>5444</v>
      </c>
      <c r="E330" s="134" t="s">
        <v>5445</v>
      </c>
      <c r="F330" s="134" t="s">
        <v>4692</v>
      </c>
      <c r="G330" s="134" t="s">
        <v>3513</v>
      </c>
    </row>
    <row r="331" spans="1:7" ht="12.75">
      <c r="A331" s="132">
        <v>2021</v>
      </c>
      <c r="B331" s="132">
        <v>203</v>
      </c>
      <c r="C331" s="141">
        <v>44481</v>
      </c>
      <c r="D331" s="134" t="s">
        <v>5446</v>
      </c>
      <c r="E331" s="134" t="s">
        <v>5447</v>
      </c>
      <c r="F331" s="134" t="s">
        <v>4692</v>
      </c>
      <c r="G331" s="134" t="s">
        <v>3513</v>
      </c>
    </row>
    <row r="332" spans="1:7" ht="12.75">
      <c r="A332" s="132">
        <v>2021</v>
      </c>
      <c r="B332" s="132">
        <v>205</v>
      </c>
      <c r="C332" s="59">
        <v>44483</v>
      </c>
      <c r="D332" s="4" t="s">
        <v>4323</v>
      </c>
      <c r="E332" s="4" t="s">
        <v>4324</v>
      </c>
      <c r="F332" s="4" t="s">
        <v>3309</v>
      </c>
      <c r="G332" s="4" t="s">
        <v>3292</v>
      </c>
    </row>
    <row r="333" spans="1:7" ht="12.75">
      <c r="A333" s="132">
        <v>2021</v>
      </c>
      <c r="B333" s="132">
        <v>206</v>
      </c>
      <c r="C333" s="59">
        <v>44488</v>
      </c>
      <c r="D333" s="4" t="s">
        <v>4325</v>
      </c>
      <c r="E333" s="4" t="s">
        <v>4326</v>
      </c>
      <c r="F333" s="4" t="s">
        <v>3720</v>
      </c>
      <c r="G333" s="4" t="s">
        <v>3292</v>
      </c>
    </row>
    <row r="334" spans="1:7" ht="12.75">
      <c r="A334" s="132">
        <v>2021</v>
      </c>
      <c r="B334" s="132">
        <v>206</v>
      </c>
      <c r="C334" s="59">
        <v>44488</v>
      </c>
      <c r="D334" s="4" t="s">
        <v>4327</v>
      </c>
      <c r="E334" s="4" t="s">
        <v>4328</v>
      </c>
      <c r="F334" s="4" t="s">
        <v>4329</v>
      </c>
      <c r="G334" s="4" t="s">
        <v>3292</v>
      </c>
    </row>
    <row r="335" spans="1:7" ht="12.75">
      <c r="A335" s="132">
        <v>2021</v>
      </c>
      <c r="B335" s="132">
        <v>206</v>
      </c>
      <c r="C335" s="59">
        <v>44488</v>
      </c>
      <c r="D335" s="4" t="s">
        <v>4330</v>
      </c>
      <c r="E335" s="4" t="s">
        <v>4331</v>
      </c>
      <c r="F335" s="4" t="s">
        <v>3409</v>
      </c>
      <c r="G335" s="4" t="s">
        <v>3288</v>
      </c>
    </row>
    <row r="336" spans="1:7" ht="12.75">
      <c r="A336" s="132">
        <v>2021</v>
      </c>
      <c r="B336" s="132">
        <v>206</v>
      </c>
      <c r="C336" s="59">
        <v>44488</v>
      </c>
      <c r="D336" s="4" t="s">
        <v>4332</v>
      </c>
      <c r="E336" s="4" t="s">
        <v>4333</v>
      </c>
      <c r="F336" s="4" t="s">
        <v>1319</v>
      </c>
      <c r="G336" s="4" t="s">
        <v>3288</v>
      </c>
    </row>
    <row r="337" spans="1:7" ht="12.75">
      <c r="A337" s="132">
        <v>2021</v>
      </c>
      <c r="B337" s="132">
        <v>206</v>
      </c>
      <c r="C337" s="59">
        <v>44488</v>
      </c>
      <c r="D337" s="4" t="s">
        <v>5448</v>
      </c>
      <c r="E337" s="4" t="s">
        <v>3808</v>
      </c>
      <c r="F337" s="4" t="s">
        <v>5449</v>
      </c>
      <c r="G337" s="4" t="s">
        <v>3810</v>
      </c>
    </row>
    <row r="338" spans="1:7" ht="12.75">
      <c r="A338" s="132">
        <v>2021</v>
      </c>
      <c r="B338" s="132">
        <v>206</v>
      </c>
      <c r="C338" s="59">
        <v>44488</v>
      </c>
      <c r="D338" s="4" t="s">
        <v>4336</v>
      </c>
      <c r="E338" s="4" t="s">
        <v>4337</v>
      </c>
      <c r="F338" s="4" t="s">
        <v>1319</v>
      </c>
      <c r="G338" s="4" t="s">
        <v>3288</v>
      </c>
    </row>
    <row r="339" spans="1:7" ht="12.75">
      <c r="A339" s="132">
        <v>2021</v>
      </c>
      <c r="B339" s="132">
        <v>208</v>
      </c>
      <c r="C339" s="59">
        <v>44488</v>
      </c>
      <c r="D339" s="4" t="s">
        <v>5450</v>
      </c>
      <c r="E339" s="4" t="s">
        <v>5451</v>
      </c>
      <c r="F339" s="142" t="s">
        <v>3512</v>
      </c>
      <c r="G339" s="4" t="s">
        <v>3513</v>
      </c>
    </row>
    <row r="340" spans="1:7" ht="12.75">
      <c r="A340" s="132">
        <v>2021</v>
      </c>
      <c r="B340" s="132">
        <v>208</v>
      </c>
      <c r="C340" s="59">
        <v>44488</v>
      </c>
      <c r="D340" s="4" t="s">
        <v>5452</v>
      </c>
      <c r="E340" s="4" t="s">
        <v>5453</v>
      </c>
      <c r="F340" s="142" t="s">
        <v>3512</v>
      </c>
      <c r="G340" s="4" t="s">
        <v>3513</v>
      </c>
    </row>
    <row r="341" spans="1:7" ht="12.75">
      <c r="A341" s="132">
        <v>2021</v>
      </c>
      <c r="B341" s="132">
        <v>208</v>
      </c>
      <c r="C341" s="59">
        <v>44488</v>
      </c>
      <c r="D341" s="4" t="s">
        <v>5454</v>
      </c>
      <c r="E341" s="4" t="s">
        <v>5455</v>
      </c>
      <c r="F341" s="142" t="s">
        <v>3512</v>
      </c>
      <c r="G341" s="4" t="s">
        <v>3513</v>
      </c>
    </row>
    <row r="342" spans="1:7" ht="12.75">
      <c r="A342" s="132">
        <v>2021</v>
      </c>
      <c r="B342" s="132">
        <v>209</v>
      </c>
      <c r="C342" s="59">
        <v>44490</v>
      </c>
      <c r="D342" s="4" t="s">
        <v>4338</v>
      </c>
      <c r="E342" s="4" t="s">
        <v>3565</v>
      </c>
      <c r="F342" s="4" t="s">
        <v>4339</v>
      </c>
      <c r="G342" s="4" t="s">
        <v>3567</v>
      </c>
    </row>
    <row r="343" spans="1:7" ht="12.75">
      <c r="A343" s="132">
        <v>2021</v>
      </c>
      <c r="B343" s="132">
        <v>210</v>
      </c>
      <c r="C343" s="59">
        <v>44490</v>
      </c>
      <c r="D343" s="4" t="s">
        <v>4340</v>
      </c>
      <c r="E343" s="4" t="s">
        <v>4341</v>
      </c>
      <c r="F343" s="143" t="s">
        <v>3439</v>
      </c>
      <c r="G343" s="4" t="s">
        <v>3288</v>
      </c>
    </row>
    <row r="344" spans="1:7" ht="12.75">
      <c r="A344" s="132">
        <v>2021</v>
      </c>
      <c r="B344" s="132">
        <v>210</v>
      </c>
      <c r="C344" s="59">
        <v>44490</v>
      </c>
      <c r="D344" s="4" t="s">
        <v>4342</v>
      </c>
      <c r="E344" s="4" t="s">
        <v>4343</v>
      </c>
      <c r="F344" s="143" t="s">
        <v>3439</v>
      </c>
      <c r="G344" s="4" t="s">
        <v>3288</v>
      </c>
    </row>
    <row r="345" spans="1:7" ht="12.75">
      <c r="A345" s="132">
        <v>2021</v>
      </c>
      <c r="B345" s="132">
        <v>210</v>
      </c>
      <c r="C345" s="59">
        <v>44490</v>
      </c>
      <c r="D345" s="4" t="s">
        <v>4344</v>
      </c>
      <c r="E345" s="4" t="s">
        <v>5456</v>
      </c>
      <c r="F345" s="4" t="s">
        <v>1319</v>
      </c>
      <c r="G345" s="4" t="s">
        <v>3288</v>
      </c>
    </row>
    <row r="346" spans="1:7" ht="12.75">
      <c r="A346" s="132">
        <v>2021</v>
      </c>
      <c r="B346" s="132">
        <v>211</v>
      </c>
      <c r="C346" s="59">
        <v>44490</v>
      </c>
      <c r="D346" s="4" t="s">
        <v>4346</v>
      </c>
      <c r="E346" s="4" t="s">
        <v>4347</v>
      </c>
      <c r="F346" s="4" t="s">
        <v>3291</v>
      </c>
      <c r="G346" s="4" t="s">
        <v>3292</v>
      </c>
    </row>
    <row r="347" spans="1:7" ht="12.75">
      <c r="A347" s="132">
        <v>2021</v>
      </c>
      <c r="B347" s="132">
        <v>211</v>
      </c>
      <c r="C347" s="59">
        <v>44490</v>
      </c>
      <c r="D347" s="4" t="s">
        <v>4348</v>
      </c>
      <c r="E347" s="4" t="s">
        <v>4349</v>
      </c>
      <c r="F347" s="4" t="s">
        <v>3291</v>
      </c>
      <c r="G347" s="4" t="s">
        <v>3292</v>
      </c>
    </row>
    <row r="348" spans="1:7" ht="12.75">
      <c r="A348" s="132">
        <v>2021</v>
      </c>
      <c r="B348" s="132">
        <v>213</v>
      </c>
      <c r="C348" s="59">
        <v>44495</v>
      </c>
      <c r="D348" s="4" t="s">
        <v>4350</v>
      </c>
      <c r="E348" s="4" t="s">
        <v>4351</v>
      </c>
      <c r="F348" s="143" t="s">
        <v>3439</v>
      </c>
      <c r="G348" s="4" t="s">
        <v>3288</v>
      </c>
    </row>
    <row r="349" spans="1:7" ht="12.75">
      <c r="A349" s="132">
        <v>2021</v>
      </c>
      <c r="B349" s="132">
        <v>213</v>
      </c>
      <c r="C349" s="59">
        <v>44495</v>
      </c>
      <c r="D349" s="4" t="s">
        <v>4352</v>
      </c>
      <c r="E349" s="4" t="s">
        <v>4353</v>
      </c>
      <c r="F349" s="4" t="s">
        <v>3446</v>
      </c>
      <c r="G349" s="4" t="s">
        <v>3288</v>
      </c>
    </row>
    <row r="350" spans="1:7" ht="12.75">
      <c r="A350" s="132">
        <v>2021</v>
      </c>
      <c r="B350" s="132">
        <v>213</v>
      </c>
      <c r="C350" s="59">
        <v>44495</v>
      </c>
      <c r="D350" s="4" t="s">
        <v>4354</v>
      </c>
      <c r="E350" s="4" t="s">
        <v>4355</v>
      </c>
      <c r="F350" s="4" t="s">
        <v>3720</v>
      </c>
      <c r="G350" s="4" t="s">
        <v>3292</v>
      </c>
    </row>
    <row r="351" spans="1:7" ht="12.75">
      <c r="A351" s="132">
        <v>2021</v>
      </c>
      <c r="B351" s="132">
        <v>213</v>
      </c>
      <c r="C351" s="59">
        <v>44495</v>
      </c>
      <c r="D351" s="4" t="s">
        <v>4356</v>
      </c>
      <c r="E351" s="4" t="s">
        <v>4357</v>
      </c>
      <c r="F351" s="4" t="s">
        <v>3720</v>
      </c>
      <c r="G351" s="4" t="s">
        <v>3292</v>
      </c>
    </row>
    <row r="352" spans="1:7" ht="12.75">
      <c r="A352" s="132">
        <v>2021</v>
      </c>
      <c r="B352" s="132">
        <v>214</v>
      </c>
      <c r="C352" s="59">
        <v>44495</v>
      </c>
      <c r="D352" s="4" t="s">
        <v>5457</v>
      </c>
      <c r="E352" s="4" t="s">
        <v>5458</v>
      </c>
      <c r="F352" s="142" t="s">
        <v>3512</v>
      </c>
      <c r="G352" s="4" t="s">
        <v>3513</v>
      </c>
    </row>
    <row r="353" spans="1:7" ht="12.75">
      <c r="A353" s="132">
        <v>2021</v>
      </c>
      <c r="B353" s="132">
        <v>214</v>
      </c>
      <c r="C353" s="59">
        <v>44495</v>
      </c>
      <c r="D353" s="4" t="s">
        <v>5459</v>
      </c>
      <c r="E353" s="4" t="s">
        <v>5460</v>
      </c>
      <c r="F353" s="142" t="s">
        <v>3512</v>
      </c>
      <c r="G353" s="4" t="s">
        <v>3513</v>
      </c>
    </row>
    <row r="354" spans="1:7" ht="12.75">
      <c r="A354" s="132">
        <v>2021</v>
      </c>
      <c r="B354" s="132">
        <v>216</v>
      </c>
      <c r="C354" s="59">
        <v>44497</v>
      </c>
      <c r="D354" s="4" t="s">
        <v>4358</v>
      </c>
      <c r="E354" s="4" t="s">
        <v>4359</v>
      </c>
      <c r="F354" s="4" t="s">
        <v>3303</v>
      </c>
      <c r="G354" s="4" t="s">
        <v>3292</v>
      </c>
    </row>
    <row r="355" spans="1:7" ht="12.75">
      <c r="A355" s="132">
        <v>2021</v>
      </c>
      <c r="B355" s="132">
        <v>216</v>
      </c>
      <c r="C355" s="59">
        <v>44497</v>
      </c>
      <c r="D355" s="4" t="s">
        <v>4360</v>
      </c>
      <c r="E355" s="4" t="s">
        <v>4361</v>
      </c>
      <c r="F355" s="134" t="s">
        <v>3469</v>
      </c>
      <c r="G355" s="4" t="s">
        <v>3288</v>
      </c>
    </row>
    <row r="356" spans="1:7" ht="12.75">
      <c r="A356" s="132">
        <v>2021</v>
      </c>
      <c r="B356" s="132">
        <v>216</v>
      </c>
      <c r="C356" s="59">
        <v>44497</v>
      </c>
      <c r="D356" s="4" t="s">
        <v>4362</v>
      </c>
      <c r="E356" s="4" t="s">
        <v>4363</v>
      </c>
      <c r="F356" s="4" t="s">
        <v>3439</v>
      </c>
      <c r="G356" s="4" t="s">
        <v>3288</v>
      </c>
    </row>
    <row r="357" spans="1:7" ht="12.75">
      <c r="A357" s="132">
        <v>2021</v>
      </c>
      <c r="B357" s="132">
        <v>216</v>
      </c>
      <c r="C357" s="59">
        <v>44497</v>
      </c>
      <c r="D357" s="4" t="s">
        <v>4364</v>
      </c>
      <c r="E357" s="4" t="s">
        <v>4365</v>
      </c>
      <c r="F357" s="134" t="s">
        <v>3469</v>
      </c>
      <c r="G357" s="4" t="s">
        <v>3288</v>
      </c>
    </row>
    <row r="358" spans="1:7" ht="12.75">
      <c r="A358" s="132">
        <v>2021</v>
      </c>
      <c r="B358" s="132">
        <v>216</v>
      </c>
      <c r="C358" s="59">
        <v>44497</v>
      </c>
      <c r="D358" s="4" t="s">
        <v>4366</v>
      </c>
      <c r="E358" s="4" t="s">
        <v>4367</v>
      </c>
      <c r="F358" s="4" t="s">
        <v>3439</v>
      </c>
      <c r="G358" s="4" t="s">
        <v>3288</v>
      </c>
    </row>
    <row r="359" spans="1:7" ht="12.75">
      <c r="A359" s="132">
        <v>2021</v>
      </c>
      <c r="B359" s="132">
        <v>216</v>
      </c>
      <c r="C359" s="59">
        <v>44497</v>
      </c>
      <c r="D359" s="4" t="s">
        <v>4368</v>
      </c>
      <c r="E359" s="4" t="s">
        <v>4369</v>
      </c>
      <c r="F359" s="4" t="s">
        <v>3439</v>
      </c>
      <c r="G359" s="4" t="s">
        <v>3288</v>
      </c>
    </row>
    <row r="360" spans="1:7" ht="12.75">
      <c r="A360" s="132">
        <v>2021</v>
      </c>
      <c r="B360" s="132">
        <v>216</v>
      </c>
      <c r="C360" s="59">
        <v>44497</v>
      </c>
      <c r="D360" s="4" t="s">
        <v>4370</v>
      </c>
      <c r="E360" s="4" t="s">
        <v>4371</v>
      </c>
      <c r="F360" s="4" t="s">
        <v>3439</v>
      </c>
      <c r="G360" s="4" t="s">
        <v>3288</v>
      </c>
    </row>
    <row r="361" spans="1:7" ht="12.75">
      <c r="A361" s="132">
        <v>2021</v>
      </c>
      <c r="B361" s="132">
        <v>216</v>
      </c>
      <c r="C361" s="59">
        <v>44497</v>
      </c>
      <c r="D361" s="4" t="s">
        <v>4372</v>
      </c>
      <c r="E361" s="4" t="s">
        <v>4373</v>
      </c>
      <c r="F361" s="4" t="s">
        <v>3439</v>
      </c>
      <c r="G361" s="4" t="s">
        <v>3288</v>
      </c>
    </row>
    <row r="362" spans="1:7" ht="12.75">
      <c r="A362" s="132">
        <v>2021</v>
      </c>
      <c r="B362" s="132">
        <v>217</v>
      </c>
      <c r="C362" s="59">
        <v>44497</v>
      </c>
      <c r="D362" s="4" t="s">
        <v>4374</v>
      </c>
      <c r="E362" s="4" t="s">
        <v>3595</v>
      </c>
      <c r="F362" s="4" t="s">
        <v>4375</v>
      </c>
      <c r="G362" s="4" t="s">
        <v>3567</v>
      </c>
    </row>
    <row r="363" spans="1:7" ht="12.75">
      <c r="A363" s="132">
        <v>2021</v>
      </c>
      <c r="B363" s="132">
        <v>218</v>
      </c>
      <c r="C363" s="59">
        <v>44497</v>
      </c>
      <c r="D363" s="4" t="s">
        <v>4376</v>
      </c>
      <c r="E363" s="4" t="s">
        <v>4377</v>
      </c>
      <c r="F363" s="134" t="s">
        <v>4194</v>
      </c>
      <c r="G363" s="4" t="s">
        <v>3393</v>
      </c>
    </row>
    <row r="364" spans="1:7" ht="12.75">
      <c r="A364" s="132">
        <v>2021</v>
      </c>
      <c r="B364" s="132">
        <v>218</v>
      </c>
      <c r="C364" s="59">
        <v>44497</v>
      </c>
      <c r="D364" s="4" t="s">
        <v>4378</v>
      </c>
      <c r="E364" s="4" t="s">
        <v>4379</v>
      </c>
      <c r="F364" s="134" t="s">
        <v>4194</v>
      </c>
      <c r="G364" s="4" t="s">
        <v>3393</v>
      </c>
    </row>
    <row r="365" spans="1:7" ht="12.75">
      <c r="A365" s="132">
        <v>2021</v>
      </c>
      <c r="B365" s="132">
        <v>219</v>
      </c>
      <c r="C365" s="59">
        <v>44502</v>
      </c>
      <c r="D365" s="143" t="s">
        <v>5461</v>
      </c>
      <c r="E365" s="4" t="s">
        <v>5462</v>
      </c>
      <c r="F365" s="142" t="s">
        <v>3512</v>
      </c>
      <c r="G365" s="4" t="s">
        <v>3513</v>
      </c>
    </row>
    <row r="366" spans="1:7" ht="12.75">
      <c r="A366" s="132">
        <v>2021</v>
      </c>
      <c r="B366" s="132">
        <v>220</v>
      </c>
      <c r="C366" s="59">
        <v>44504</v>
      </c>
      <c r="D366" s="143" t="s">
        <v>4340</v>
      </c>
      <c r="E366" s="4" t="s">
        <v>4341</v>
      </c>
      <c r="F366" s="4" t="s">
        <v>3439</v>
      </c>
      <c r="G366" s="4" t="s">
        <v>3288</v>
      </c>
    </row>
    <row r="367" spans="1:7" ht="12.75">
      <c r="A367" s="132">
        <v>2021</v>
      </c>
      <c r="B367" s="132">
        <v>220</v>
      </c>
      <c r="C367" s="59">
        <v>44504</v>
      </c>
      <c r="D367" s="143" t="s">
        <v>4380</v>
      </c>
      <c r="E367" s="4" t="s">
        <v>5463</v>
      </c>
      <c r="F367" s="4" t="s">
        <v>3446</v>
      </c>
      <c r="G367" s="4" t="s">
        <v>3288</v>
      </c>
    </row>
    <row r="368" spans="1:7" ht="12.75">
      <c r="A368" s="18">
        <v>2021</v>
      </c>
      <c r="B368" s="18">
        <v>222</v>
      </c>
      <c r="C368" s="59">
        <v>44516</v>
      </c>
      <c r="D368" s="6" t="s">
        <v>4382</v>
      </c>
      <c r="E368" s="6" t="s">
        <v>4383</v>
      </c>
      <c r="F368" s="6" t="s">
        <v>3409</v>
      </c>
      <c r="G368" s="6" t="s">
        <v>3288</v>
      </c>
    </row>
    <row r="369" spans="1:7" ht="12.75">
      <c r="A369" s="18">
        <v>2021</v>
      </c>
      <c r="B369" s="18">
        <v>223</v>
      </c>
      <c r="C369" s="144">
        <v>44518</v>
      </c>
      <c r="D369" s="6" t="s">
        <v>4384</v>
      </c>
      <c r="E369" s="6" t="s">
        <v>4385</v>
      </c>
      <c r="F369" s="134" t="s">
        <v>3469</v>
      </c>
      <c r="G369" s="6" t="s">
        <v>3288</v>
      </c>
    </row>
    <row r="370" spans="1:7" ht="12.75">
      <c r="A370" s="18">
        <v>2021</v>
      </c>
      <c r="B370" s="18">
        <v>225</v>
      </c>
      <c r="C370" s="59">
        <v>44523</v>
      </c>
      <c r="D370" s="6" t="s">
        <v>5464</v>
      </c>
      <c r="E370" s="6" t="s">
        <v>3781</v>
      </c>
      <c r="F370" s="6" t="s">
        <v>3311</v>
      </c>
      <c r="G370" s="6" t="s">
        <v>3292</v>
      </c>
    </row>
    <row r="371" spans="1:7" ht="12.75">
      <c r="A371" s="18">
        <v>2021</v>
      </c>
      <c r="B371" s="18">
        <v>225</v>
      </c>
      <c r="C371" s="59">
        <v>44523</v>
      </c>
      <c r="D371" s="6" t="s">
        <v>3344</v>
      </c>
      <c r="E371" s="6" t="s">
        <v>3345</v>
      </c>
      <c r="F371" s="6" t="s">
        <v>3311</v>
      </c>
      <c r="G371" s="6" t="s">
        <v>3292</v>
      </c>
    </row>
    <row r="372" spans="1:7" ht="12.75">
      <c r="A372" s="18">
        <v>2021</v>
      </c>
      <c r="B372" s="18">
        <v>227</v>
      </c>
      <c r="C372" s="59">
        <v>44523</v>
      </c>
      <c r="D372" s="6" t="s">
        <v>5353</v>
      </c>
      <c r="E372" s="6" t="s">
        <v>3941</v>
      </c>
      <c r="F372" s="6" t="s">
        <v>3432</v>
      </c>
      <c r="G372" s="6" t="s">
        <v>3292</v>
      </c>
    </row>
    <row r="373" spans="1:7" ht="12.75">
      <c r="A373" s="18">
        <v>2021</v>
      </c>
      <c r="B373" s="18">
        <v>227</v>
      </c>
      <c r="C373" s="59">
        <v>44523</v>
      </c>
      <c r="D373" s="6" t="s">
        <v>5465</v>
      </c>
      <c r="E373" s="6" t="s">
        <v>4387</v>
      </c>
      <c r="F373" s="6" t="s">
        <v>3432</v>
      </c>
      <c r="G373" s="6" t="s">
        <v>3292</v>
      </c>
    </row>
    <row r="374" spans="1:7" ht="12.75">
      <c r="A374" s="18">
        <v>2021</v>
      </c>
      <c r="B374" s="18">
        <v>230</v>
      </c>
      <c r="C374" s="59">
        <v>44525</v>
      </c>
      <c r="D374" s="6" t="s">
        <v>5466</v>
      </c>
      <c r="E374" s="6" t="s">
        <v>3302</v>
      </c>
      <c r="F374" s="6" t="s">
        <v>3309</v>
      </c>
      <c r="G374" s="6" t="s">
        <v>3292</v>
      </c>
    </row>
    <row r="375" spans="1:7" ht="12.75">
      <c r="A375" s="18">
        <v>2021</v>
      </c>
      <c r="B375" s="18">
        <v>231</v>
      </c>
      <c r="C375" s="59">
        <v>44525</v>
      </c>
      <c r="D375" s="6" t="s">
        <v>4388</v>
      </c>
      <c r="E375" s="6" t="s">
        <v>3957</v>
      </c>
      <c r="F375" s="6" t="s">
        <v>3313</v>
      </c>
      <c r="G375" s="6" t="s">
        <v>3292</v>
      </c>
    </row>
    <row r="376" spans="1:7" ht="12.75">
      <c r="A376" s="18">
        <v>2021</v>
      </c>
      <c r="B376" s="18">
        <v>232</v>
      </c>
      <c r="C376" s="59">
        <v>44525</v>
      </c>
      <c r="D376" s="6" t="s">
        <v>5467</v>
      </c>
      <c r="E376" s="6" t="s">
        <v>5468</v>
      </c>
      <c r="F376" s="142" t="s">
        <v>3512</v>
      </c>
      <c r="G376" s="4" t="s">
        <v>3513</v>
      </c>
    </row>
    <row r="377" spans="1:7" ht="12.75">
      <c r="A377" s="18">
        <v>2021</v>
      </c>
      <c r="B377" s="18">
        <v>232</v>
      </c>
      <c r="C377" s="59">
        <v>44525</v>
      </c>
      <c r="D377" s="35" t="s">
        <v>5469</v>
      </c>
      <c r="E377" s="6" t="s">
        <v>5470</v>
      </c>
      <c r="F377" s="142" t="s">
        <v>3512</v>
      </c>
      <c r="G377" s="4" t="s">
        <v>3513</v>
      </c>
    </row>
    <row r="378" spans="1:7" ht="12.75">
      <c r="A378" s="18">
        <v>2021</v>
      </c>
      <c r="B378" s="18">
        <v>232</v>
      </c>
      <c r="C378" s="59">
        <v>44525</v>
      </c>
      <c r="D378" s="6" t="s">
        <v>5471</v>
      </c>
      <c r="E378" s="6" t="s">
        <v>5472</v>
      </c>
      <c r="F378" s="6" t="s">
        <v>1319</v>
      </c>
      <c r="G378" s="6" t="s">
        <v>3288</v>
      </c>
    </row>
    <row r="379" spans="1:7" ht="12.75">
      <c r="A379" s="18">
        <v>2021</v>
      </c>
      <c r="B379" s="18">
        <v>232</v>
      </c>
      <c r="C379" s="59">
        <v>44525</v>
      </c>
      <c r="D379" s="6" t="s">
        <v>5473</v>
      </c>
      <c r="E379" s="6" t="s">
        <v>5474</v>
      </c>
      <c r="F379" s="6" t="s">
        <v>1319</v>
      </c>
      <c r="G379" s="6" t="s">
        <v>3288</v>
      </c>
    </row>
    <row r="380" spans="1:7" ht="12.75">
      <c r="A380" s="18">
        <v>2021</v>
      </c>
      <c r="B380" s="18">
        <v>234</v>
      </c>
      <c r="C380" s="59">
        <v>44530</v>
      </c>
      <c r="D380" s="6" t="s">
        <v>4456</v>
      </c>
      <c r="E380" s="6" t="s">
        <v>3302</v>
      </c>
      <c r="F380" s="6" t="s">
        <v>3720</v>
      </c>
      <c r="G380" s="6" t="s">
        <v>3292</v>
      </c>
    </row>
    <row r="381" spans="1:7" ht="12.75">
      <c r="A381" s="18">
        <v>2021</v>
      </c>
      <c r="B381" s="18">
        <v>236</v>
      </c>
      <c r="C381" s="59">
        <v>44532</v>
      </c>
      <c r="D381" s="6" t="s">
        <v>3324</v>
      </c>
      <c r="E381" s="6" t="s">
        <v>3302</v>
      </c>
      <c r="F381" s="6" t="s">
        <v>3325</v>
      </c>
      <c r="G381" s="6" t="s">
        <v>3292</v>
      </c>
    </row>
    <row r="382" spans="1:7" ht="12.75">
      <c r="A382" s="18">
        <v>2021</v>
      </c>
      <c r="B382" s="18">
        <v>236</v>
      </c>
      <c r="C382" s="59">
        <v>44532</v>
      </c>
      <c r="D382" s="6" t="s">
        <v>3774</v>
      </c>
      <c r="E382" s="6" t="s">
        <v>3302</v>
      </c>
      <c r="F382" s="6" t="s">
        <v>3546</v>
      </c>
      <c r="G382" s="6" t="s">
        <v>3292</v>
      </c>
    </row>
    <row r="383" spans="1:7" ht="12.75">
      <c r="A383" s="18">
        <v>2021</v>
      </c>
      <c r="B383" s="18">
        <v>238</v>
      </c>
      <c r="C383" s="59">
        <v>44532</v>
      </c>
      <c r="D383" s="6" t="s">
        <v>5475</v>
      </c>
      <c r="E383" s="6" t="s">
        <v>5476</v>
      </c>
      <c r="F383" s="6" t="s">
        <v>4692</v>
      </c>
      <c r="G383" s="6" t="s">
        <v>3513</v>
      </c>
    </row>
    <row r="384" spans="1:7" ht="12.75">
      <c r="A384" s="18">
        <v>2021</v>
      </c>
      <c r="B384" s="18">
        <v>238</v>
      </c>
      <c r="C384" s="59">
        <v>44532</v>
      </c>
      <c r="D384" s="6" t="s">
        <v>5477</v>
      </c>
      <c r="E384" s="6" t="s">
        <v>5478</v>
      </c>
      <c r="F384" s="6" t="s">
        <v>4692</v>
      </c>
      <c r="G384" s="6" t="s">
        <v>3513</v>
      </c>
    </row>
    <row r="385" spans="1:7" ht="12.75">
      <c r="A385" s="18">
        <v>2021</v>
      </c>
      <c r="B385" s="18">
        <v>238</v>
      </c>
      <c r="C385" s="59">
        <v>44532</v>
      </c>
      <c r="D385" s="6" t="s">
        <v>5479</v>
      </c>
      <c r="E385" s="6" t="s">
        <v>5480</v>
      </c>
      <c r="F385" s="6" t="s">
        <v>4692</v>
      </c>
      <c r="G385" s="6" t="s">
        <v>3513</v>
      </c>
    </row>
    <row r="386" spans="1:7" ht="12.75">
      <c r="A386" s="18">
        <v>2021</v>
      </c>
      <c r="B386" s="18">
        <v>238</v>
      </c>
      <c r="C386" s="59">
        <v>44532</v>
      </c>
      <c r="D386" s="6" t="s">
        <v>5481</v>
      </c>
      <c r="E386" s="6" t="s">
        <v>5482</v>
      </c>
      <c r="F386" s="6" t="s">
        <v>4692</v>
      </c>
      <c r="G386" s="6" t="s">
        <v>3513</v>
      </c>
    </row>
    <row r="387" spans="1:7" ht="12.75">
      <c r="A387" s="18">
        <v>2021</v>
      </c>
      <c r="B387" s="18">
        <v>238</v>
      </c>
      <c r="C387" s="59">
        <v>44532</v>
      </c>
      <c r="D387" s="6" t="s">
        <v>5483</v>
      </c>
      <c r="E387" s="6" t="s">
        <v>5484</v>
      </c>
      <c r="F387" s="6" t="s">
        <v>5485</v>
      </c>
      <c r="G387" s="6" t="s">
        <v>3513</v>
      </c>
    </row>
    <row r="388" spans="1:7" ht="12.75">
      <c r="A388" s="18">
        <v>2021</v>
      </c>
      <c r="B388" s="18">
        <v>238</v>
      </c>
      <c r="C388" s="59">
        <v>44532</v>
      </c>
      <c r="D388" s="6" t="s">
        <v>5486</v>
      </c>
      <c r="E388" s="6" t="s">
        <v>5487</v>
      </c>
      <c r="F388" s="6" t="s">
        <v>5485</v>
      </c>
      <c r="G388" s="6" t="s">
        <v>3513</v>
      </c>
    </row>
    <row r="389" spans="1:7" ht="12.75">
      <c r="A389" s="18">
        <v>2021</v>
      </c>
      <c r="B389" s="18">
        <v>240</v>
      </c>
      <c r="C389" s="59">
        <v>44537</v>
      </c>
      <c r="D389" s="6" t="s">
        <v>4389</v>
      </c>
      <c r="E389" s="6" t="s">
        <v>3302</v>
      </c>
      <c r="F389" s="6" t="s">
        <v>3432</v>
      </c>
      <c r="G389" s="6" t="s">
        <v>3292</v>
      </c>
    </row>
    <row r="390" spans="1:7" ht="12.75">
      <c r="A390" s="18">
        <v>2021</v>
      </c>
      <c r="B390" s="18">
        <v>240</v>
      </c>
      <c r="C390" s="59">
        <v>44537</v>
      </c>
      <c r="D390" s="6" t="s">
        <v>3352</v>
      </c>
      <c r="E390" s="6" t="s">
        <v>3302</v>
      </c>
      <c r="F390" s="6" t="s">
        <v>3353</v>
      </c>
      <c r="G390" s="6" t="s">
        <v>3292</v>
      </c>
    </row>
    <row r="391" spans="1:7" ht="12.75">
      <c r="A391" s="18">
        <v>2021</v>
      </c>
      <c r="B391" s="18">
        <v>241</v>
      </c>
      <c r="C391" s="59">
        <v>44537</v>
      </c>
      <c r="D391" s="6" t="s">
        <v>4391</v>
      </c>
      <c r="E391" s="6" t="s">
        <v>4392</v>
      </c>
      <c r="F391" s="6" t="s">
        <v>3409</v>
      </c>
      <c r="G391" s="6" t="s">
        <v>3288</v>
      </c>
    </row>
    <row r="392" spans="1:7" ht="12.75">
      <c r="A392" s="18">
        <v>2021</v>
      </c>
      <c r="B392" s="18">
        <v>241</v>
      </c>
      <c r="C392" s="59">
        <v>44537</v>
      </c>
      <c r="D392" s="6" t="s">
        <v>4393</v>
      </c>
      <c r="E392" s="6" t="s">
        <v>4394</v>
      </c>
      <c r="F392" s="6" t="s">
        <v>3409</v>
      </c>
      <c r="G392" s="6" t="s">
        <v>3288</v>
      </c>
    </row>
    <row r="393" spans="1:7" ht="12.75">
      <c r="A393" s="18">
        <v>2021</v>
      </c>
      <c r="B393" s="18">
        <v>241</v>
      </c>
      <c r="C393" s="59">
        <v>44537</v>
      </c>
      <c r="D393" s="6" t="s">
        <v>4395</v>
      </c>
      <c r="E393" s="6" t="s">
        <v>4396</v>
      </c>
      <c r="F393" s="6" t="s">
        <v>3409</v>
      </c>
      <c r="G393" s="6" t="s">
        <v>3288</v>
      </c>
    </row>
    <row r="394" spans="1:7" ht="12.75">
      <c r="A394" s="18">
        <v>2021</v>
      </c>
      <c r="B394" s="18">
        <v>241</v>
      </c>
      <c r="C394" s="59">
        <v>44537</v>
      </c>
      <c r="D394" s="6" t="s">
        <v>4397</v>
      </c>
      <c r="E394" s="6" t="s">
        <v>4398</v>
      </c>
      <c r="F394" s="6" t="s">
        <v>3409</v>
      </c>
      <c r="G394" s="6" t="s">
        <v>3288</v>
      </c>
    </row>
    <row r="395" spans="1:7" ht="12.75">
      <c r="A395" s="18">
        <v>2021</v>
      </c>
      <c r="B395" s="18">
        <v>241</v>
      </c>
      <c r="C395" s="59">
        <v>44537</v>
      </c>
      <c r="D395" s="6" t="s">
        <v>3412</v>
      </c>
      <c r="E395" s="6" t="s">
        <v>5488</v>
      </c>
      <c r="F395" s="6" t="s">
        <v>3409</v>
      </c>
      <c r="G395" s="6" t="s">
        <v>3288</v>
      </c>
    </row>
    <row r="396" spans="1:7" ht="12.75">
      <c r="A396" s="18">
        <v>2021</v>
      </c>
      <c r="B396" s="18">
        <v>241</v>
      </c>
      <c r="C396" s="59">
        <v>44537</v>
      </c>
      <c r="D396" s="6" t="s">
        <v>4399</v>
      </c>
      <c r="E396" s="6" t="s">
        <v>4400</v>
      </c>
      <c r="F396" s="6" t="s">
        <v>3409</v>
      </c>
      <c r="G396" s="6" t="s">
        <v>3288</v>
      </c>
    </row>
    <row r="397" spans="1:7" ht="12.75">
      <c r="A397" s="18">
        <v>2021</v>
      </c>
      <c r="B397" s="18">
        <v>241</v>
      </c>
      <c r="C397" s="59">
        <v>44537</v>
      </c>
      <c r="D397" s="6" t="s">
        <v>4401</v>
      </c>
      <c r="E397" s="6" t="s">
        <v>4402</v>
      </c>
      <c r="F397" s="6" t="s">
        <v>3409</v>
      </c>
      <c r="G397" s="6" t="s">
        <v>3288</v>
      </c>
    </row>
    <row r="398" spans="1:7" ht="12.75">
      <c r="A398" s="18">
        <v>2021</v>
      </c>
      <c r="B398" s="18">
        <v>242</v>
      </c>
      <c r="C398" s="59">
        <v>44539</v>
      </c>
      <c r="D398" s="6" t="s">
        <v>4391</v>
      </c>
      <c r="E398" s="6" t="s">
        <v>4392</v>
      </c>
      <c r="F398" s="6" t="s">
        <v>3409</v>
      </c>
      <c r="G398" s="6" t="s">
        <v>3288</v>
      </c>
    </row>
    <row r="399" spans="1:7" ht="12.75">
      <c r="A399" s="18">
        <v>2021</v>
      </c>
      <c r="B399" s="18">
        <v>242</v>
      </c>
      <c r="C399" s="59">
        <v>44539</v>
      </c>
      <c r="D399" s="6" t="s">
        <v>4393</v>
      </c>
      <c r="E399" s="6" t="s">
        <v>4394</v>
      </c>
      <c r="F399" s="6" t="s">
        <v>3409</v>
      </c>
      <c r="G399" s="6" t="s">
        <v>3288</v>
      </c>
    </row>
    <row r="400" spans="1:7" ht="12.75">
      <c r="A400" s="18">
        <v>2021</v>
      </c>
      <c r="B400" s="18">
        <v>242</v>
      </c>
      <c r="C400" s="59">
        <v>44539</v>
      </c>
      <c r="D400" s="6" t="s">
        <v>4395</v>
      </c>
      <c r="E400" s="6" t="s">
        <v>4396</v>
      </c>
      <c r="F400" s="6" t="s">
        <v>3409</v>
      </c>
      <c r="G400" s="6" t="s">
        <v>3288</v>
      </c>
    </row>
    <row r="401" spans="1:7" ht="12.75">
      <c r="A401" s="18">
        <v>2021</v>
      </c>
      <c r="B401" s="18">
        <v>242</v>
      </c>
      <c r="C401" s="59">
        <v>44539</v>
      </c>
      <c r="D401" s="6" t="s">
        <v>4397</v>
      </c>
      <c r="E401" s="6" t="s">
        <v>4398</v>
      </c>
      <c r="F401" s="6" t="s">
        <v>3409</v>
      </c>
      <c r="G401" s="6" t="s">
        <v>3288</v>
      </c>
    </row>
    <row r="402" spans="1:7" ht="12.75">
      <c r="A402" s="18">
        <v>2021</v>
      </c>
      <c r="B402" s="18">
        <v>242</v>
      </c>
      <c r="C402" s="59">
        <v>44539</v>
      </c>
      <c r="D402" s="6" t="s">
        <v>3412</v>
      </c>
      <c r="E402" s="6" t="s">
        <v>5488</v>
      </c>
      <c r="F402" s="6" t="s">
        <v>3409</v>
      </c>
      <c r="G402" s="6" t="s">
        <v>3288</v>
      </c>
    </row>
    <row r="403" spans="1:7" ht="12.75">
      <c r="A403" s="18">
        <v>2021</v>
      </c>
      <c r="B403" s="18">
        <v>242</v>
      </c>
      <c r="C403" s="59">
        <v>44539</v>
      </c>
      <c r="D403" s="6" t="s">
        <v>4399</v>
      </c>
      <c r="E403" s="6" t="s">
        <v>4400</v>
      </c>
      <c r="F403" s="6" t="s">
        <v>3409</v>
      </c>
      <c r="G403" s="6" t="s">
        <v>3288</v>
      </c>
    </row>
    <row r="404" spans="1:7" ht="12.75">
      <c r="A404" s="18">
        <v>2021</v>
      </c>
      <c r="B404" s="18">
        <v>242</v>
      </c>
      <c r="C404" s="59">
        <v>44539</v>
      </c>
      <c r="D404" s="6" t="s">
        <v>4401</v>
      </c>
      <c r="E404" s="6" t="s">
        <v>4402</v>
      </c>
      <c r="F404" s="6" t="s">
        <v>3409</v>
      </c>
      <c r="G404" s="6" t="s">
        <v>3288</v>
      </c>
    </row>
    <row r="405" spans="1:7" ht="12.75">
      <c r="A405" s="18">
        <v>2021</v>
      </c>
      <c r="B405" s="18">
        <v>243</v>
      </c>
      <c r="C405" s="59">
        <v>44539</v>
      </c>
      <c r="D405" s="6" t="s">
        <v>5489</v>
      </c>
      <c r="E405" s="6" t="s">
        <v>5490</v>
      </c>
      <c r="F405" s="6" t="s">
        <v>4692</v>
      </c>
      <c r="G405" s="6" t="s">
        <v>3513</v>
      </c>
    </row>
    <row r="406" spans="1:7" ht="12.75">
      <c r="A406" s="18">
        <v>2021</v>
      </c>
      <c r="B406" s="18">
        <v>243</v>
      </c>
      <c r="C406" s="59">
        <v>44539</v>
      </c>
      <c r="D406" s="6" t="s">
        <v>5491</v>
      </c>
      <c r="E406" s="6" t="s">
        <v>5492</v>
      </c>
      <c r="F406" s="6" t="s">
        <v>4692</v>
      </c>
      <c r="G406" s="6" t="s">
        <v>3513</v>
      </c>
    </row>
    <row r="407" spans="1:7" ht="12.75">
      <c r="A407" s="18">
        <v>2021</v>
      </c>
      <c r="B407" s="18">
        <v>243</v>
      </c>
      <c r="C407" s="59">
        <v>44539</v>
      </c>
      <c r="D407" s="6" t="s">
        <v>5493</v>
      </c>
      <c r="E407" s="6" t="s">
        <v>5494</v>
      </c>
      <c r="F407" s="6" t="s">
        <v>3512</v>
      </c>
      <c r="G407" s="6" t="s">
        <v>3513</v>
      </c>
    </row>
    <row r="408" spans="1:7" ht="12.75">
      <c r="A408" s="18">
        <v>2021</v>
      </c>
      <c r="B408" s="18">
        <v>243</v>
      </c>
      <c r="C408" s="59">
        <v>44539</v>
      </c>
      <c r="D408" s="6" t="s">
        <v>5495</v>
      </c>
      <c r="E408" s="6" t="s">
        <v>5496</v>
      </c>
      <c r="F408" s="6" t="s">
        <v>3512</v>
      </c>
      <c r="G408" s="6" t="s">
        <v>3513</v>
      </c>
    </row>
    <row r="409" spans="1:7" ht="12.75">
      <c r="A409" s="18">
        <v>2021</v>
      </c>
      <c r="B409" s="18">
        <v>243</v>
      </c>
      <c r="C409" s="59">
        <v>44539</v>
      </c>
      <c r="D409" s="6" t="s">
        <v>5497</v>
      </c>
      <c r="E409" s="6" t="s">
        <v>5498</v>
      </c>
      <c r="F409" s="6" t="s">
        <v>4692</v>
      </c>
      <c r="G409" s="6" t="s">
        <v>3513</v>
      </c>
    </row>
    <row r="410" spans="1:7" ht="12.75">
      <c r="A410" s="18">
        <v>2021</v>
      </c>
      <c r="B410" s="18">
        <v>243</v>
      </c>
      <c r="C410" s="59">
        <v>44539</v>
      </c>
      <c r="D410" s="6" t="s">
        <v>5499</v>
      </c>
      <c r="E410" s="6" t="s">
        <v>5500</v>
      </c>
      <c r="F410" s="6" t="s">
        <v>3512</v>
      </c>
      <c r="G410" s="6" t="s">
        <v>3513</v>
      </c>
    </row>
    <row r="411" spans="1:7" ht="12.75">
      <c r="A411" s="18">
        <v>2021</v>
      </c>
      <c r="B411" s="18">
        <v>244</v>
      </c>
      <c r="C411" s="59">
        <v>44544</v>
      </c>
      <c r="D411" s="6" t="s">
        <v>4403</v>
      </c>
      <c r="E411" s="6" t="s">
        <v>4404</v>
      </c>
      <c r="F411" s="6" t="s">
        <v>3311</v>
      </c>
      <c r="G411" s="6" t="s">
        <v>3292</v>
      </c>
    </row>
    <row r="412" spans="1:7" ht="12.75">
      <c r="A412" s="18">
        <v>2021</v>
      </c>
      <c r="B412" s="18">
        <v>244</v>
      </c>
      <c r="C412" s="59">
        <v>44544</v>
      </c>
      <c r="D412" s="6" t="s">
        <v>4405</v>
      </c>
      <c r="E412" s="6" t="s">
        <v>4406</v>
      </c>
      <c r="F412" s="6" t="s">
        <v>3311</v>
      </c>
      <c r="G412" s="6" t="s">
        <v>3292</v>
      </c>
    </row>
    <row r="413" spans="1:7" ht="12.75">
      <c r="A413" s="18">
        <v>2021</v>
      </c>
      <c r="B413" s="18">
        <v>245</v>
      </c>
      <c r="C413" s="59">
        <v>44544</v>
      </c>
      <c r="D413" s="6" t="s">
        <v>4407</v>
      </c>
      <c r="E413" s="6" t="s">
        <v>4408</v>
      </c>
      <c r="F413" s="6" t="s">
        <v>1319</v>
      </c>
      <c r="G413" s="6" t="s">
        <v>3288</v>
      </c>
    </row>
    <row r="414" spans="1:7" ht="12.75">
      <c r="A414" s="18">
        <v>2021</v>
      </c>
      <c r="B414" s="18">
        <v>245</v>
      </c>
      <c r="C414" s="59">
        <v>44544</v>
      </c>
      <c r="D414" s="6" t="s">
        <v>4409</v>
      </c>
      <c r="E414" s="6" t="s">
        <v>4410</v>
      </c>
      <c r="F414" s="6" t="s">
        <v>4411</v>
      </c>
      <c r="G414" s="6" t="s">
        <v>3292</v>
      </c>
    </row>
    <row r="415" spans="1:7" ht="12.75">
      <c r="A415" s="18">
        <v>2021</v>
      </c>
      <c r="B415" s="18">
        <v>245</v>
      </c>
      <c r="C415" s="59">
        <v>44544</v>
      </c>
      <c r="D415" s="6" t="s">
        <v>4412</v>
      </c>
      <c r="E415" s="6" t="s">
        <v>4413</v>
      </c>
      <c r="F415" s="6" t="s">
        <v>4411</v>
      </c>
      <c r="G415" s="6" t="s">
        <v>3292</v>
      </c>
    </row>
    <row r="416" spans="1:7" ht="12.75">
      <c r="A416" s="18">
        <v>2021</v>
      </c>
      <c r="B416" s="18">
        <v>246</v>
      </c>
      <c r="C416" s="59">
        <v>44546</v>
      </c>
      <c r="D416" s="9" t="s">
        <v>4414</v>
      </c>
      <c r="E416" s="6" t="s">
        <v>4415</v>
      </c>
      <c r="F416" s="6" t="s">
        <v>3389</v>
      </c>
      <c r="G416" s="6" t="s">
        <v>3288</v>
      </c>
    </row>
    <row r="417" spans="1:7" ht="12.75">
      <c r="A417" s="18">
        <v>2021</v>
      </c>
      <c r="B417" s="18">
        <v>248</v>
      </c>
      <c r="C417" s="59">
        <v>44546</v>
      </c>
      <c r="D417" s="6" t="s">
        <v>5501</v>
      </c>
      <c r="E417" s="6" t="s">
        <v>5502</v>
      </c>
      <c r="F417" s="6" t="s">
        <v>3512</v>
      </c>
      <c r="G417" s="6" t="s">
        <v>3513</v>
      </c>
    </row>
    <row r="418" spans="1:7" ht="12.75">
      <c r="A418" s="18">
        <v>2021</v>
      </c>
      <c r="B418" s="18">
        <v>248</v>
      </c>
      <c r="C418" s="59">
        <v>44546</v>
      </c>
      <c r="D418" s="6" t="s">
        <v>5503</v>
      </c>
      <c r="E418" s="6" t="s">
        <v>5504</v>
      </c>
      <c r="F418" s="6" t="s">
        <v>3512</v>
      </c>
      <c r="G418" s="6" t="s">
        <v>3513</v>
      </c>
    </row>
    <row r="419" spans="1:7" ht="12.75">
      <c r="A419" s="18">
        <v>2021</v>
      </c>
      <c r="B419" s="18">
        <v>248</v>
      </c>
      <c r="C419" s="59">
        <v>44546</v>
      </c>
      <c r="D419" s="6" t="s">
        <v>5505</v>
      </c>
      <c r="E419" s="6" t="s">
        <v>5506</v>
      </c>
      <c r="F419" s="6" t="s">
        <v>3512</v>
      </c>
      <c r="G419" s="6" t="s">
        <v>3513</v>
      </c>
    </row>
    <row r="420" spans="1:7" ht="12.75">
      <c r="A420" s="18">
        <v>2021</v>
      </c>
      <c r="B420" s="18">
        <v>248</v>
      </c>
      <c r="C420" s="59">
        <v>44546</v>
      </c>
      <c r="D420" s="6" t="s">
        <v>5507</v>
      </c>
      <c r="E420" s="6" t="s">
        <v>5508</v>
      </c>
      <c r="F420" s="6" t="s">
        <v>3512</v>
      </c>
      <c r="G420" s="6" t="s">
        <v>3513</v>
      </c>
    </row>
    <row r="421" spans="1:7" ht="12.75">
      <c r="A421" s="18">
        <v>2021</v>
      </c>
      <c r="B421" s="18">
        <v>248</v>
      </c>
      <c r="C421" s="59">
        <v>44546</v>
      </c>
      <c r="D421" s="6" t="s">
        <v>5509</v>
      </c>
      <c r="E421" s="6" t="s">
        <v>5510</v>
      </c>
      <c r="F421" s="6" t="s">
        <v>3512</v>
      </c>
      <c r="G421" s="6" t="s">
        <v>3513</v>
      </c>
    </row>
    <row r="422" spans="1:7" ht="12.75">
      <c r="A422" s="18">
        <v>2021</v>
      </c>
      <c r="B422" s="18">
        <v>248</v>
      </c>
      <c r="C422" s="59">
        <v>44546</v>
      </c>
      <c r="D422" s="6" t="s">
        <v>5511</v>
      </c>
      <c r="E422" s="6" t="s">
        <v>5512</v>
      </c>
      <c r="F422" s="6" t="s">
        <v>3512</v>
      </c>
      <c r="G422" s="6" t="s">
        <v>3513</v>
      </c>
    </row>
    <row r="423" spans="1:7" ht="12.75">
      <c r="A423" s="18">
        <v>2021</v>
      </c>
      <c r="B423" s="18">
        <v>248</v>
      </c>
      <c r="C423" s="59">
        <v>44546</v>
      </c>
      <c r="D423" s="6" t="s">
        <v>5513</v>
      </c>
      <c r="E423" s="6" t="s">
        <v>5514</v>
      </c>
      <c r="F423" s="6" t="s">
        <v>5515</v>
      </c>
      <c r="G423" s="6" t="s">
        <v>3567</v>
      </c>
    </row>
    <row r="424" spans="1:7" ht="12.75">
      <c r="A424" s="18">
        <v>2021</v>
      </c>
      <c r="B424" s="18">
        <v>251</v>
      </c>
      <c r="C424" s="59">
        <v>44552</v>
      </c>
      <c r="D424" s="6" t="s">
        <v>4416</v>
      </c>
      <c r="E424" s="6" t="s">
        <v>4417</v>
      </c>
      <c r="F424" s="6" t="s">
        <v>3710</v>
      </c>
      <c r="G424" s="6" t="s">
        <v>3288</v>
      </c>
    </row>
    <row r="425" spans="1:7" ht="12.75">
      <c r="A425" s="18">
        <v>2021</v>
      </c>
      <c r="B425" s="18">
        <v>251</v>
      </c>
      <c r="C425" s="59">
        <v>44552</v>
      </c>
      <c r="D425" s="6" t="s">
        <v>4418</v>
      </c>
      <c r="E425" s="6" t="s">
        <v>4419</v>
      </c>
      <c r="F425" s="6" t="s">
        <v>3993</v>
      </c>
      <c r="G425" s="6" t="s">
        <v>3513</v>
      </c>
    </row>
    <row r="426" spans="1:7" ht="15.75" customHeight="1">
      <c r="A426" s="18">
        <v>2021</v>
      </c>
      <c r="B426" s="18">
        <v>252</v>
      </c>
      <c r="C426" s="59">
        <v>44552</v>
      </c>
      <c r="D426" s="145" t="s">
        <v>3853</v>
      </c>
      <c r="E426" s="146" t="s">
        <v>3854</v>
      </c>
      <c r="F426" s="146" t="s">
        <v>3309</v>
      </c>
      <c r="G426" s="146" t="s">
        <v>3292</v>
      </c>
    </row>
    <row r="427" spans="1:7" ht="15.75" customHeight="1">
      <c r="A427" s="18">
        <v>2021</v>
      </c>
      <c r="B427" s="18">
        <v>252</v>
      </c>
      <c r="C427" s="59">
        <v>44552</v>
      </c>
      <c r="D427" s="145" t="s">
        <v>3994</v>
      </c>
      <c r="E427" s="146" t="s">
        <v>3995</v>
      </c>
      <c r="F427" s="146" t="s">
        <v>3309</v>
      </c>
      <c r="G427" s="146" t="s">
        <v>3292</v>
      </c>
    </row>
    <row r="428" spans="1:7" ht="12.75">
      <c r="A428" s="18">
        <v>2021</v>
      </c>
      <c r="B428" s="18">
        <v>255</v>
      </c>
      <c r="C428" s="59">
        <v>44553</v>
      </c>
      <c r="D428" s="6" t="s">
        <v>5516</v>
      </c>
      <c r="E428" s="9" t="s">
        <v>5517</v>
      </c>
      <c r="F428" s="6" t="s">
        <v>3512</v>
      </c>
      <c r="G428" s="6" t="s">
        <v>3513</v>
      </c>
    </row>
    <row r="429" spans="1:7" ht="12.75">
      <c r="A429" s="18">
        <v>2021</v>
      </c>
      <c r="B429" s="18">
        <v>255</v>
      </c>
      <c r="C429" s="59">
        <v>44553</v>
      </c>
      <c r="D429" s="6" t="s">
        <v>5518</v>
      </c>
      <c r="E429" s="6" t="s">
        <v>5519</v>
      </c>
      <c r="F429" s="6" t="s">
        <v>3512</v>
      </c>
      <c r="G429" s="6" t="s">
        <v>3513</v>
      </c>
    </row>
    <row r="430" spans="1:7" ht="12.75">
      <c r="A430" s="18">
        <v>2021</v>
      </c>
      <c r="B430" s="18">
        <v>255</v>
      </c>
      <c r="C430" s="59">
        <v>44553</v>
      </c>
      <c r="D430" s="6" t="s">
        <v>5520</v>
      </c>
      <c r="E430" s="6" t="s">
        <v>5521</v>
      </c>
      <c r="F430" s="6" t="s">
        <v>3512</v>
      </c>
      <c r="G430" s="6" t="s">
        <v>3513</v>
      </c>
    </row>
    <row r="431" spans="1:7" ht="12.75">
      <c r="A431" s="18">
        <v>2021</v>
      </c>
      <c r="B431" s="18">
        <v>255</v>
      </c>
      <c r="C431" s="59">
        <v>44553</v>
      </c>
      <c r="D431" s="6" t="s">
        <v>5522</v>
      </c>
      <c r="E431" s="6" t="s">
        <v>3856</v>
      </c>
      <c r="F431" s="6" t="s">
        <v>1319</v>
      </c>
      <c r="G431" s="6" t="s">
        <v>3288</v>
      </c>
    </row>
    <row r="432" spans="1:7" ht="12.75">
      <c r="A432" s="18">
        <v>2021</v>
      </c>
      <c r="B432" s="18">
        <v>255</v>
      </c>
      <c r="C432" s="59">
        <v>44553</v>
      </c>
      <c r="D432" s="6" t="s">
        <v>5523</v>
      </c>
      <c r="E432" s="6" t="s">
        <v>5524</v>
      </c>
      <c r="F432" s="6" t="s">
        <v>3512</v>
      </c>
      <c r="G432" s="6" t="s">
        <v>3513</v>
      </c>
    </row>
    <row r="433" spans="1:7" ht="12.75">
      <c r="A433" s="18">
        <v>2021</v>
      </c>
      <c r="B433" s="18">
        <v>255</v>
      </c>
      <c r="C433" s="59">
        <v>44553</v>
      </c>
      <c r="D433" s="6" t="s">
        <v>5525</v>
      </c>
      <c r="E433" s="6" t="s">
        <v>5526</v>
      </c>
      <c r="F433" s="6" t="s">
        <v>3512</v>
      </c>
      <c r="G433" s="6" t="s">
        <v>3513</v>
      </c>
    </row>
    <row r="434" spans="1:7" ht="12.75">
      <c r="A434" s="18">
        <v>2021</v>
      </c>
      <c r="B434" s="18">
        <v>255</v>
      </c>
      <c r="C434" s="59">
        <v>44553</v>
      </c>
      <c r="D434" s="6" t="s">
        <v>5527</v>
      </c>
      <c r="E434" s="6" t="s">
        <v>3856</v>
      </c>
      <c r="F434" s="6" t="s">
        <v>1319</v>
      </c>
      <c r="G434" s="6" t="s">
        <v>3288</v>
      </c>
    </row>
    <row r="435" spans="1:7" ht="12.75">
      <c r="A435" s="18">
        <v>2021</v>
      </c>
      <c r="B435" s="18">
        <v>258</v>
      </c>
      <c r="C435" s="59">
        <v>44559</v>
      </c>
      <c r="D435" s="6" t="s">
        <v>4134</v>
      </c>
      <c r="E435" s="6" t="s">
        <v>4135</v>
      </c>
      <c r="F435" s="6" t="s">
        <v>3306</v>
      </c>
      <c r="G435" s="6" t="s">
        <v>3292</v>
      </c>
    </row>
    <row r="436" spans="1:7" ht="12.75">
      <c r="A436" s="18">
        <v>2021</v>
      </c>
      <c r="B436" s="18">
        <v>258</v>
      </c>
      <c r="C436" s="59">
        <v>44559</v>
      </c>
      <c r="D436" s="6" t="s">
        <v>4136</v>
      </c>
      <c r="E436" s="6" t="s">
        <v>4137</v>
      </c>
      <c r="F436" s="6" t="s">
        <v>3306</v>
      </c>
      <c r="G436" s="6" t="s">
        <v>3292</v>
      </c>
    </row>
    <row r="437" spans="1:7" ht="12.75">
      <c r="A437" s="18">
        <v>2021</v>
      </c>
      <c r="B437" s="18">
        <v>258</v>
      </c>
      <c r="C437" s="59">
        <v>44559</v>
      </c>
      <c r="D437" s="6" t="s">
        <v>3375</v>
      </c>
      <c r="E437" s="6" t="s">
        <v>3403</v>
      </c>
      <c r="F437" s="6" t="s">
        <v>3306</v>
      </c>
      <c r="G437" s="6" t="s">
        <v>3292</v>
      </c>
    </row>
    <row r="438" spans="1:7" ht="12.75">
      <c r="A438" s="18">
        <v>2021</v>
      </c>
      <c r="B438" s="18">
        <v>258</v>
      </c>
      <c r="C438" s="59">
        <v>44559</v>
      </c>
      <c r="D438" s="6" t="s">
        <v>4138</v>
      </c>
      <c r="E438" s="6" t="s">
        <v>3688</v>
      </c>
      <c r="F438" s="6" t="s">
        <v>3306</v>
      </c>
      <c r="G438" s="6" t="s">
        <v>3292</v>
      </c>
    </row>
    <row r="439" spans="1:7" ht="12.75">
      <c r="A439" s="18">
        <v>2022</v>
      </c>
      <c r="B439" s="18">
        <v>3</v>
      </c>
      <c r="C439" s="59">
        <v>44602</v>
      </c>
      <c r="D439" s="6" t="s">
        <v>5528</v>
      </c>
      <c r="E439" s="6" t="s">
        <v>4420</v>
      </c>
      <c r="F439" s="6" t="s">
        <v>3546</v>
      </c>
      <c r="G439" s="6" t="s">
        <v>3292</v>
      </c>
    </row>
    <row r="440" spans="1:7" ht="12.75">
      <c r="A440" s="18">
        <v>2022</v>
      </c>
      <c r="B440" s="18">
        <v>3</v>
      </c>
      <c r="C440" s="59">
        <v>44602</v>
      </c>
      <c r="D440" s="6" t="s">
        <v>5529</v>
      </c>
      <c r="E440" s="6" t="s">
        <v>3548</v>
      </c>
      <c r="F440" s="6" t="s">
        <v>3546</v>
      </c>
      <c r="G440" s="6" t="s">
        <v>3292</v>
      </c>
    </row>
  </sheetData>
  <autoFilter ref="A1:G440"/>
  <conditionalFormatting sqref="D1:D70 D72:D74 D77:D118 D123:D317 E135:F163 D320:D415 D417:D440">
    <cfRule type="cellIs" dxfId="1" priority="1" operator="equal">
      <formula>"POSTULANTES MECIONADOS EN EL TEMARIO"</formula>
    </cfRule>
  </conditionalFormatting>
  <conditionalFormatting sqref="F1:F369 F376:F377 F435:F437 F439:F440">
    <cfRule type="cellIs" dxfId="0" priority="2" operator="equal">
      <formula>"Juzgado"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Reuniones Comisiones</vt:lpstr>
      <vt:lpstr>Invitados</vt:lpstr>
      <vt:lpstr>Votos</vt:lpstr>
      <vt:lpstr>Faltantes</vt:lpstr>
      <vt:lpstr>AUX</vt:lpstr>
      <vt:lpstr>Leyes Tratadas x Comision</vt:lpstr>
      <vt:lpstr>Hoja 60</vt:lpstr>
      <vt:lpstr>Invitados a reuniones cpliego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Alejandra Loyola</dc:creator>
  <cp:lastModifiedBy>Paola Alejandra Loyola</cp:lastModifiedBy>
  <dcterms:modified xsi:type="dcterms:W3CDTF">2024-01-29T12:30:33Z</dcterms:modified>
</cp:coreProperties>
</file>